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E:\DATA\DATA PERKAPDIST\2023\REHAB ATAP PARIPURNA\LPSE ATAP PARIPURNA\"/>
    </mc:Choice>
  </mc:AlternateContent>
  <bookViews>
    <workbookView xWindow="0" yWindow="0" windowWidth="20730" windowHeight="11760" tabRatio="955" activeTab="1"/>
  </bookViews>
  <sheets>
    <sheet name="Rekap (2)" sheetId="130" r:id="rId1"/>
    <sheet name="RAB (2)" sheetId="129" r:id="rId2"/>
    <sheet name="Rekap" sheetId="82" state="hidden" r:id="rId3"/>
    <sheet name="RAB" sheetId="81" state="hidden" r:id="rId4"/>
    <sheet name="V.1" sheetId="80" state="hidden" r:id="rId5"/>
    <sheet name="V.1 (2)" sheetId="126" state="hidden" r:id="rId6"/>
    <sheet name="V.1 (3)" sheetId="127" state="hidden" r:id="rId7"/>
    <sheet name="volume" sheetId="131" state="hidden" r:id="rId8"/>
    <sheet name="R.Anl" sheetId="68" r:id="rId9"/>
    <sheet name="ANL" sheetId="62" r:id="rId10"/>
    <sheet name="HIT." sheetId="103" r:id="rId11"/>
    <sheet name="ELT" sheetId="121" state="hidden" r:id="rId12"/>
    <sheet name="PLMB" sheetId="123" state="hidden" r:id="rId13"/>
    <sheet name="BAHAN" sheetId="61" r:id="rId14"/>
    <sheet name="UB mep" sheetId="122" state="hidden" r:id="rId15"/>
    <sheet name="UPAH" sheetId="64" r:id="rId16"/>
    <sheet name="Vol beton" sheetId="137" state="hidden" r:id="rId17"/>
    <sheet name="SMK3" sheetId="85" r:id="rId18"/>
    <sheet name="DIHIT" sheetId="134" state="hidden" r:id="rId19"/>
    <sheet name="Mobilisasi" sheetId="91" r:id="rId20"/>
    <sheet name="GALIAN (ALAT)" sheetId="92" state="hidden" r:id="rId21"/>
    <sheet name="PEMANCANGAN" sheetId="133" state="hidden" r:id="rId22"/>
    <sheet name="WELDING" sheetId="93" state="hidden" r:id="rId23"/>
    <sheet name="CUTTING" sheetId="94" state="hidden" r:id="rId24"/>
    <sheet name="PERALATAN" sheetId="95" r:id="rId25"/>
    <sheet name="ID" sheetId="96" state="hidden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</externalReferences>
  <definedNames>
    <definedName name="\H1" localSheetId="21">#REF!</definedName>
    <definedName name="\H1" localSheetId="1">#REF!</definedName>
    <definedName name="\H1" localSheetId="0">#REF!</definedName>
    <definedName name="\H1" localSheetId="5">#REF!</definedName>
    <definedName name="\H1" localSheetId="6">#REF!</definedName>
    <definedName name="\H1" localSheetId="16">#REF!</definedName>
    <definedName name="\H1" localSheetId="7">#REF!</definedName>
    <definedName name="\H1">#REF!</definedName>
    <definedName name="\H2" localSheetId="21">#REF!</definedName>
    <definedName name="\H2" localSheetId="1">#REF!</definedName>
    <definedName name="\H2" localSheetId="0">#REF!</definedName>
    <definedName name="\H2" localSheetId="5">#REF!</definedName>
    <definedName name="\H2" localSheetId="6">#REF!</definedName>
    <definedName name="\H2" localSheetId="16">#REF!</definedName>
    <definedName name="\H2" localSheetId="7">#REF!</definedName>
    <definedName name="\H2">#REF!</definedName>
    <definedName name="\W" localSheetId="18">#REF!</definedName>
    <definedName name="\W" localSheetId="11">#REF!</definedName>
    <definedName name="\W" localSheetId="10">#REF!</definedName>
    <definedName name="\W" localSheetId="21">#REF!</definedName>
    <definedName name="\W" localSheetId="12">#REF!</definedName>
    <definedName name="\W" localSheetId="1">#REF!</definedName>
    <definedName name="\W" localSheetId="0">#REF!</definedName>
    <definedName name="\W" localSheetId="14">#REF!</definedName>
    <definedName name="\W" localSheetId="5">#REF!</definedName>
    <definedName name="\W" localSheetId="6">#REF!</definedName>
    <definedName name="\W" localSheetId="16">#REF!</definedName>
    <definedName name="\W" localSheetId="7">#REF!</definedName>
    <definedName name="\W">#REF!</definedName>
    <definedName name="________DIV1">'[1]Kuantitas &amp; Harga'!$G$26</definedName>
    <definedName name="________DIV10">'[1]Kuantitas &amp; Harga'!$G$418</definedName>
    <definedName name="________DIV2">'[1]Kuantitas &amp; Harga'!$G$50</definedName>
    <definedName name="________DIV3">'[1]Kuantitas &amp; Harga'!$G$84</definedName>
    <definedName name="________DIV4">'[1]Kuantitas &amp; Harga'!$G$99</definedName>
    <definedName name="________DIV5">'[1]Kuantitas &amp; Harga'!$G$119</definedName>
    <definedName name="________DIV6">'[1]Kuantitas &amp; Harga'!$G$155</definedName>
    <definedName name="________DIV7">'[1]Kuantitas &amp; Harga'!$G$319</definedName>
    <definedName name="________DIV8">'[1]Kuantitas &amp; Harga'!$G$377</definedName>
    <definedName name="________DIV9">'[1]Kuantitas &amp; Harga'!$G$405</definedName>
    <definedName name="________LLL01" localSheetId="16">#REF!</definedName>
    <definedName name="________LLL01">#REF!</definedName>
    <definedName name="________LLL02" localSheetId="16">#REF!</definedName>
    <definedName name="________LLL02">#REF!</definedName>
    <definedName name="________LLL03" localSheetId="16">#REF!</definedName>
    <definedName name="________LLL03">#REF!</definedName>
    <definedName name="________LLL04" localSheetId="16">#REF!</definedName>
    <definedName name="________LLL04">#REF!</definedName>
    <definedName name="________LLL05" localSheetId="16">#REF!</definedName>
    <definedName name="________LLL05">#REF!</definedName>
    <definedName name="________LLL06" localSheetId="16">#REF!</definedName>
    <definedName name="________LLL06">#REF!</definedName>
    <definedName name="________LLL07" localSheetId="16">#REF!</definedName>
    <definedName name="________LLL07">#REF!</definedName>
    <definedName name="________LLL08" localSheetId="16">#REF!</definedName>
    <definedName name="________LLL08">#REF!</definedName>
    <definedName name="________LLL09" localSheetId="16">#REF!</definedName>
    <definedName name="________LLL09">#REF!</definedName>
    <definedName name="________LLL10" localSheetId="16">#REF!</definedName>
    <definedName name="________LLL10">#REF!</definedName>
    <definedName name="________LLL11" localSheetId="16">#REF!</definedName>
    <definedName name="________LLL11">#REF!</definedName>
    <definedName name="________MMM01" localSheetId="16">#REF!</definedName>
    <definedName name="________MMM01">#REF!</definedName>
    <definedName name="________MMM02" localSheetId="16">#REF!</definedName>
    <definedName name="________MMM02">#REF!</definedName>
    <definedName name="________MMM03" localSheetId="16">#REF!</definedName>
    <definedName name="________MMM03">#REF!</definedName>
    <definedName name="________MMM04" localSheetId="16">#REF!</definedName>
    <definedName name="________MMM04">#REF!</definedName>
    <definedName name="________MMM05" localSheetId="16">#REF!</definedName>
    <definedName name="________MMM05">#REF!</definedName>
    <definedName name="________MMM06" localSheetId="16">#REF!</definedName>
    <definedName name="________MMM06">#REF!</definedName>
    <definedName name="________MMM07" localSheetId="16">#REF!</definedName>
    <definedName name="________MMM07">#REF!</definedName>
    <definedName name="________MMM08" localSheetId="16">#REF!</definedName>
    <definedName name="________MMM08">#REF!</definedName>
    <definedName name="________MMM09" localSheetId="16">#REF!</definedName>
    <definedName name="________MMM09">#REF!</definedName>
    <definedName name="________MMM10" localSheetId="16">#REF!</definedName>
    <definedName name="________MMM10">#REF!</definedName>
    <definedName name="________MMM11" localSheetId="16">#REF!</definedName>
    <definedName name="________MMM11">#REF!</definedName>
    <definedName name="________MMM12" localSheetId="16">#REF!</definedName>
    <definedName name="________MMM12">#REF!</definedName>
    <definedName name="________MMM13" localSheetId="16">#REF!</definedName>
    <definedName name="________MMM13">#REF!</definedName>
    <definedName name="________MMM14" localSheetId="16">#REF!</definedName>
    <definedName name="________MMM14">#REF!</definedName>
    <definedName name="________MMM15" localSheetId="16">#REF!</definedName>
    <definedName name="________MMM15">#REF!</definedName>
    <definedName name="________MMM16" localSheetId="16">#REF!</definedName>
    <definedName name="________MMM16">#REF!</definedName>
    <definedName name="________MMM17" localSheetId="16">#REF!</definedName>
    <definedName name="________MMM17">#REF!</definedName>
    <definedName name="________MMM18" localSheetId="16">#REF!</definedName>
    <definedName name="________MMM18">#REF!</definedName>
    <definedName name="________MMM19" localSheetId="16">#REF!</definedName>
    <definedName name="________MMM19">#REF!</definedName>
    <definedName name="________MMM20" localSheetId="16">#REF!</definedName>
    <definedName name="________MMM20">#REF!</definedName>
    <definedName name="________MMM21" localSheetId="16">#REF!</definedName>
    <definedName name="________MMM21">#REF!</definedName>
    <definedName name="________MMM22" localSheetId="16">#REF!</definedName>
    <definedName name="________MMM22">#REF!</definedName>
    <definedName name="________MMM23" localSheetId="16">#REF!</definedName>
    <definedName name="________MMM23">#REF!</definedName>
    <definedName name="________MMM24" localSheetId="16">#REF!</definedName>
    <definedName name="________MMM24">#REF!</definedName>
    <definedName name="________MMM25" localSheetId="16">#REF!</definedName>
    <definedName name="________MMM25">#REF!</definedName>
    <definedName name="________MMM26" localSheetId="16">#REF!</definedName>
    <definedName name="________MMM26">#REF!</definedName>
    <definedName name="________MMM27" localSheetId="16">#REF!</definedName>
    <definedName name="________MMM27">#REF!</definedName>
    <definedName name="________MMM28" localSheetId="16">#REF!</definedName>
    <definedName name="________MMM28">#REF!</definedName>
    <definedName name="________MMM29" localSheetId="16">#REF!</definedName>
    <definedName name="________MMM29">#REF!</definedName>
    <definedName name="________MMM30" localSheetId="16">#REF!</definedName>
    <definedName name="________MMM30">#REF!</definedName>
    <definedName name="________MMM31" localSheetId="16">#REF!</definedName>
    <definedName name="________MMM31">#REF!</definedName>
    <definedName name="________MMM32" localSheetId="16">#REF!</definedName>
    <definedName name="________MMM32">#REF!</definedName>
    <definedName name="________MMM33" localSheetId="16">#REF!</definedName>
    <definedName name="________MMM33">#REF!</definedName>
    <definedName name="________MMM34" localSheetId="16">#REF!</definedName>
    <definedName name="________MMM34">#REF!</definedName>
    <definedName name="________MMM35" localSheetId="16">#REF!</definedName>
    <definedName name="________MMM35">#REF!</definedName>
    <definedName name="________MMM36" localSheetId="16">#REF!</definedName>
    <definedName name="________MMM36">#REF!</definedName>
    <definedName name="________MMM37" localSheetId="16">#REF!</definedName>
    <definedName name="________MMM37">#REF!</definedName>
    <definedName name="________MMM38" localSheetId="16">#REF!</definedName>
    <definedName name="________MMM38">#REF!</definedName>
    <definedName name="________MMM39" localSheetId="16">#REF!</definedName>
    <definedName name="________MMM39">#REF!</definedName>
    <definedName name="________MMM40" localSheetId="16">#REF!</definedName>
    <definedName name="________MMM40">#REF!</definedName>
    <definedName name="________MMM41" localSheetId="16">#REF!</definedName>
    <definedName name="________MMM41">#REF!</definedName>
    <definedName name="________MMM411" localSheetId="16">#REF!</definedName>
    <definedName name="________MMM411">#REF!</definedName>
    <definedName name="________MMM42" localSheetId="16">#REF!</definedName>
    <definedName name="________MMM42">#REF!</definedName>
    <definedName name="________MMM43" localSheetId="16">#REF!</definedName>
    <definedName name="________MMM43">#REF!</definedName>
    <definedName name="________MMM44" localSheetId="16">#REF!</definedName>
    <definedName name="________MMM44">#REF!</definedName>
    <definedName name="________MMM45" localSheetId="16">#REF!</definedName>
    <definedName name="________MMM45">#REF!</definedName>
    <definedName name="________MMM46" localSheetId="16">#REF!</definedName>
    <definedName name="________MMM46">#REF!</definedName>
    <definedName name="________MMM47" localSheetId="16">#REF!</definedName>
    <definedName name="________MMM47">#REF!</definedName>
    <definedName name="________MMM48" localSheetId="16">#REF!</definedName>
    <definedName name="________MMM48">#REF!</definedName>
    <definedName name="________MMM49" localSheetId="16">#REF!</definedName>
    <definedName name="________MMM49">#REF!</definedName>
    <definedName name="________MMM50" localSheetId="16">#REF!</definedName>
    <definedName name="________MMM50">#REF!</definedName>
    <definedName name="________MMM51" localSheetId="16">#REF!</definedName>
    <definedName name="________MMM51">#REF!</definedName>
    <definedName name="________MMM52" localSheetId="16">#REF!</definedName>
    <definedName name="________MMM52">#REF!</definedName>
    <definedName name="________MMM53" localSheetId="16">#REF!</definedName>
    <definedName name="________MMM53">#REF!</definedName>
    <definedName name="________MMM54" localSheetId="16">#REF!</definedName>
    <definedName name="________MMM54">#REF!</definedName>
    <definedName name="_______DIV1">'[2]Kuantitas &amp; Harga'!$G$26</definedName>
    <definedName name="_______DIV10">'[2]Kuantitas &amp; Harga'!$G$418</definedName>
    <definedName name="_______DIV11" localSheetId="16">[3]RAB!#REF!</definedName>
    <definedName name="_______DIV11">[3]RAB!#REF!</definedName>
    <definedName name="_______DIV2">'[2]Kuantitas &amp; Harga'!$G$50</definedName>
    <definedName name="_______DIV3">'[2]Kuantitas &amp; Harga'!$G$84</definedName>
    <definedName name="_______DIV4">'[2]Kuantitas &amp; Harga'!$G$99</definedName>
    <definedName name="_______DIV5">'[2]Kuantitas &amp; Harga'!$G$119</definedName>
    <definedName name="_______DIV6">'[2]Kuantitas &amp; Harga'!$G$155</definedName>
    <definedName name="_______DIV7">'[2]Kuantitas &amp; Harga'!$G$319</definedName>
    <definedName name="_______DIV8">'[2]Kuantitas &amp; Harga'!$G$377</definedName>
    <definedName name="_______DIV9">'[2]Kuantitas &amp; Harga'!$G$405</definedName>
    <definedName name="_______HAL1" localSheetId="16">#REF!</definedName>
    <definedName name="_______HAL1">#REF!</definedName>
    <definedName name="_______HAL2" localSheetId="16">#REF!</definedName>
    <definedName name="_______HAL2">#REF!</definedName>
    <definedName name="_______LLL01" localSheetId="21">#REF!</definedName>
    <definedName name="_______LLL01" localSheetId="1">#REF!</definedName>
    <definedName name="_______LLL01" localSheetId="0">#REF!</definedName>
    <definedName name="_______LLL01" localSheetId="5">#REF!</definedName>
    <definedName name="_______LLL01" localSheetId="6">#REF!</definedName>
    <definedName name="_______LLL01" localSheetId="16">#REF!</definedName>
    <definedName name="_______LLL01" localSheetId="7">#REF!</definedName>
    <definedName name="_______LLL01">#REF!</definedName>
    <definedName name="_______LLL02" localSheetId="21">#REF!</definedName>
    <definedName name="_______LLL02" localSheetId="1">#REF!</definedName>
    <definedName name="_______LLL02" localSheetId="0">#REF!</definedName>
    <definedName name="_______LLL02" localSheetId="5">#REF!</definedName>
    <definedName name="_______LLL02" localSheetId="6">#REF!</definedName>
    <definedName name="_______LLL02" localSheetId="16">#REF!</definedName>
    <definedName name="_______LLL02" localSheetId="7">#REF!</definedName>
    <definedName name="_______LLL02">#REF!</definedName>
    <definedName name="_______LLL03" localSheetId="21">#REF!</definedName>
    <definedName name="_______LLL03" localSheetId="1">#REF!</definedName>
    <definedName name="_______LLL03" localSheetId="0">#REF!</definedName>
    <definedName name="_______LLL03" localSheetId="5">#REF!</definedName>
    <definedName name="_______LLL03" localSheetId="6">#REF!</definedName>
    <definedName name="_______LLL03" localSheetId="16">#REF!</definedName>
    <definedName name="_______LLL03" localSheetId="7">#REF!</definedName>
    <definedName name="_______LLL03">#REF!</definedName>
    <definedName name="_______LLL04" localSheetId="21">#REF!</definedName>
    <definedName name="_______LLL04" localSheetId="1">#REF!</definedName>
    <definedName name="_______LLL04" localSheetId="0">#REF!</definedName>
    <definedName name="_______LLL04" localSheetId="5">#REF!</definedName>
    <definedName name="_______LLL04" localSheetId="6">#REF!</definedName>
    <definedName name="_______LLL04" localSheetId="16">#REF!</definedName>
    <definedName name="_______LLL04" localSheetId="7">#REF!</definedName>
    <definedName name="_______LLL04">#REF!</definedName>
    <definedName name="_______LLL05" localSheetId="21">#REF!</definedName>
    <definedName name="_______LLL05" localSheetId="1">#REF!</definedName>
    <definedName name="_______LLL05" localSheetId="0">#REF!</definedName>
    <definedName name="_______LLL05" localSheetId="5">#REF!</definedName>
    <definedName name="_______LLL05" localSheetId="6">#REF!</definedName>
    <definedName name="_______LLL05" localSheetId="16">#REF!</definedName>
    <definedName name="_______LLL05" localSheetId="7">#REF!</definedName>
    <definedName name="_______LLL05">#REF!</definedName>
    <definedName name="_______LLL06" localSheetId="21">#REF!</definedName>
    <definedName name="_______LLL06" localSheetId="1">#REF!</definedName>
    <definedName name="_______LLL06" localSheetId="0">#REF!</definedName>
    <definedName name="_______LLL06" localSheetId="5">#REF!</definedName>
    <definedName name="_______LLL06" localSheetId="6">#REF!</definedName>
    <definedName name="_______LLL06" localSheetId="16">#REF!</definedName>
    <definedName name="_______LLL06" localSheetId="7">#REF!</definedName>
    <definedName name="_______LLL06">#REF!</definedName>
    <definedName name="_______LLL07" localSheetId="21">#REF!</definedName>
    <definedName name="_______LLL07" localSheetId="1">#REF!</definedName>
    <definedName name="_______LLL07" localSheetId="0">#REF!</definedName>
    <definedName name="_______LLL07" localSheetId="5">#REF!</definedName>
    <definedName name="_______LLL07" localSheetId="6">#REF!</definedName>
    <definedName name="_______LLL07" localSheetId="16">#REF!</definedName>
    <definedName name="_______LLL07" localSheetId="7">#REF!</definedName>
    <definedName name="_______LLL07">#REF!</definedName>
    <definedName name="_______LLL08" localSheetId="21">#REF!</definedName>
    <definedName name="_______LLL08" localSheetId="1">#REF!</definedName>
    <definedName name="_______LLL08" localSheetId="0">#REF!</definedName>
    <definedName name="_______LLL08" localSheetId="5">#REF!</definedName>
    <definedName name="_______LLL08" localSheetId="6">#REF!</definedName>
    <definedName name="_______LLL08" localSheetId="16">#REF!</definedName>
    <definedName name="_______LLL08" localSheetId="7">#REF!</definedName>
    <definedName name="_______LLL08">#REF!</definedName>
    <definedName name="_______LLL09" localSheetId="21">#REF!</definedName>
    <definedName name="_______LLL09" localSheetId="1">#REF!</definedName>
    <definedName name="_______LLL09" localSheetId="0">#REF!</definedName>
    <definedName name="_______LLL09" localSheetId="5">#REF!</definedName>
    <definedName name="_______LLL09" localSheetId="6">#REF!</definedName>
    <definedName name="_______LLL09" localSheetId="16">#REF!</definedName>
    <definedName name="_______LLL09" localSheetId="7">#REF!</definedName>
    <definedName name="_______LLL09">#REF!</definedName>
    <definedName name="_______LLL10" localSheetId="21">#REF!</definedName>
    <definedName name="_______LLL10" localSheetId="1">#REF!</definedName>
    <definedName name="_______LLL10" localSheetId="0">#REF!</definedName>
    <definedName name="_______LLL10" localSheetId="5">#REF!</definedName>
    <definedName name="_______LLL10" localSheetId="6">#REF!</definedName>
    <definedName name="_______LLL10" localSheetId="16">#REF!</definedName>
    <definedName name="_______LLL10" localSheetId="7">#REF!</definedName>
    <definedName name="_______LLL10">#REF!</definedName>
    <definedName name="_______LLL11" localSheetId="21">#REF!</definedName>
    <definedName name="_______LLL11" localSheetId="1">#REF!</definedName>
    <definedName name="_______LLL11" localSheetId="0">#REF!</definedName>
    <definedName name="_______LLL11" localSheetId="5">#REF!</definedName>
    <definedName name="_______LLL11" localSheetId="6">#REF!</definedName>
    <definedName name="_______LLL11" localSheetId="16">#REF!</definedName>
    <definedName name="_______LLL11" localSheetId="7">#REF!</definedName>
    <definedName name="_______LLL11">#REF!</definedName>
    <definedName name="_______MMM01" localSheetId="21">#REF!</definedName>
    <definedName name="_______MMM01" localSheetId="1">#REF!</definedName>
    <definedName name="_______MMM01" localSheetId="0">#REF!</definedName>
    <definedName name="_______MMM01" localSheetId="5">#REF!</definedName>
    <definedName name="_______MMM01" localSheetId="6">#REF!</definedName>
    <definedName name="_______MMM01" localSheetId="16">#REF!</definedName>
    <definedName name="_______MMM01" localSheetId="7">#REF!</definedName>
    <definedName name="_______MMM01">#REF!</definedName>
    <definedName name="_______MMM02" localSheetId="21">#REF!</definedName>
    <definedName name="_______MMM02" localSheetId="1">#REF!</definedName>
    <definedName name="_______MMM02" localSheetId="0">#REF!</definedName>
    <definedName name="_______MMM02" localSheetId="5">#REF!</definedName>
    <definedName name="_______MMM02" localSheetId="6">#REF!</definedName>
    <definedName name="_______MMM02" localSheetId="16">#REF!</definedName>
    <definedName name="_______MMM02" localSheetId="7">#REF!</definedName>
    <definedName name="_______MMM02">#REF!</definedName>
    <definedName name="_______MMM03" localSheetId="21">#REF!</definedName>
    <definedName name="_______MMM03" localSheetId="1">#REF!</definedName>
    <definedName name="_______MMM03" localSheetId="0">#REF!</definedName>
    <definedName name="_______MMM03" localSheetId="5">#REF!</definedName>
    <definedName name="_______MMM03" localSheetId="6">#REF!</definedName>
    <definedName name="_______MMM03" localSheetId="16">#REF!</definedName>
    <definedName name="_______MMM03" localSheetId="7">#REF!</definedName>
    <definedName name="_______MMM03">#REF!</definedName>
    <definedName name="_______MMM04" localSheetId="21">#REF!</definedName>
    <definedName name="_______MMM04" localSheetId="1">#REF!</definedName>
    <definedName name="_______MMM04" localSheetId="0">#REF!</definedName>
    <definedName name="_______MMM04" localSheetId="5">#REF!</definedName>
    <definedName name="_______MMM04" localSheetId="6">#REF!</definedName>
    <definedName name="_______MMM04" localSheetId="16">#REF!</definedName>
    <definedName name="_______MMM04" localSheetId="7">#REF!</definedName>
    <definedName name="_______MMM04">#REF!</definedName>
    <definedName name="_______MMM05" localSheetId="21">#REF!</definedName>
    <definedName name="_______MMM05" localSheetId="1">#REF!</definedName>
    <definedName name="_______MMM05" localSheetId="0">#REF!</definedName>
    <definedName name="_______MMM05" localSheetId="5">#REF!</definedName>
    <definedName name="_______MMM05" localSheetId="6">#REF!</definedName>
    <definedName name="_______MMM05" localSheetId="16">#REF!</definedName>
    <definedName name="_______MMM05" localSheetId="7">#REF!</definedName>
    <definedName name="_______MMM05">#REF!</definedName>
    <definedName name="_______MMM06" localSheetId="21">#REF!</definedName>
    <definedName name="_______MMM06" localSheetId="1">#REF!</definedName>
    <definedName name="_______MMM06" localSheetId="0">#REF!</definedName>
    <definedName name="_______MMM06" localSheetId="5">#REF!</definedName>
    <definedName name="_______MMM06" localSheetId="6">#REF!</definedName>
    <definedName name="_______MMM06" localSheetId="16">#REF!</definedName>
    <definedName name="_______MMM06" localSheetId="7">#REF!</definedName>
    <definedName name="_______MMM06">#REF!</definedName>
    <definedName name="_______MMM07" localSheetId="21">#REF!</definedName>
    <definedName name="_______MMM07" localSheetId="1">#REF!</definedName>
    <definedName name="_______MMM07" localSheetId="0">#REF!</definedName>
    <definedName name="_______MMM07" localSheetId="5">#REF!</definedName>
    <definedName name="_______MMM07" localSheetId="6">#REF!</definedName>
    <definedName name="_______MMM07" localSheetId="16">#REF!</definedName>
    <definedName name="_______MMM07" localSheetId="7">#REF!</definedName>
    <definedName name="_______MMM07">#REF!</definedName>
    <definedName name="_______MMM08" localSheetId="21">#REF!</definedName>
    <definedName name="_______MMM08" localSheetId="1">#REF!</definedName>
    <definedName name="_______MMM08" localSheetId="0">#REF!</definedName>
    <definedName name="_______MMM08" localSheetId="5">#REF!</definedName>
    <definedName name="_______MMM08" localSheetId="6">#REF!</definedName>
    <definedName name="_______MMM08" localSheetId="16">#REF!</definedName>
    <definedName name="_______MMM08" localSheetId="7">#REF!</definedName>
    <definedName name="_______MMM08">#REF!</definedName>
    <definedName name="_______MMM09" localSheetId="21">#REF!</definedName>
    <definedName name="_______MMM09" localSheetId="1">#REF!</definedName>
    <definedName name="_______MMM09" localSheetId="0">#REF!</definedName>
    <definedName name="_______MMM09" localSheetId="5">#REF!</definedName>
    <definedName name="_______MMM09" localSheetId="6">#REF!</definedName>
    <definedName name="_______MMM09" localSheetId="16">#REF!</definedName>
    <definedName name="_______MMM09" localSheetId="7">#REF!</definedName>
    <definedName name="_______MMM09">#REF!</definedName>
    <definedName name="_______MMM10" localSheetId="21">#REF!</definedName>
    <definedName name="_______MMM10" localSheetId="1">#REF!</definedName>
    <definedName name="_______MMM10" localSheetId="0">#REF!</definedName>
    <definedName name="_______MMM10" localSheetId="5">#REF!</definedName>
    <definedName name="_______MMM10" localSheetId="6">#REF!</definedName>
    <definedName name="_______MMM10" localSheetId="16">#REF!</definedName>
    <definedName name="_______MMM10" localSheetId="7">#REF!</definedName>
    <definedName name="_______MMM10">#REF!</definedName>
    <definedName name="_______MMM11" localSheetId="21">#REF!</definedName>
    <definedName name="_______MMM11" localSheetId="1">#REF!</definedName>
    <definedName name="_______MMM11" localSheetId="0">#REF!</definedName>
    <definedName name="_______MMM11" localSheetId="5">#REF!</definedName>
    <definedName name="_______MMM11" localSheetId="6">#REF!</definedName>
    <definedName name="_______MMM11" localSheetId="16">#REF!</definedName>
    <definedName name="_______MMM11" localSheetId="7">#REF!</definedName>
    <definedName name="_______MMM11">#REF!</definedName>
    <definedName name="_______MMM12" localSheetId="21">#REF!</definedName>
    <definedName name="_______MMM12" localSheetId="1">#REF!</definedName>
    <definedName name="_______MMM12" localSheetId="0">#REF!</definedName>
    <definedName name="_______MMM12" localSheetId="5">#REF!</definedName>
    <definedName name="_______MMM12" localSheetId="6">#REF!</definedName>
    <definedName name="_______MMM12" localSheetId="16">#REF!</definedName>
    <definedName name="_______MMM12" localSheetId="7">#REF!</definedName>
    <definedName name="_______MMM12">#REF!</definedName>
    <definedName name="_______MMM13" localSheetId="21">#REF!</definedName>
    <definedName name="_______MMM13" localSheetId="1">#REF!</definedName>
    <definedName name="_______MMM13" localSheetId="0">#REF!</definedName>
    <definedName name="_______MMM13" localSheetId="5">#REF!</definedName>
    <definedName name="_______MMM13" localSheetId="6">#REF!</definedName>
    <definedName name="_______MMM13" localSheetId="16">#REF!</definedName>
    <definedName name="_______MMM13" localSheetId="7">#REF!</definedName>
    <definedName name="_______MMM13">#REF!</definedName>
    <definedName name="_______MMM14" localSheetId="21">#REF!</definedName>
    <definedName name="_______MMM14" localSheetId="1">#REF!</definedName>
    <definedName name="_______MMM14" localSheetId="0">#REF!</definedName>
    <definedName name="_______MMM14" localSheetId="5">#REF!</definedName>
    <definedName name="_______MMM14" localSheetId="6">#REF!</definedName>
    <definedName name="_______MMM14" localSheetId="16">#REF!</definedName>
    <definedName name="_______MMM14" localSheetId="7">#REF!</definedName>
    <definedName name="_______MMM14">#REF!</definedName>
    <definedName name="_______MMM15" localSheetId="21">#REF!</definedName>
    <definedName name="_______MMM15" localSheetId="1">#REF!</definedName>
    <definedName name="_______MMM15" localSheetId="0">#REF!</definedName>
    <definedName name="_______MMM15" localSheetId="5">#REF!</definedName>
    <definedName name="_______MMM15" localSheetId="6">#REF!</definedName>
    <definedName name="_______MMM15" localSheetId="16">#REF!</definedName>
    <definedName name="_______MMM15" localSheetId="7">#REF!</definedName>
    <definedName name="_______MMM15">#REF!</definedName>
    <definedName name="_______MMM16" localSheetId="21">#REF!</definedName>
    <definedName name="_______MMM16" localSheetId="1">#REF!</definedName>
    <definedName name="_______MMM16" localSheetId="0">#REF!</definedName>
    <definedName name="_______MMM16" localSheetId="5">#REF!</definedName>
    <definedName name="_______MMM16" localSheetId="6">#REF!</definedName>
    <definedName name="_______MMM16" localSheetId="16">#REF!</definedName>
    <definedName name="_______MMM16" localSheetId="7">#REF!</definedName>
    <definedName name="_______MMM16">#REF!</definedName>
    <definedName name="_______MMM17" localSheetId="21">#REF!</definedName>
    <definedName name="_______MMM17" localSheetId="1">#REF!</definedName>
    <definedName name="_______MMM17" localSheetId="0">#REF!</definedName>
    <definedName name="_______MMM17" localSheetId="5">#REF!</definedName>
    <definedName name="_______MMM17" localSheetId="6">#REF!</definedName>
    <definedName name="_______MMM17" localSheetId="16">#REF!</definedName>
    <definedName name="_______MMM17" localSheetId="7">#REF!</definedName>
    <definedName name="_______MMM17">#REF!</definedName>
    <definedName name="_______MMM18" localSheetId="21">#REF!</definedName>
    <definedName name="_______MMM18" localSheetId="1">#REF!</definedName>
    <definedName name="_______MMM18" localSheetId="0">#REF!</definedName>
    <definedName name="_______MMM18" localSheetId="5">#REF!</definedName>
    <definedName name="_______MMM18" localSheetId="6">#REF!</definedName>
    <definedName name="_______MMM18" localSheetId="16">#REF!</definedName>
    <definedName name="_______MMM18" localSheetId="7">#REF!</definedName>
    <definedName name="_______MMM18">#REF!</definedName>
    <definedName name="_______MMM19" localSheetId="21">#REF!</definedName>
    <definedName name="_______MMM19" localSheetId="1">#REF!</definedName>
    <definedName name="_______MMM19" localSheetId="0">#REF!</definedName>
    <definedName name="_______MMM19" localSheetId="5">#REF!</definedName>
    <definedName name="_______MMM19" localSheetId="6">#REF!</definedName>
    <definedName name="_______MMM19" localSheetId="16">#REF!</definedName>
    <definedName name="_______MMM19" localSheetId="7">#REF!</definedName>
    <definedName name="_______MMM19">#REF!</definedName>
    <definedName name="_______MMM20" localSheetId="21">#REF!</definedName>
    <definedName name="_______MMM20" localSheetId="1">#REF!</definedName>
    <definedName name="_______MMM20" localSheetId="0">#REF!</definedName>
    <definedName name="_______MMM20" localSheetId="5">#REF!</definedName>
    <definedName name="_______MMM20" localSheetId="6">#REF!</definedName>
    <definedName name="_______MMM20" localSheetId="16">#REF!</definedName>
    <definedName name="_______MMM20" localSheetId="7">#REF!</definedName>
    <definedName name="_______MMM20">#REF!</definedName>
    <definedName name="_______MMM21" localSheetId="21">#REF!</definedName>
    <definedName name="_______MMM21" localSheetId="1">#REF!</definedName>
    <definedName name="_______MMM21" localSheetId="0">#REF!</definedName>
    <definedName name="_______MMM21" localSheetId="5">#REF!</definedName>
    <definedName name="_______MMM21" localSheetId="6">#REF!</definedName>
    <definedName name="_______MMM21" localSheetId="16">#REF!</definedName>
    <definedName name="_______MMM21" localSheetId="7">#REF!</definedName>
    <definedName name="_______MMM21">#REF!</definedName>
    <definedName name="_______MMM22" localSheetId="21">#REF!</definedName>
    <definedName name="_______MMM22" localSheetId="1">#REF!</definedName>
    <definedName name="_______MMM22" localSheetId="0">#REF!</definedName>
    <definedName name="_______MMM22" localSheetId="5">#REF!</definedName>
    <definedName name="_______MMM22" localSheetId="6">#REF!</definedName>
    <definedName name="_______MMM22" localSheetId="16">#REF!</definedName>
    <definedName name="_______MMM22" localSheetId="7">#REF!</definedName>
    <definedName name="_______MMM22">#REF!</definedName>
    <definedName name="_______MMM23" localSheetId="21">#REF!</definedName>
    <definedName name="_______MMM23" localSheetId="1">#REF!</definedName>
    <definedName name="_______MMM23" localSheetId="0">#REF!</definedName>
    <definedName name="_______MMM23" localSheetId="5">#REF!</definedName>
    <definedName name="_______MMM23" localSheetId="6">#REF!</definedName>
    <definedName name="_______MMM23" localSheetId="16">#REF!</definedName>
    <definedName name="_______MMM23" localSheetId="7">#REF!</definedName>
    <definedName name="_______MMM23">#REF!</definedName>
    <definedName name="_______MMM24" localSheetId="21">#REF!</definedName>
    <definedName name="_______MMM24" localSheetId="1">#REF!</definedName>
    <definedName name="_______MMM24" localSheetId="0">#REF!</definedName>
    <definedName name="_______MMM24" localSheetId="5">#REF!</definedName>
    <definedName name="_______MMM24" localSheetId="6">#REF!</definedName>
    <definedName name="_______MMM24" localSheetId="16">#REF!</definedName>
    <definedName name="_______MMM24" localSheetId="7">#REF!</definedName>
    <definedName name="_______MMM24">#REF!</definedName>
    <definedName name="_______MMM25" localSheetId="21">#REF!</definedName>
    <definedName name="_______MMM25" localSheetId="1">#REF!</definedName>
    <definedName name="_______MMM25" localSheetId="0">#REF!</definedName>
    <definedName name="_______MMM25" localSheetId="5">#REF!</definedName>
    <definedName name="_______MMM25" localSheetId="6">#REF!</definedName>
    <definedName name="_______MMM25" localSheetId="16">#REF!</definedName>
    <definedName name="_______MMM25" localSheetId="7">#REF!</definedName>
    <definedName name="_______MMM25">#REF!</definedName>
    <definedName name="_______MMM26" localSheetId="21">#REF!</definedName>
    <definedName name="_______MMM26" localSheetId="1">#REF!</definedName>
    <definedName name="_______MMM26" localSheetId="0">#REF!</definedName>
    <definedName name="_______MMM26" localSheetId="5">#REF!</definedName>
    <definedName name="_______MMM26" localSheetId="6">#REF!</definedName>
    <definedName name="_______MMM26" localSheetId="16">#REF!</definedName>
    <definedName name="_______MMM26" localSheetId="7">#REF!</definedName>
    <definedName name="_______MMM26">#REF!</definedName>
    <definedName name="_______MMM27" localSheetId="21">#REF!</definedName>
    <definedName name="_______MMM27" localSheetId="1">#REF!</definedName>
    <definedName name="_______MMM27" localSheetId="0">#REF!</definedName>
    <definedName name="_______MMM27" localSheetId="5">#REF!</definedName>
    <definedName name="_______MMM27" localSheetId="6">#REF!</definedName>
    <definedName name="_______MMM27" localSheetId="16">#REF!</definedName>
    <definedName name="_______MMM27" localSheetId="7">#REF!</definedName>
    <definedName name="_______MMM27">#REF!</definedName>
    <definedName name="_______MMM28" localSheetId="21">#REF!</definedName>
    <definedName name="_______MMM28" localSheetId="1">#REF!</definedName>
    <definedName name="_______MMM28" localSheetId="0">#REF!</definedName>
    <definedName name="_______MMM28" localSheetId="5">#REF!</definedName>
    <definedName name="_______MMM28" localSheetId="6">#REF!</definedName>
    <definedName name="_______MMM28" localSheetId="16">#REF!</definedName>
    <definedName name="_______MMM28" localSheetId="7">#REF!</definedName>
    <definedName name="_______MMM28">#REF!</definedName>
    <definedName name="_______MMM29" localSheetId="21">#REF!</definedName>
    <definedName name="_______MMM29" localSheetId="1">#REF!</definedName>
    <definedName name="_______MMM29" localSheetId="0">#REF!</definedName>
    <definedName name="_______MMM29" localSheetId="5">#REF!</definedName>
    <definedName name="_______MMM29" localSheetId="6">#REF!</definedName>
    <definedName name="_______MMM29" localSheetId="16">#REF!</definedName>
    <definedName name="_______MMM29" localSheetId="7">#REF!</definedName>
    <definedName name="_______MMM29">#REF!</definedName>
    <definedName name="_______MMM30" localSheetId="21">#REF!</definedName>
    <definedName name="_______MMM30" localSheetId="1">#REF!</definedName>
    <definedName name="_______MMM30" localSheetId="0">#REF!</definedName>
    <definedName name="_______MMM30" localSheetId="5">#REF!</definedName>
    <definedName name="_______MMM30" localSheetId="6">#REF!</definedName>
    <definedName name="_______MMM30" localSheetId="16">#REF!</definedName>
    <definedName name="_______MMM30" localSheetId="7">#REF!</definedName>
    <definedName name="_______MMM30">#REF!</definedName>
    <definedName name="_______MMM31" localSheetId="21">#REF!</definedName>
    <definedName name="_______MMM31" localSheetId="1">#REF!</definedName>
    <definedName name="_______MMM31" localSheetId="0">#REF!</definedName>
    <definedName name="_______MMM31" localSheetId="5">#REF!</definedName>
    <definedName name="_______MMM31" localSheetId="6">#REF!</definedName>
    <definedName name="_______MMM31" localSheetId="16">#REF!</definedName>
    <definedName name="_______MMM31" localSheetId="7">#REF!</definedName>
    <definedName name="_______MMM31">#REF!</definedName>
    <definedName name="_______MMM32" localSheetId="21">#REF!</definedName>
    <definedName name="_______MMM32" localSheetId="1">#REF!</definedName>
    <definedName name="_______MMM32" localSheetId="0">#REF!</definedName>
    <definedName name="_______MMM32" localSheetId="5">#REF!</definedName>
    <definedName name="_______MMM32" localSheetId="6">#REF!</definedName>
    <definedName name="_______MMM32" localSheetId="16">#REF!</definedName>
    <definedName name="_______MMM32" localSheetId="7">#REF!</definedName>
    <definedName name="_______MMM32">#REF!</definedName>
    <definedName name="_______MMM33" localSheetId="21">#REF!</definedName>
    <definedName name="_______MMM33" localSheetId="1">#REF!</definedName>
    <definedName name="_______MMM33" localSheetId="0">#REF!</definedName>
    <definedName name="_______MMM33" localSheetId="5">#REF!</definedName>
    <definedName name="_______MMM33" localSheetId="6">#REF!</definedName>
    <definedName name="_______MMM33" localSheetId="16">#REF!</definedName>
    <definedName name="_______MMM33" localSheetId="7">#REF!</definedName>
    <definedName name="_______MMM33">#REF!</definedName>
    <definedName name="_______MMM34" localSheetId="21">#REF!</definedName>
    <definedName name="_______MMM34" localSheetId="1">#REF!</definedName>
    <definedName name="_______MMM34" localSheetId="0">#REF!</definedName>
    <definedName name="_______MMM34" localSheetId="5">#REF!</definedName>
    <definedName name="_______MMM34" localSheetId="6">#REF!</definedName>
    <definedName name="_______MMM34" localSheetId="16">#REF!</definedName>
    <definedName name="_______MMM34" localSheetId="7">#REF!</definedName>
    <definedName name="_______MMM34">#REF!</definedName>
    <definedName name="_______MMM35" localSheetId="21">#REF!</definedName>
    <definedName name="_______MMM35" localSheetId="1">#REF!</definedName>
    <definedName name="_______MMM35" localSheetId="0">#REF!</definedName>
    <definedName name="_______MMM35" localSheetId="5">#REF!</definedName>
    <definedName name="_______MMM35" localSheetId="6">#REF!</definedName>
    <definedName name="_______MMM35" localSheetId="16">#REF!</definedName>
    <definedName name="_______MMM35" localSheetId="7">#REF!</definedName>
    <definedName name="_______MMM35">#REF!</definedName>
    <definedName name="_______MMM36" localSheetId="21">#REF!</definedName>
    <definedName name="_______MMM36" localSheetId="1">#REF!</definedName>
    <definedName name="_______MMM36" localSheetId="0">#REF!</definedName>
    <definedName name="_______MMM36" localSheetId="5">#REF!</definedName>
    <definedName name="_______MMM36" localSheetId="6">#REF!</definedName>
    <definedName name="_______MMM36" localSheetId="16">#REF!</definedName>
    <definedName name="_______MMM36" localSheetId="7">#REF!</definedName>
    <definedName name="_______MMM36">#REF!</definedName>
    <definedName name="_______MMM37" localSheetId="21">#REF!</definedName>
    <definedName name="_______MMM37" localSheetId="1">#REF!</definedName>
    <definedName name="_______MMM37" localSheetId="0">#REF!</definedName>
    <definedName name="_______MMM37" localSheetId="5">#REF!</definedName>
    <definedName name="_______MMM37" localSheetId="6">#REF!</definedName>
    <definedName name="_______MMM37" localSheetId="16">#REF!</definedName>
    <definedName name="_______MMM37" localSheetId="7">#REF!</definedName>
    <definedName name="_______MMM37">#REF!</definedName>
    <definedName name="_______MMM38" localSheetId="21">#REF!</definedName>
    <definedName name="_______MMM38" localSheetId="1">#REF!</definedName>
    <definedName name="_______MMM38" localSheetId="0">#REF!</definedName>
    <definedName name="_______MMM38" localSheetId="5">#REF!</definedName>
    <definedName name="_______MMM38" localSheetId="6">#REF!</definedName>
    <definedName name="_______MMM38" localSheetId="16">#REF!</definedName>
    <definedName name="_______MMM38" localSheetId="7">#REF!</definedName>
    <definedName name="_______MMM38">#REF!</definedName>
    <definedName name="_______MMM39" localSheetId="21">#REF!</definedName>
    <definedName name="_______MMM39" localSheetId="1">#REF!</definedName>
    <definedName name="_______MMM39" localSheetId="0">#REF!</definedName>
    <definedName name="_______MMM39" localSheetId="5">#REF!</definedName>
    <definedName name="_______MMM39" localSheetId="6">#REF!</definedName>
    <definedName name="_______MMM39" localSheetId="16">#REF!</definedName>
    <definedName name="_______MMM39" localSheetId="7">#REF!</definedName>
    <definedName name="_______MMM39">#REF!</definedName>
    <definedName name="_______MMM40" localSheetId="21">#REF!</definedName>
    <definedName name="_______MMM40" localSheetId="1">#REF!</definedName>
    <definedName name="_______MMM40" localSheetId="0">#REF!</definedName>
    <definedName name="_______MMM40" localSheetId="5">#REF!</definedName>
    <definedName name="_______MMM40" localSheetId="6">#REF!</definedName>
    <definedName name="_______MMM40" localSheetId="16">#REF!</definedName>
    <definedName name="_______MMM40" localSheetId="7">#REF!</definedName>
    <definedName name="_______MMM40">#REF!</definedName>
    <definedName name="_______MMM41" localSheetId="21">#REF!</definedName>
    <definedName name="_______MMM41" localSheetId="1">#REF!</definedName>
    <definedName name="_______MMM41" localSheetId="0">#REF!</definedName>
    <definedName name="_______MMM41" localSheetId="5">#REF!</definedName>
    <definedName name="_______MMM41" localSheetId="6">#REF!</definedName>
    <definedName name="_______MMM41" localSheetId="16">#REF!</definedName>
    <definedName name="_______MMM41" localSheetId="7">#REF!</definedName>
    <definedName name="_______MMM41">#REF!</definedName>
    <definedName name="_______MMM411" localSheetId="21">#REF!</definedName>
    <definedName name="_______MMM411" localSheetId="1">#REF!</definedName>
    <definedName name="_______MMM411" localSheetId="0">#REF!</definedName>
    <definedName name="_______MMM411" localSheetId="5">#REF!</definedName>
    <definedName name="_______MMM411" localSheetId="6">#REF!</definedName>
    <definedName name="_______MMM411" localSheetId="16">#REF!</definedName>
    <definedName name="_______MMM411" localSheetId="7">#REF!</definedName>
    <definedName name="_______MMM411">#REF!</definedName>
    <definedName name="_______MMM42" localSheetId="21">#REF!</definedName>
    <definedName name="_______MMM42" localSheetId="1">#REF!</definedName>
    <definedName name="_______MMM42" localSheetId="0">#REF!</definedName>
    <definedName name="_______MMM42" localSheetId="5">#REF!</definedName>
    <definedName name="_______MMM42" localSheetId="6">#REF!</definedName>
    <definedName name="_______MMM42" localSheetId="16">#REF!</definedName>
    <definedName name="_______MMM42" localSheetId="7">#REF!</definedName>
    <definedName name="_______MMM42">#REF!</definedName>
    <definedName name="_______MMM43" localSheetId="21">#REF!</definedName>
    <definedName name="_______MMM43" localSheetId="1">#REF!</definedName>
    <definedName name="_______MMM43" localSheetId="0">#REF!</definedName>
    <definedName name="_______MMM43" localSheetId="5">#REF!</definedName>
    <definedName name="_______MMM43" localSheetId="6">#REF!</definedName>
    <definedName name="_______MMM43" localSheetId="16">#REF!</definedName>
    <definedName name="_______MMM43" localSheetId="7">#REF!</definedName>
    <definedName name="_______MMM43">#REF!</definedName>
    <definedName name="_______MMM44" localSheetId="21">#REF!</definedName>
    <definedName name="_______MMM44" localSheetId="1">#REF!</definedName>
    <definedName name="_______MMM44" localSheetId="0">#REF!</definedName>
    <definedName name="_______MMM44" localSheetId="5">#REF!</definedName>
    <definedName name="_______MMM44" localSheetId="6">#REF!</definedName>
    <definedName name="_______MMM44" localSheetId="16">#REF!</definedName>
    <definedName name="_______MMM44" localSheetId="7">#REF!</definedName>
    <definedName name="_______MMM44">#REF!</definedName>
    <definedName name="_______MMM45" localSheetId="21">#REF!</definedName>
    <definedName name="_______MMM45" localSheetId="1">#REF!</definedName>
    <definedName name="_______MMM45" localSheetId="0">#REF!</definedName>
    <definedName name="_______MMM45" localSheetId="5">#REF!</definedName>
    <definedName name="_______MMM45" localSheetId="6">#REF!</definedName>
    <definedName name="_______MMM45" localSheetId="16">#REF!</definedName>
    <definedName name="_______MMM45" localSheetId="7">#REF!</definedName>
    <definedName name="_______MMM45">#REF!</definedName>
    <definedName name="_______MMM46" localSheetId="21">#REF!</definedName>
    <definedName name="_______MMM46" localSheetId="1">#REF!</definedName>
    <definedName name="_______MMM46" localSheetId="0">#REF!</definedName>
    <definedName name="_______MMM46" localSheetId="5">#REF!</definedName>
    <definedName name="_______MMM46" localSheetId="6">#REF!</definedName>
    <definedName name="_______MMM46" localSheetId="16">#REF!</definedName>
    <definedName name="_______MMM46" localSheetId="7">#REF!</definedName>
    <definedName name="_______MMM46">#REF!</definedName>
    <definedName name="_______MMM47" localSheetId="21">#REF!</definedName>
    <definedName name="_______MMM47" localSheetId="1">#REF!</definedName>
    <definedName name="_______MMM47" localSheetId="0">#REF!</definedName>
    <definedName name="_______MMM47" localSheetId="5">#REF!</definedName>
    <definedName name="_______MMM47" localSheetId="6">#REF!</definedName>
    <definedName name="_______MMM47" localSheetId="16">#REF!</definedName>
    <definedName name="_______MMM47" localSheetId="7">#REF!</definedName>
    <definedName name="_______MMM47">#REF!</definedName>
    <definedName name="_______MMM48" localSheetId="21">#REF!</definedName>
    <definedName name="_______MMM48" localSheetId="1">#REF!</definedName>
    <definedName name="_______MMM48" localSheetId="0">#REF!</definedName>
    <definedName name="_______MMM48" localSheetId="5">#REF!</definedName>
    <definedName name="_______MMM48" localSheetId="6">#REF!</definedName>
    <definedName name="_______MMM48" localSheetId="16">#REF!</definedName>
    <definedName name="_______MMM48" localSheetId="7">#REF!</definedName>
    <definedName name="_______MMM48">#REF!</definedName>
    <definedName name="_______MMM49" localSheetId="21">#REF!</definedName>
    <definedName name="_______MMM49" localSheetId="1">#REF!</definedName>
    <definedName name="_______MMM49" localSheetId="0">#REF!</definedName>
    <definedName name="_______MMM49" localSheetId="5">#REF!</definedName>
    <definedName name="_______MMM49" localSheetId="6">#REF!</definedName>
    <definedName name="_______MMM49" localSheetId="16">#REF!</definedName>
    <definedName name="_______MMM49" localSheetId="7">#REF!</definedName>
    <definedName name="_______MMM49">#REF!</definedName>
    <definedName name="_______MMM50" localSheetId="21">#REF!</definedName>
    <definedName name="_______MMM50" localSheetId="1">#REF!</definedName>
    <definedName name="_______MMM50" localSheetId="0">#REF!</definedName>
    <definedName name="_______MMM50" localSheetId="5">#REF!</definedName>
    <definedName name="_______MMM50" localSheetId="6">#REF!</definedName>
    <definedName name="_______MMM50" localSheetId="16">#REF!</definedName>
    <definedName name="_______MMM50" localSheetId="7">#REF!</definedName>
    <definedName name="_______MMM50">#REF!</definedName>
    <definedName name="_______MMM51" localSheetId="21">#REF!</definedName>
    <definedName name="_______MMM51" localSheetId="1">#REF!</definedName>
    <definedName name="_______MMM51" localSheetId="0">#REF!</definedName>
    <definedName name="_______MMM51" localSheetId="5">#REF!</definedName>
    <definedName name="_______MMM51" localSheetId="6">#REF!</definedName>
    <definedName name="_______MMM51" localSheetId="16">#REF!</definedName>
    <definedName name="_______MMM51" localSheetId="7">#REF!</definedName>
    <definedName name="_______MMM51">#REF!</definedName>
    <definedName name="_______MMM52" localSheetId="21">#REF!</definedName>
    <definedName name="_______MMM52" localSheetId="1">#REF!</definedName>
    <definedName name="_______MMM52" localSheetId="0">#REF!</definedName>
    <definedName name="_______MMM52" localSheetId="5">#REF!</definedName>
    <definedName name="_______MMM52" localSheetId="6">#REF!</definedName>
    <definedName name="_______MMM52" localSheetId="16">#REF!</definedName>
    <definedName name="_______MMM52" localSheetId="7">#REF!</definedName>
    <definedName name="_______MMM52">#REF!</definedName>
    <definedName name="_______MMM53" localSheetId="21">#REF!</definedName>
    <definedName name="_______MMM53" localSheetId="1">#REF!</definedName>
    <definedName name="_______MMM53" localSheetId="0">#REF!</definedName>
    <definedName name="_______MMM53" localSheetId="5">#REF!</definedName>
    <definedName name="_______MMM53" localSheetId="6">#REF!</definedName>
    <definedName name="_______MMM53" localSheetId="16">#REF!</definedName>
    <definedName name="_______MMM53" localSheetId="7">#REF!</definedName>
    <definedName name="_______MMM53">#REF!</definedName>
    <definedName name="_______MMM54" localSheetId="21">#REF!</definedName>
    <definedName name="_______MMM54" localSheetId="1">#REF!</definedName>
    <definedName name="_______MMM54" localSheetId="0">#REF!</definedName>
    <definedName name="_______MMM54" localSheetId="5">#REF!</definedName>
    <definedName name="_______MMM54" localSheetId="6">#REF!</definedName>
    <definedName name="_______MMM54" localSheetId="16">#REF!</definedName>
    <definedName name="_______MMM54" localSheetId="7">#REF!</definedName>
    <definedName name="_______MMM54">#REF!</definedName>
    <definedName name="______DIV1">'[2]Kuantitas &amp; Harga'!$G$26</definedName>
    <definedName name="______DIV10">'[2]Kuantitas &amp; Harga'!$G$418</definedName>
    <definedName name="______DIV11" localSheetId="21">[4]RAB!#REF!</definedName>
    <definedName name="______DIV11" localSheetId="1">[4]RAB!#REF!</definedName>
    <definedName name="______DIV11" localSheetId="0">[4]RAB!#REF!</definedName>
    <definedName name="______DIV11" localSheetId="5">[4]RAB!#REF!</definedName>
    <definedName name="______DIV11" localSheetId="6">[4]RAB!#REF!</definedName>
    <definedName name="______DIV11" localSheetId="16">[4]RAB!#REF!</definedName>
    <definedName name="______DIV11" localSheetId="7">[4]RAB!#REF!</definedName>
    <definedName name="______DIV11">[4]RAB!#REF!</definedName>
    <definedName name="______DIV2">'[2]Kuantitas &amp; Harga'!$G$50</definedName>
    <definedName name="______DIV3">'[2]Kuantitas &amp; Harga'!$G$84</definedName>
    <definedName name="______DIV4">'[2]Kuantitas &amp; Harga'!$G$99</definedName>
    <definedName name="______DIV5">'[2]Kuantitas &amp; Harga'!$G$119</definedName>
    <definedName name="______DIV6">'[2]Kuantitas &amp; Harga'!$G$155</definedName>
    <definedName name="______DIV7">'[2]Kuantitas &amp; Harga'!$G$319</definedName>
    <definedName name="______DIV8">'[2]Kuantitas &amp; Harga'!$G$377</definedName>
    <definedName name="______DIV9">'[2]Kuantitas &amp; Harga'!$G$405</definedName>
    <definedName name="______HAL1" localSheetId="21">#REF!</definedName>
    <definedName name="______HAL1" localSheetId="1">#REF!</definedName>
    <definedName name="______HAL1" localSheetId="0">#REF!</definedName>
    <definedName name="______HAL1" localSheetId="5">#REF!</definedName>
    <definedName name="______HAL1" localSheetId="6">#REF!</definedName>
    <definedName name="______HAL1" localSheetId="16">#REF!</definedName>
    <definedName name="______HAL1" localSheetId="7">#REF!</definedName>
    <definedName name="______HAL1">#REF!</definedName>
    <definedName name="______HAL2" localSheetId="21">#REF!</definedName>
    <definedName name="______HAL2" localSheetId="1">#REF!</definedName>
    <definedName name="______HAL2" localSheetId="0">#REF!</definedName>
    <definedName name="______HAL2" localSheetId="5">#REF!</definedName>
    <definedName name="______HAL2" localSheetId="6">#REF!</definedName>
    <definedName name="______HAL2" localSheetId="16">#REF!</definedName>
    <definedName name="______HAL2" localSheetId="7">#REF!</definedName>
    <definedName name="______HAL2">#REF!</definedName>
    <definedName name="______KL12">[5]alat!$AW$18</definedName>
    <definedName name="______LLL01" localSheetId="21">#REF!</definedName>
    <definedName name="______LLL01" localSheetId="1">#REF!</definedName>
    <definedName name="______LLL01" localSheetId="0">#REF!</definedName>
    <definedName name="______LLL01" localSheetId="5">#REF!</definedName>
    <definedName name="______LLL01" localSheetId="6">#REF!</definedName>
    <definedName name="______LLL01" localSheetId="16">#REF!</definedName>
    <definedName name="______LLL01" localSheetId="7">#REF!</definedName>
    <definedName name="______LLL01">#REF!</definedName>
    <definedName name="______LLL02" localSheetId="21">#REF!</definedName>
    <definedName name="______LLL02" localSheetId="1">#REF!</definedName>
    <definedName name="______LLL02" localSheetId="0">#REF!</definedName>
    <definedName name="______LLL02" localSheetId="5">#REF!</definedName>
    <definedName name="______LLL02" localSheetId="6">#REF!</definedName>
    <definedName name="______LLL02" localSheetId="16">#REF!</definedName>
    <definedName name="______LLL02" localSheetId="7">#REF!</definedName>
    <definedName name="______LLL02">#REF!</definedName>
    <definedName name="______LLL03" localSheetId="21">#REF!</definedName>
    <definedName name="______LLL03" localSheetId="1">#REF!</definedName>
    <definedName name="______LLL03" localSheetId="0">#REF!</definedName>
    <definedName name="______LLL03" localSheetId="5">#REF!</definedName>
    <definedName name="______LLL03" localSheetId="6">#REF!</definedName>
    <definedName name="______LLL03" localSheetId="16">#REF!</definedName>
    <definedName name="______LLL03" localSheetId="7">#REF!</definedName>
    <definedName name="______LLL03">#REF!</definedName>
    <definedName name="______LLL04" localSheetId="21">#REF!</definedName>
    <definedName name="______LLL04" localSheetId="1">#REF!</definedName>
    <definedName name="______LLL04" localSheetId="0">#REF!</definedName>
    <definedName name="______LLL04" localSheetId="5">#REF!</definedName>
    <definedName name="______LLL04" localSheetId="6">#REF!</definedName>
    <definedName name="______LLL04" localSheetId="16">#REF!</definedName>
    <definedName name="______LLL04" localSheetId="7">#REF!</definedName>
    <definedName name="______LLL04">#REF!</definedName>
    <definedName name="______LLL05" localSheetId="21">#REF!</definedName>
    <definedName name="______LLL05" localSheetId="1">#REF!</definedName>
    <definedName name="______LLL05" localSheetId="0">#REF!</definedName>
    <definedName name="______LLL05" localSheetId="5">#REF!</definedName>
    <definedName name="______LLL05" localSheetId="6">#REF!</definedName>
    <definedName name="______LLL05" localSheetId="16">#REF!</definedName>
    <definedName name="______LLL05" localSheetId="7">#REF!</definedName>
    <definedName name="______LLL05">#REF!</definedName>
    <definedName name="______LLL06" localSheetId="21">#REF!</definedName>
    <definedName name="______LLL06" localSheetId="1">#REF!</definedName>
    <definedName name="______LLL06" localSheetId="0">#REF!</definedName>
    <definedName name="______LLL06" localSheetId="5">#REF!</definedName>
    <definedName name="______LLL06" localSheetId="6">#REF!</definedName>
    <definedName name="______LLL06" localSheetId="16">#REF!</definedName>
    <definedName name="______LLL06" localSheetId="7">#REF!</definedName>
    <definedName name="______LLL06">#REF!</definedName>
    <definedName name="______LLL07" localSheetId="21">#REF!</definedName>
    <definedName name="______LLL07" localSheetId="1">#REF!</definedName>
    <definedName name="______LLL07" localSheetId="0">#REF!</definedName>
    <definedName name="______LLL07" localSheetId="5">#REF!</definedName>
    <definedName name="______LLL07" localSheetId="6">#REF!</definedName>
    <definedName name="______LLL07" localSheetId="16">#REF!</definedName>
    <definedName name="______LLL07" localSheetId="7">#REF!</definedName>
    <definedName name="______LLL07">#REF!</definedName>
    <definedName name="______LLL08" localSheetId="21">#REF!</definedName>
    <definedName name="______LLL08" localSheetId="1">#REF!</definedName>
    <definedName name="______LLL08" localSheetId="0">#REF!</definedName>
    <definedName name="______LLL08" localSheetId="5">#REF!</definedName>
    <definedName name="______LLL08" localSheetId="6">#REF!</definedName>
    <definedName name="______LLL08" localSheetId="16">#REF!</definedName>
    <definedName name="______LLL08" localSheetId="7">#REF!</definedName>
    <definedName name="______LLL08">#REF!</definedName>
    <definedName name="______LLL09" localSheetId="21">#REF!</definedName>
    <definedName name="______LLL09" localSheetId="1">#REF!</definedName>
    <definedName name="______LLL09" localSheetId="0">#REF!</definedName>
    <definedName name="______LLL09" localSheetId="5">#REF!</definedName>
    <definedName name="______LLL09" localSheetId="6">#REF!</definedName>
    <definedName name="______LLL09" localSheetId="16">#REF!</definedName>
    <definedName name="______LLL09" localSheetId="7">#REF!</definedName>
    <definedName name="______LLL09">#REF!</definedName>
    <definedName name="______LLL10" localSheetId="21">#REF!</definedName>
    <definedName name="______LLL10" localSheetId="1">#REF!</definedName>
    <definedName name="______LLL10" localSheetId="0">#REF!</definedName>
    <definedName name="______LLL10" localSheetId="5">#REF!</definedName>
    <definedName name="______LLL10" localSheetId="6">#REF!</definedName>
    <definedName name="______LLL10" localSheetId="16">#REF!</definedName>
    <definedName name="______LLL10" localSheetId="7">#REF!</definedName>
    <definedName name="______LLL10">#REF!</definedName>
    <definedName name="______LLL11" localSheetId="21">#REF!</definedName>
    <definedName name="______LLL11" localSheetId="1">#REF!</definedName>
    <definedName name="______LLL11" localSheetId="0">#REF!</definedName>
    <definedName name="______LLL11" localSheetId="5">#REF!</definedName>
    <definedName name="______LLL11" localSheetId="6">#REF!</definedName>
    <definedName name="______LLL11" localSheetId="16">#REF!</definedName>
    <definedName name="______LLL11" localSheetId="7">#REF!</definedName>
    <definedName name="______LLL11">#REF!</definedName>
    <definedName name="______MMM01" localSheetId="21">#REF!</definedName>
    <definedName name="______MMM01" localSheetId="1">#REF!</definedName>
    <definedName name="______MMM01" localSheetId="0">#REF!</definedName>
    <definedName name="______MMM01" localSheetId="5">#REF!</definedName>
    <definedName name="______MMM01" localSheetId="6">#REF!</definedName>
    <definedName name="______MMM01" localSheetId="16">#REF!</definedName>
    <definedName name="______MMM01" localSheetId="7">#REF!</definedName>
    <definedName name="______MMM01">#REF!</definedName>
    <definedName name="______MMM02" localSheetId="21">#REF!</definedName>
    <definedName name="______MMM02" localSheetId="1">#REF!</definedName>
    <definedName name="______MMM02" localSheetId="0">#REF!</definedName>
    <definedName name="______MMM02" localSheetId="5">#REF!</definedName>
    <definedName name="______MMM02" localSheetId="6">#REF!</definedName>
    <definedName name="______MMM02" localSheetId="16">#REF!</definedName>
    <definedName name="______MMM02" localSheetId="7">#REF!</definedName>
    <definedName name="______MMM02">#REF!</definedName>
    <definedName name="______MMM03" localSheetId="21">#REF!</definedName>
    <definedName name="______MMM03" localSheetId="1">#REF!</definedName>
    <definedName name="______MMM03" localSheetId="0">#REF!</definedName>
    <definedName name="______MMM03" localSheetId="5">#REF!</definedName>
    <definedName name="______MMM03" localSheetId="6">#REF!</definedName>
    <definedName name="______MMM03" localSheetId="16">#REF!</definedName>
    <definedName name="______MMM03" localSheetId="7">#REF!</definedName>
    <definedName name="______MMM03">#REF!</definedName>
    <definedName name="______MMM04" localSheetId="21">#REF!</definedName>
    <definedName name="______MMM04" localSheetId="1">#REF!</definedName>
    <definedName name="______MMM04" localSheetId="0">#REF!</definedName>
    <definedName name="______MMM04" localSheetId="5">#REF!</definedName>
    <definedName name="______MMM04" localSheetId="6">#REF!</definedName>
    <definedName name="______MMM04" localSheetId="16">#REF!</definedName>
    <definedName name="______MMM04" localSheetId="7">#REF!</definedName>
    <definedName name="______MMM04">#REF!</definedName>
    <definedName name="______MMM05" localSheetId="21">#REF!</definedName>
    <definedName name="______MMM05" localSheetId="1">#REF!</definedName>
    <definedName name="______MMM05" localSheetId="0">#REF!</definedName>
    <definedName name="______MMM05" localSheetId="5">#REF!</definedName>
    <definedName name="______MMM05" localSheetId="6">#REF!</definedName>
    <definedName name="______MMM05" localSheetId="16">#REF!</definedName>
    <definedName name="______MMM05" localSheetId="7">#REF!</definedName>
    <definedName name="______MMM05">#REF!</definedName>
    <definedName name="______MMM06" localSheetId="21">#REF!</definedName>
    <definedName name="______MMM06" localSheetId="1">#REF!</definedName>
    <definedName name="______MMM06" localSheetId="0">#REF!</definedName>
    <definedName name="______MMM06" localSheetId="5">#REF!</definedName>
    <definedName name="______MMM06" localSheetId="6">#REF!</definedName>
    <definedName name="______MMM06" localSheetId="16">#REF!</definedName>
    <definedName name="______MMM06" localSheetId="7">#REF!</definedName>
    <definedName name="______MMM06">#REF!</definedName>
    <definedName name="______MMM07" localSheetId="21">#REF!</definedName>
    <definedName name="______MMM07" localSheetId="1">#REF!</definedName>
    <definedName name="______MMM07" localSheetId="0">#REF!</definedName>
    <definedName name="______MMM07" localSheetId="5">#REF!</definedName>
    <definedName name="______MMM07" localSheetId="6">#REF!</definedName>
    <definedName name="______MMM07" localSheetId="16">#REF!</definedName>
    <definedName name="______MMM07" localSheetId="7">#REF!</definedName>
    <definedName name="______MMM07">#REF!</definedName>
    <definedName name="______MMM08" localSheetId="21">#REF!</definedName>
    <definedName name="______MMM08" localSheetId="1">#REF!</definedName>
    <definedName name="______MMM08" localSheetId="0">#REF!</definedName>
    <definedName name="______MMM08" localSheetId="5">#REF!</definedName>
    <definedName name="______MMM08" localSheetId="6">#REF!</definedName>
    <definedName name="______MMM08" localSheetId="16">#REF!</definedName>
    <definedName name="______MMM08" localSheetId="7">#REF!</definedName>
    <definedName name="______MMM08">#REF!</definedName>
    <definedName name="______MMM09" localSheetId="21">#REF!</definedName>
    <definedName name="______MMM09" localSheetId="1">#REF!</definedName>
    <definedName name="______MMM09" localSheetId="0">#REF!</definedName>
    <definedName name="______MMM09" localSheetId="5">#REF!</definedName>
    <definedName name="______MMM09" localSheetId="6">#REF!</definedName>
    <definedName name="______MMM09" localSheetId="16">#REF!</definedName>
    <definedName name="______MMM09" localSheetId="7">#REF!</definedName>
    <definedName name="______MMM09">#REF!</definedName>
    <definedName name="______MMM10" localSheetId="21">#REF!</definedName>
    <definedName name="______MMM10" localSheetId="1">#REF!</definedName>
    <definedName name="______MMM10" localSheetId="0">#REF!</definedName>
    <definedName name="______MMM10" localSheetId="5">#REF!</definedName>
    <definedName name="______MMM10" localSheetId="6">#REF!</definedName>
    <definedName name="______MMM10" localSheetId="16">#REF!</definedName>
    <definedName name="______MMM10" localSheetId="7">#REF!</definedName>
    <definedName name="______MMM10">#REF!</definedName>
    <definedName name="______MMM11" localSheetId="21">#REF!</definedName>
    <definedName name="______MMM11" localSheetId="1">#REF!</definedName>
    <definedName name="______MMM11" localSheetId="0">#REF!</definedName>
    <definedName name="______MMM11" localSheetId="5">#REF!</definedName>
    <definedName name="______MMM11" localSheetId="6">#REF!</definedName>
    <definedName name="______MMM11" localSheetId="16">#REF!</definedName>
    <definedName name="______MMM11" localSheetId="7">#REF!</definedName>
    <definedName name="______MMM11">#REF!</definedName>
    <definedName name="______MMM12" localSheetId="21">#REF!</definedName>
    <definedName name="______MMM12" localSheetId="1">#REF!</definedName>
    <definedName name="______MMM12" localSheetId="0">#REF!</definedName>
    <definedName name="______MMM12" localSheetId="5">#REF!</definedName>
    <definedName name="______MMM12" localSheetId="6">#REF!</definedName>
    <definedName name="______MMM12" localSheetId="16">#REF!</definedName>
    <definedName name="______MMM12" localSheetId="7">#REF!</definedName>
    <definedName name="______MMM12">#REF!</definedName>
    <definedName name="______MMM13" localSheetId="21">#REF!</definedName>
    <definedName name="______MMM13" localSheetId="1">#REF!</definedName>
    <definedName name="______MMM13" localSheetId="0">#REF!</definedName>
    <definedName name="______MMM13" localSheetId="5">#REF!</definedName>
    <definedName name="______MMM13" localSheetId="6">#REF!</definedName>
    <definedName name="______MMM13" localSheetId="16">#REF!</definedName>
    <definedName name="______MMM13" localSheetId="7">#REF!</definedName>
    <definedName name="______MMM13">#REF!</definedName>
    <definedName name="______MMM14" localSheetId="21">#REF!</definedName>
    <definedName name="______MMM14" localSheetId="1">#REF!</definedName>
    <definedName name="______MMM14" localSheetId="0">#REF!</definedName>
    <definedName name="______MMM14" localSheetId="5">#REF!</definedName>
    <definedName name="______MMM14" localSheetId="6">#REF!</definedName>
    <definedName name="______MMM14" localSheetId="16">#REF!</definedName>
    <definedName name="______MMM14" localSheetId="7">#REF!</definedName>
    <definedName name="______MMM14">#REF!</definedName>
    <definedName name="______MMM15" localSheetId="21">#REF!</definedName>
    <definedName name="______MMM15" localSheetId="1">#REF!</definedName>
    <definedName name="______MMM15" localSheetId="0">#REF!</definedName>
    <definedName name="______MMM15" localSheetId="5">#REF!</definedName>
    <definedName name="______MMM15" localSheetId="6">#REF!</definedName>
    <definedName name="______MMM15" localSheetId="16">#REF!</definedName>
    <definedName name="______MMM15" localSheetId="7">#REF!</definedName>
    <definedName name="______MMM15">#REF!</definedName>
    <definedName name="______MMM16" localSheetId="21">#REF!</definedName>
    <definedName name="______MMM16" localSheetId="1">#REF!</definedName>
    <definedName name="______MMM16" localSheetId="0">#REF!</definedName>
    <definedName name="______MMM16" localSheetId="5">#REF!</definedName>
    <definedName name="______MMM16" localSheetId="6">#REF!</definedName>
    <definedName name="______MMM16" localSheetId="16">#REF!</definedName>
    <definedName name="______MMM16" localSheetId="7">#REF!</definedName>
    <definedName name="______MMM16">#REF!</definedName>
    <definedName name="______MMM17" localSheetId="21">#REF!</definedName>
    <definedName name="______MMM17" localSheetId="1">#REF!</definedName>
    <definedName name="______MMM17" localSheetId="0">#REF!</definedName>
    <definedName name="______MMM17" localSheetId="5">#REF!</definedName>
    <definedName name="______MMM17" localSheetId="6">#REF!</definedName>
    <definedName name="______MMM17" localSheetId="16">#REF!</definedName>
    <definedName name="______MMM17" localSheetId="7">#REF!</definedName>
    <definedName name="______MMM17">#REF!</definedName>
    <definedName name="______MMM18" localSheetId="21">#REF!</definedName>
    <definedName name="______MMM18" localSheetId="1">#REF!</definedName>
    <definedName name="______MMM18" localSheetId="0">#REF!</definedName>
    <definedName name="______MMM18" localSheetId="5">#REF!</definedName>
    <definedName name="______MMM18" localSheetId="6">#REF!</definedName>
    <definedName name="______MMM18" localSheetId="16">#REF!</definedName>
    <definedName name="______MMM18" localSheetId="7">#REF!</definedName>
    <definedName name="______MMM18">#REF!</definedName>
    <definedName name="______MMM19" localSheetId="21">#REF!</definedName>
    <definedName name="______MMM19" localSheetId="1">#REF!</definedName>
    <definedName name="______MMM19" localSheetId="0">#REF!</definedName>
    <definedName name="______MMM19" localSheetId="5">#REF!</definedName>
    <definedName name="______MMM19" localSheetId="6">#REF!</definedName>
    <definedName name="______MMM19" localSheetId="16">#REF!</definedName>
    <definedName name="______MMM19" localSheetId="7">#REF!</definedName>
    <definedName name="______MMM19">#REF!</definedName>
    <definedName name="______MMM20" localSheetId="21">#REF!</definedName>
    <definedName name="______MMM20" localSheetId="1">#REF!</definedName>
    <definedName name="______MMM20" localSheetId="0">#REF!</definedName>
    <definedName name="______MMM20" localSheetId="5">#REF!</definedName>
    <definedName name="______MMM20" localSheetId="6">#REF!</definedName>
    <definedName name="______MMM20" localSheetId="16">#REF!</definedName>
    <definedName name="______MMM20" localSheetId="7">#REF!</definedName>
    <definedName name="______MMM20">#REF!</definedName>
    <definedName name="______MMM21" localSheetId="21">#REF!</definedName>
    <definedName name="______MMM21" localSheetId="1">#REF!</definedName>
    <definedName name="______MMM21" localSheetId="0">#REF!</definedName>
    <definedName name="______MMM21" localSheetId="5">#REF!</definedName>
    <definedName name="______MMM21" localSheetId="6">#REF!</definedName>
    <definedName name="______MMM21" localSheetId="16">#REF!</definedName>
    <definedName name="______MMM21" localSheetId="7">#REF!</definedName>
    <definedName name="______MMM21">#REF!</definedName>
    <definedName name="______MMM22" localSheetId="21">#REF!</definedName>
    <definedName name="______MMM22" localSheetId="1">#REF!</definedName>
    <definedName name="______MMM22" localSheetId="0">#REF!</definedName>
    <definedName name="______MMM22" localSheetId="5">#REF!</definedName>
    <definedName name="______MMM22" localSheetId="6">#REF!</definedName>
    <definedName name="______MMM22" localSheetId="16">#REF!</definedName>
    <definedName name="______MMM22" localSheetId="7">#REF!</definedName>
    <definedName name="______MMM22">#REF!</definedName>
    <definedName name="______MMM23" localSheetId="21">#REF!</definedName>
    <definedName name="______MMM23" localSheetId="1">#REF!</definedName>
    <definedName name="______MMM23" localSheetId="0">#REF!</definedName>
    <definedName name="______MMM23" localSheetId="5">#REF!</definedName>
    <definedName name="______MMM23" localSheetId="6">#REF!</definedName>
    <definedName name="______MMM23" localSheetId="16">#REF!</definedName>
    <definedName name="______MMM23" localSheetId="7">#REF!</definedName>
    <definedName name="______MMM23">#REF!</definedName>
    <definedName name="______MMM24" localSheetId="21">#REF!</definedName>
    <definedName name="______MMM24" localSheetId="1">#REF!</definedName>
    <definedName name="______MMM24" localSheetId="0">#REF!</definedName>
    <definedName name="______MMM24" localSheetId="5">#REF!</definedName>
    <definedName name="______MMM24" localSheetId="6">#REF!</definedName>
    <definedName name="______MMM24" localSheetId="16">#REF!</definedName>
    <definedName name="______MMM24" localSheetId="7">#REF!</definedName>
    <definedName name="______MMM24">#REF!</definedName>
    <definedName name="______MMM25" localSheetId="21">#REF!</definedName>
    <definedName name="______MMM25" localSheetId="1">#REF!</definedName>
    <definedName name="______MMM25" localSheetId="0">#REF!</definedName>
    <definedName name="______MMM25" localSheetId="5">#REF!</definedName>
    <definedName name="______MMM25" localSheetId="6">#REF!</definedName>
    <definedName name="______MMM25" localSheetId="16">#REF!</definedName>
    <definedName name="______MMM25" localSheetId="7">#REF!</definedName>
    <definedName name="______MMM25">#REF!</definedName>
    <definedName name="______MMM26" localSheetId="21">#REF!</definedName>
    <definedName name="______MMM26" localSheetId="1">#REF!</definedName>
    <definedName name="______MMM26" localSheetId="0">#REF!</definedName>
    <definedName name="______MMM26" localSheetId="5">#REF!</definedName>
    <definedName name="______MMM26" localSheetId="6">#REF!</definedName>
    <definedName name="______MMM26" localSheetId="16">#REF!</definedName>
    <definedName name="______MMM26" localSheetId="7">#REF!</definedName>
    <definedName name="______MMM26">#REF!</definedName>
    <definedName name="______MMM27" localSheetId="21">#REF!</definedName>
    <definedName name="______MMM27" localSheetId="1">#REF!</definedName>
    <definedName name="______MMM27" localSheetId="0">#REF!</definedName>
    <definedName name="______MMM27" localSheetId="5">#REF!</definedName>
    <definedName name="______MMM27" localSheetId="6">#REF!</definedName>
    <definedName name="______MMM27" localSheetId="16">#REF!</definedName>
    <definedName name="______MMM27" localSheetId="7">#REF!</definedName>
    <definedName name="______MMM27">#REF!</definedName>
    <definedName name="______MMM28" localSheetId="21">#REF!</definedName>
    <definedName name="______MMM28" localSheetId="1">#REF!</definedName>
    <definedName name="______MMM28" localSheetId="0">#REF!</definedName>
    <definedName name="______MMM28" localSheetId="5">#REF!</definedName>
    <definedName name="______MMM28" localSheetId="6">#REF!</definedName>
    <definedName name="______MMM28" localSheetId="16">#REF!</definedName>
    <definedName name="______MMM28" localSheetId="7">#REF!</definedName>
    <definedName name="______MMM28">#REF!</definedName>
    <definedName name="______MMM29" localSheetId="21">#REF!</definedName>
    <definedName name="______MMM29" localSheetId="1">#REF!</definedName>
    <definedName name="______MMM29" localSheetId="0">#REF!</definedName>
    <definedName name="______MMM29" localSheetId="5">#REF!</definedName>
    <definedName name="______MMM29" localSheetId="6">#REF!</definedName>
    <definedName name="______MMM29" localSheetId="16">#REF!</definedName>
    <definedName name="______MMM29" localSheetId="7">#REF!</definedName>
    <definedName name="______MMM29">#REF!</definedName>
    <definedName name="______MMM30" localSheetId="21">#REF!</definedName>
    <definedName name="______MMM30" localSheetId="1">#REF!</definedName>
    <definedName name="______MMM30" localSheetId="0">#REF!</definedName>
    <definedName name="______MMM30" localSheetId="5">#REF!</definedName>
    <definedName name="______MMM30" localSheetId="6">#REF!</definedName>
    <definedName name="______MMM30" localSheetId="16">#REF!</definedName>
    <definedName name="______MMM30" localSheetId="7">#REF!</definedName>
    <definedName name="______MMM30">#REF!</definedName>
    <definedName name="______MMM31" localSheetId="21">#REF!</definedName>
    <definedName name="______MMM31" localSheetId="1">#REF!</definedName>
    <definedName name="______MMM31" localSheetId="0">#REF!</definedName>
    <definedName name="______MMM31" localSheetId="5">#REF!</definedName>
    <definedName name="______MMM31" localSheetId="6">#REF!</definedName>
    <definedName name="______MMM31" localSheetId="16">#REF!</definedName>
    <definedName name="______MMM31" localSheetId="7">#REF!</definedName>
    <definedName name="______MMM31">#REF!</definedName>
    <definedName name="______MMM32" localSheetId="21">#REF!</definedName>
    <definedName name="______MMM32" localSheetId="1">#REF!</definedName>
    <definedName name="______MMM32" localSheetId="0">#REF!</definedName>
    <definedName name="______MMM32" localSheetId="5">#REF!</definedName>
    <definedName name="______MMM32" localSheetId="6">#REF!</definedName>
    <definedName name="______MMM32" localSheetId="16">#REF!</definedName>
    <definedName name="______MMM32" localSheetId="7">#REF!</definedName>
    <definedName name="______MMM32">#REF!</definedName>
    <definedName name="______MMM33" localSheetId="21">#REF!</definedName>
    <definedName name="______MMM33" localSheetId="1">#REF!</definedName>
    <definedName name="______MMM33" localSheetId="0">#REF!</definedName>
    <definedName name="______MMM33" localSheetId="5">#REF!</definedName>
    <definedName name="______MMM33" localSheetId="6">#REF!</definedName>
    <definedName name="______MMM33" localSheetId="16">#REF!</definedName>
    <definedName name="______MMM33" localSheetId="7">#REF!</definedName>
    <definedName name="______MMM33">#REF!</definedName>
    <definedName name="______MMM34" localSheetId="21">#REF!</definedName>
    <definedName name="______MMM34" localSheetId="1">#REF!</definedName>
    <definedName name="______MMM34" localSheetId="0">#REF!</definedName>
    <definedName name="______MMM34" localSheetId="5">#REF!</definedName>
    <definedName name="______MMM34" localSheetId="6">#REF!</definedName>
    <definedName name="______MMM34" localSheetId="16">#REF!</definedName>
    <definedName name="______MMM34" localSheetId="7">#REF!</definedName>
    <definedName name="______MMM34">#REF!</definedName>
    <definedName name="______MMM35" localSheetId="21">#REF!</definedName>
    <definedName name="______MMM35" localSheetId="1">#REF!</definedName>
    <definedName name="______MMM35" localSheetId="0">#REF!</definedName>
    <definedName name="______MMM35" localSheetId="5">#REF!</definedName>
    <definedName name="______MMM35" localSheetId="6">#REF!</definedName>
    <definedName name="______MMM35" localSheetId="16">#REF!</definedName>
    <definedName name="______MMM35" localSheetId="7">#REF!</definedName>
    <definedName name="______MMM35">#REF!</definedName>
    <definedName name="______MMM36" localSheetId="21">#REF!</definedName>
    <definedName name="______MMM36" localSheetId="1">#REF!</definedName>
    <definedName name="______MMM36" localSheetId="0">#REF!</definedName>
    <definedName name="______MMM36" localSheetId="5">#REF!</definedName>
    <definedName name="______MMM36" localSheetId="6">#REF!</definedName>
    <definedName name="______MMM36" localSheetId="16">#REF!</definedName>
    <definedName name="______MMM36" localSheetId="7">#REF!</definedName>
    <definedName name="______MMM36">#REF!</definedName>
    <definedName name="______MMM37" localSheetId="21">#REF!</definedName>
    <definedName name="______MMM37" localSheetId="1">#REF!</definedName>
    <definedName name="______MMM37" localSheetId="0">#REF!</definedName>
    <definedName name="______MMM37" localSheetId="5">#REF!</definedName>
    <definedName name="______MMM37" localSheetId="6">#REF!</definedName>
    <definedName name="______MMM37" localSheetId="16">#REF!</definedName>
    <definedName name="______MMM37" localSheetId="7">#REF!</definedName>
    <definedName name="______MMM37">#REF!</definedName>
    <definedName name="______MMM38" localSheetId="21">#REF!</definedName>
    <definedName name="______MMM38" localSheetId="1">#REF!</definedName>
    <definedName name="______MMM38" localSheetId="0">#REF!</definedName>
    <definedName name="______MMM38" localSheetId="5">#REF!</definedName>
    <definedName name="______MMM38" localSheetId="6">#REF!</definedName>
    <definedName name="______MMM38" localSheetId="16">#REF!</definedName>
    <definedName name="______MMM38" localSheetId="7">#REF!</definedName>
    <definedName name="______MMM38">#REF!</definedName>
    <definedName name="______MMM39" localSheetId="21">#REF!</definedName>
    <definedName name="______MMM39" localSheetId="1">#REF!</definedName>
    <definedName name="______MMM39" localSheetId="0">#REF!</definedName>
    <definedName name="______MMM39" localSheetId="5">#REF!</definedName>
    <definedName name="______MMM39" localSheetId="6">#REF!</definedName>
    <definedName name="______MMM39" localSheetId="16">#REF!</definedName>
    <definedName name="______MMM39" localSheetId="7">#REF!</definedName>
    <definedName name="______MMM39">#REF!</definedName>
    <definedName name="______MMM40" localSheetId="21">#REF!</definedName>
    <definedName name="______MMM40" localSheetId="1">#REF!</definedName>
    <definedName name="______MMM40" localSheetId="0">#REF!</definedName>
    <definedName name="______MMM40" localSheetId="5">#REF!</definedName>
    <definedName name="______MMM40" localSheetId="6">#REF!</definedName>
    <definedName name="______MMM40" localSheetId="16">#REF!</definedName>
    <definedName name="______MMM40" localSheetId="7">#REF!</definedName>
    <definedName name="______MMM40">#REF!</definedName>
    <definedName name="______MMM41" localSheetId="21">#REF!</definedName>
    <definedName name="______MMM41" localSheetId="1">#REF!</definedName>
    <definedName name="______MMM41" localSheetId="0">#REF!</definedName>
    <definedName name="______MMM41" localSheetId="5">#REF!</definedName>
    <definedName name="______MMM41" localSheetId="6">#REF!</definedName>
    <definedName name="______MMM41" localSheetId="16">#REF!</definedName>
    <definedName name="______MMM41" localSheetId="7">#REF!</definedName>
    <definedName name="______MMM41">#REF!</definedName>
    <definedName name="______MMM411" localSheetId="21">#REF!</definedName>
    <definedName name="______MMM411" localSheetId="1">#REF!</definedName>
    <definedName name="______MMM411" localSheetId="0">#REF!</definedName>
    <definedName name="______MMM411" localSheetId="5">#REF!</definedName>
    <definedName name="______MMM411" localSheetId="6">#REF!</definedName>
    <definedName name="______MMM411" localSheetId="16">#REF!</definedName>
    <definedName name="______MMM411" localSheetId="7">#REF!</definedName>
    <definedName name="______MMM411">#REF!</definedName>
    <definedName name="______MMM42" localSheetId="21">#REF!</definedName>
    <definedName name="______MMM42" localSheetId="1">#REF!</definedName>
    <definedName name="______MMM42" localSheetId="0">#REF!</definedName>
    <definedName name="______MMM42" localSheetId="5">#REF!</definedName>
    <definedName name="______MMM42" localSheetId="6">#REF!</definedName>
    <definedName name="______MMM42" localSheetId="16">#REF!</definedName>
    <definedName name="______MMM42" localSheetId="7">#REF!</definedName>
    <definedName name="______MMM42">#REF!</definedName>
    <definedName name="______MMM43" localSheetId="21">#REF!</definedName>
    <definedName name="______MMM43" localSheetId="1">#REF!</definedName>
    <definedName name="______MMM43" localSheetId="0">#REF!</definedName>
    <definedName name="______MMM43" localSheetId="5">#REF!</definedName>
    <definedName name="______MMM43" localSheetId="6">#REF!</definedName>
    <definedName name="______MMM43" localSheetId="16">#REF!</definedName>
    <definedName name="______MMM43" localSheetId="7">#REF!</definedName>
    <definedName name="______MMM43">#REF!</definedName>
    <definedName name="______MMM44" localSheetId="21">#REF!</definedName>
    <definedName name="______MMM44" localSheetId="1">#REF!</definedName>
    <definedName name="______MMM44" localSheetId="0">#REF!</definedName>
    <definedName name="______MMM44" localSheetId="5">#REF!</definedName>
    <definedName name="______MMM44" localSheetId="6">#REF!</definedName>
    <definedName name="______MMM44" localSheetId="16">#REF!</definedName>
    <definedName name="______MMM44" localSheetId="7">#REF!</definedName>
    <definedName name="______MMM44">#REF!</definedName>
    <definedName name="______MMM45" localSheetId="21">#REF!</definedName>
    <definedName name="______MMM45" localSheetId="1">#REF!</definedName>
    <definedName name="______MMM45" localSheetId="0">#REF!</definedName>
    <definedName name="______MMM45" localSheetId="5">#REF!</definedName>
    <definedName name="______MMM45" localSheetId="6">#REF!</definedName>
    <definedName name="______MMM45" localSheetId="16">#REF!</definedName>
    <definedName name="______MMM45" localSheetId="7">#REF!</definedName>
    <definedName name="______MMM45">#REF!</definedName>
    <definedName name="______MMM46" localSheetId="21">#REF!</definedName>
    <definedName name="______MMM46" localSheetId="1">#REF!</definedName>
    <definedName name="______MMM46" localSheetId="0">#REF!</definedName>
    <definedName name="______MMM46" localSheetId="5">#REF!</definedName>
    <definedName name="______MMM46" localSheetId="6">#REF!</definedName>
    <definedName name="______MMM46" localSheetId="16">#REF!</definedName>
    <definedName name="______MMM46" localSheetId="7">#REF!</definedName>
    <definedName name="______MMM46">#REF!</definedName>
    <definedName name="______MMM47" localSheetId="21">#REF!</definedName>
    <definedName name="______MMM47" localSheetId="1">#REF!</definedName>
    <definedName name="______MMM47" localSheetId="0">#REF!</definedName>
    <definedName name="______MMM47" localSheetId="5">#REF!</definedName>
    <definedName name="______MMM47" localSheetId="6">#REF!</definedName>
    <definedName name="______MMM47" localSheetId="16">#REF!</definedName>
    <definedName name="______MMM47" localSheetId="7">#REF!</definedName>
    <definedName name="______MMM47">#REF!</definedName>
    <definedName name="______MMM48" localSheetId="21">#REF!</definedName>
    <definedName name="______MMM48" localSheetId="1">#REF!</definedName>
    <definedName name="______MMM48" localSheetId="0">#REF!</definedName>
    <definedName name="______MMM48" localSheetId="5">#REF!</definedName>
    <definedName name="______MMM48" localSheetId="6">#REF!</definedName>
    <definedName name="______MMM48" localSheetId="16">#REF!</definedName>
    <definedName name="______MMM48" localSheetId="7">#REF!</definedName>
    <definedName name="______MMM48">#REF!</definedName>
    <definedName name="______MMM49" localSheetId="21">#REF!</definedName>
    <definedName name="______MMM49" localSheetId="1">#REF!</definedName>
    <definedName name="______MMM49" localSheetId="0">#REF!</definedName>
    <definedName name="______MMM49" localSheetId="5">#REF!</definedName>
    <definedName name="______MMM49" localSheetId="6">#REF!</definedName>
    <definedName name="______MMM49" localSheetId="16">#REF!</definedName>
    <definedName name="______MMM49" localSheetId="7">#REF!</definedName>
    <definedName name="______MMM49">#REF!</definedName>
    <definedName name="______MMM50" localSheetId="21">#REF!</definedName>
    <definedName name="______MMM50" localSheetId="1">#REF!</definedName>
    <definedName name="______MMM50" localSheetId="0">#REF!</definedName>
    <definedName name="______MMM50" localSheetId="5">#REF!</definedName>
    <definedName name="______MMM50" localSheetId="6">#REF!</definedName>
    <definedName name="______MMM50" localSheetId="16">#REF!</definedName>
    <definedName name="______MMM50" localSheetId="7">#REF!</definedName>
    <definedName name="______MMM50">#REF!</definedName>
    <definedName name="______MMM51" localSheetId="21">#REF!</definedName>
    <definedName name="______MMM51" localSheetId="1">#REF!</definedName>
    <definedName name="______MMM51" localSheetId="0">#REF!</definedName>
    <definedName name="______MMM51" localSheetId="5">#REF!</definedName>
    <definedName name="______MMM51" localSheetId="6">#REF!</definedName>
    <definedName name="______MMM51" localSheetId="16">#REF!</definedName>
    <definedName name="______MMM51" localSheetId="7">#REF!</definedName>
    <definedName name="______MMM51">#REF!</definedName>
    <definedName name="______MMM52" localSheetId="21">#REF!</definedName>
    <definedName name="______MMM52" localSheetId="1">#REF!</definedName>
    <definedName name="______MMM52" localSheetId="0">#REF!</definedName>
    <definedName name="______MMM52" localSheetId="5">#REF!</definedName>
    <definedName name="______MMM52" localSheetId="6">#REF!</definedName>
    <definedName name="______MMM52" localSheetId="16">#REF!</definedName>
    <definedName name="______MMM52" localSheetId="7">#REF!</definedName>
    <definedName name="______MMM52">#REF!</definedName>
    <definedName name="______MMM53" localSheetId="21">#REF!</definedName>
    <definedName name="______MMM53" localSheetId="1">#REF!</definedName>
    <definedName name="______MMM53" localSheetId="0">#REF!</definedName>
    <definedName name="______MMM53" localSheetId="5">#REF!</definedName>
    <definedName name="______MMM53" localSheetId="6">#REF!</definedName>
    <definedName name="______MMM53" localSheetId="16">#REF!</definedName>
    <definedName name="______MMM53" localSheetId="7">#REF!</definedName>
    <definedName name="______MMM53">#REF!</definedName>
    <definedName name="______MMM54" localSheetId="21">#REF!</definedName>
    <definedName name="______MMM54" localSheetId="1">#REF!</definedName>
    <definedName name="______MMM54" localSheetId="0">#REF!</definedName>
    <definedName name="______MMM54" localSheetId="5">#REF!</definedName>
    <definedName name="______MMM54" localSheetId="6">#REF!</definedName>
    <definedName name="______MMM54" localSheetId="16">#REF!</definedName>
    <definedName name="______MMM54" localSheetId="7">#REF!</definedName>
    <definedName name="______MMM54">#REF!</definedName>
    <definedName name="_____DIV1">'[2]Kuantitas &amp; Harga'!$G$26</definedName>
    <definedName name="_____DIV10">'[2]Kuantitas &amp; Harga'!$G$418</definedName>
    <definedName name="_____DIV11" localSheetId="21">[4]RAB!#REF!</definedName>
    <definedName name="_____DIV11" localSheetId="1">[4]RAB!#REF!</definedName>
    <definedName name="_____DIV11" localSheetId="0">[4]RAB!#REF!</definedName>
    <definedName name="_____DIV11" localSheetId="5">[4]RAB!#REF!</definedName>
    <definedName name="_____DIV11" localSheetId="6">[4]RAB!#REF!</definedName>
    <definedName name="_____DIV11" localSheetId="16">[4]RAB!#REF!</definedName>
    <definedName name="_____DIV11" localSheetId="7">[4]RAB!#REF!</definedName>
    <definedName name="_____DIV11">[4]RAB!#REF!</definedName>
    <definedName name="_____DIV2">'[2]Kuantitas &amp; Harga'!$G$50</definedName>
    <definedName name="_____DIV3">'[2]Kuantitas &amp; Harga'!$G$84</definedName>
    <definedName name="_____DIV4">'[2]Kuantitas &amp; Harga'!$G$99</definedName>
    <definedName name="_____DIV5">'[2]Kuantitas &amp; Harga'!$G$119</definedName>
    <definedName name="_____DIV6">'[2]Kuantitas &amp; Harga'!$G$155</definedName>
    <definedName name="_____DIV7">'[2]Kuantitas &amp; Harga'!$G$319</definedName>
    <definedName name="_____DIV8">'[2]Kuantitas &amp; Harga'!$G$377</definedName>
    <definedName name="_____DIV9">'[2]Kuantitas &amp; Harga'!$G$405</definedName>
    <definedName name="_____HAL1" localSheetId="21">#REF!</definedName>
    <definedName name="_____HAL1" localSheetId="1">#REF!</definedName>
    <definedName name="_____HAL1" localSheetId="0">#REF!</definedName>
    <definedName name="_____HAL1" localSheetId="5">#REF!</definedName>
    <definedName name="_____HAL1" localSheetId="6">#REF!</definedName>
    <definedName name="_____HAL1" localSheetId="16">#REF!</definedName>
    <definedName name="_____HAL1" localSheetId="7">#REF!</definedName>
    <definedName name="_____HAL1">#REF!</definedName>
    <definedName name="_____HAL2" localSheetId="21">#REF!</definedName>
    <definedName name="_____HAL2" localSheetId="1">#REF!</definedName>
    <definedName name="_____HAL2" localSheetId="0">#REF!</definedName>
    <definedName name="_____HAL2" localSheetId="5">#REF!</definedName>
    <definedName name="_____HAL2" localSheetId="6">#REF!</definedName>
    <definedName name="_____HAL2" localSheetId="16">#REF!</definedName>
    <definedName name="_____HAL2" localSheetId="7">#REF!</definedName>
    <definedName name="_____HAL2">#REF!</definedName>
    <definedName name="_____KL12">[6]alat!$AW$18</definedName>
    <definedName name="_____LLL01" localSheetId="21">#REF!</definedName>
    <definedName name="_____LLL01" localSheetId="1">#REF!</definedName>
    <definedName name="_____LLL01" localSheetId="0">#REF!</definedName>
    <definedName name="_____LLL01" localSheetId="5">#REF!</definedName>
    <definedName name="_____LLL01" localSheetId="6">#REF!</definedName>
    <definedName name="_____LLL01" localSheetId="16">#REF!</definedName>
    <definedName name="_____LLL01" localSheetId="7">#REF!</definedName>
    <definedName name="_____LLL01">#REF!</definedName>
    <definedName name="_____LLL02" localSheetId="21">#REF!</definedName>
    <definedName name="_____LLL02" localSheetId="1">#REF!</definedName>
    <definedName name="_____LLL02" localSheetId="0">#REF!</definedName>
    <definedName name="_____LLL02" localSheetId="5">#REF!</definedName>
    <definedName name="_____LLL02" localSheetId="6">#REF!</definedName>
    <definedName name="_____LLL02" localSheetId="16">#REF!</definedName>
    <definedName name="_____LLL02" localSheetId="7">#REF!</definedName>
    <definedName name="_____LLL02">#REF!</definedName>
    <definedName name="_____LLL03" localSheetId="21">#REF!</definedName>
    <definedName name="_____LLL03" localSheetId="1">#REF!</definedName>
    <definedName name="_____LLL03" localSheetId="0">#REF!</definedName>
    <definedName name="_____LLL03" localSheetId="5">#REF!</definedName>
    <definedName name="_____LLL03" localSheetId="6">#REF!</definedName>
    <definedName name="_____LLL03" localSheetId="16">#REF!</definedName>
    <definedName name="_____LLL03" localSheetId="7">#REF!</definedName>
    <definedName name="_____LLL03">#REF!</definedName>
    <definedName name="_____LLL04" localSheetId="21">#REF!</definedName>
    <definedName name="_____LLL04" localSheetId="1">#REF!</definedName>
    <definedName name="_____LLL04" localSheetId="0">#REF!</definedName>
    <definedName name="_____LLL04" localSheetId="5">#REF!</definedName>
    <definedName name="_____LLL04" localSheetId="6">#REF!</definedName>
    <definedName name="_____LLL04" localSheetId="16">#REF!</definedName>
    <definedName name="_____LLL04" localSheetId="7">#REF!</definedName>
    <definedName name="_____LLL04">#REF!</definedName>
    <definedName name="_____LLL05" localSheetId="21">#REF!</definedName>
    <definedName name="_____LLL05" localSheetId="1">#REF!</definedName>
    <definedName name="_____LLL05" localSheetId="0">#REF!</definedName>
    <definedName name="_____LLL05" localSheetId="5">#REF!</definedName>
    <definedName name="_____LLL05" localSheetId="6">#REF!</definedName>
    <definedName name="_____LLL05" localSheetId="16">#REF!</definedName>
    <definedName name="_____LLL05" localSheetId="7">#REF!</definedName>
    <definedName name="_____LLL05">#REF!</definedName>
    <definedName name="_____LLL06" localSheetId="21">#REF!</definedName>
    <definedName name="_____LLL06" localSheetId="1">#REF!</definedName>
    <definedName name="_____LLL06" localSheetId="0">#REF!</definedName>
    <definedName name="_____LLL06" localSheetId="5">#REF!</definedName>
    <definedName name="_____LLL06" localSheetId="6">#REF!</definedName>
    <definedName name="_____LLL06" localSheetId="16">#REF!</definedName>
    <definedName name="_____LLL06" localSheetId="7">#REF!</definedName>
    <definedName name="_____LLL06">#REF!</definedName>
    <definedName name="_____LLL07" localSheetId="21">#REF!</definedName>
    <definedName name="_____LLL07" localSheetId="1">#REF!</definedName>
    <definedName name="_____LLL07" localSheetId="0">#REF!</definedName>
    <definedName name="_____LLL07" localSheetId="5">#REF!</definedName>
    <definedName name="_____LLL07" localSheetId="6">#REF!</definedName>
    <definedName name="_____LLL07" localSheetId="16">#REF!</definedName>
    <definedName name="_____LLL07" localSheetId="7">#REF!</definedName>
    <definedName name="_____LLL07">#REF!</definedName>
    <definedName name="_____LLL08" localSheetId="21">#REF!</definedName>
    <definedName name="_____LLL08" localSheetId="1">#REF!</definedName>
    <definedName name="_____LLL08" localSheetId="0">#REF!</definedName>
    <definedName name="_____LLL08" localSheetId="5">#REF!</definedName>
    <definedName name="_____LLL08" localSheetId="6">#REF!</definedName>
    <definedName name="_____LLL08" localSheetId="16">#REF!</definedName>
    <definedName name="_____LLL08" localSheetId="7">#REF!</definedName>
    <definedName name="_____LLL08">#REF!</definedName>
    <definedName name="_____LLL09" localSheetId="21">#REF!</definedName>
    <definedName name="_____LLL09" localSheetId="1">#REF!</definedName>
    <definedName name="_____LLL09" localSheetId="0">#REF!</definedName>
    <definedName name="_____LLL09" localSheetId="5">#REF!</definedName>
    <definedName name="_____LLL09" localSheetId="6">#REF!</definedName>
    <definedName name="_____LLL09" localSheetId="16">#REF!</definedName>
    <definedName name="_____LLL09" localSheetId="7">#REF!</definedName>
    <definedName name="_____LLL09">#REF!</definedName>
    <definedName name="_____LLL10" localSheetId="21">#REF!</definedName>
    <definedName name="_____LLL10" localSheetId="1">#REF!</definedName>
    <definedName name="_____LLL10" localSheetId="0">#REF!</definedName>
    <definedName name="_____LLL10" localSheetId="5">#REF!</definedName>
    <definedName name="_____LLL10" localSheetId="6">#REF!</definedName>
    <definedName name="_____LLL10" localSheetId="16">#REF!</definedName>
    <definedName name="_____LLL10" localSheetId="7">#REF!</definedName>
    <definedName name="_____LLL10">#REF!</definedName>
    <definedName name="_____LLL11" localSheetId="21">#REF!</definedName>
    <definedName name="_____LLL11" localSheetId="1">#REF!</definedName>
    <definedName name="_____LLL11" localSheetId="0">#REF!</definedName>
    <definedName name="_____LLL11" localSheetId="5">#REF!</definedName>
    <definedName name="_____LLL11" localSheetId="6">#REF!</definedName>
    <definedName name="_____LLL11" localSheetId="16">#REF!</definedName>
    <definedName name="_____LLL11" localSheetId="7">#REF!</definedName>
    <definedName name="_____LLL11">#REF!</definedName>
    <definedName name="_____MMM01" localSheetId="21">#REF!</definedName>
    <definedName name="_____MMM01" localSheetId="1">#REF!</definedName>
    <definedName name="_____MMM01" localSheetId="0">#REF!</definedName>
    <definedName name="_____MMM01" localSheetId="5">#REF!</definedName>
    <definedName name="_____MMM01" localSheetId="6">#REF!</definedName>
    <definedName name="_____MMM01" localSheetId="16">#REF!</definedName>
    <definedName name="_____MMM01" localSheetId="7">#REF!</definedName>
    <definedName name="_____MMM01">#REF!</definedName>
    <definedName name="_____MMM02" localSheetId="21">#REF!</definedName>
    <definedName name="_____MMM02" localSheetId="1">#REF!</definedName>
    <definedName name="_____MMM02" localSheetId="0">#REF!</definedName>
    <definedName name="_____MMM02" localSheetId="5">#REF!</definedName>
    <definedName name="_____MMM02" localSheetId="6">#REF!</definedName>
    <definedName name="_____MMM02" localSheetId="16">#REF!</definedName>
    <definedName name="_____MMM02" localSheetId="7">#REF!</definedName>
    <definedName name="_____MMM02">#REF!</definedName>
    <definedName name="_____MMM03" localSheetId="21">#REF!</definedName>
    <definedName name="_____MMM03" localSheetId="1">#REF!</definedName>
    <definedName name="_____MMM03" localSheetId="0">#REF!</definedName>
    <definedName name="_____MMM03" localSheetId="5">#REF!</definedName>
    <definedName name="_____MMM03" localSheetId="6">#REF!</definedName>
    <definedName name="_____MMM03" localSheetId="16">#REF!</definedName>
    <definedName name="_____MMM03" localSheetId="7">#REF!</definedName>
    <definedName name="_____MMM03">#REF!</definedName>
    <definedName name="_____MMM04" localSheetId="21">#REF!</definedName>
    <definedName name="_____MMM04" localSheetId="1">#REF!</definedName>
    <definedName name="_____MMM04" localSheetId="0">#REF!</definedName>
    <definedName name="_____MMM04" localSheetId="5">#REF!</definedName>
    <definedName name="_____MMM04" localSheetId="6">#REF!</definedName>
    <definedName name="_____MMM04" localSheetId="16">#REF!</definedName>
    <definedName name="_____MMM04" localSheetId="7">#REF!</definedName>
    <definedName name="_____MMM04">#REF!</definedName>
    <definedName name="_____MMM05" localSheetId="21">#REF!</definedName>
    <definedName name="_____MMM05" localSheetId="1">#REF!</definedName>
    <definedName name="_____MMM05" localSheetId="0">#REF!</definedName>
    <definedName name="_____MMM05" localSheetId="5">#REF!</definedName>
    <definedName name="_____MMM05" localSheetId="6">#REF!</definedName>
    <definedName name="_____MMM05" localSheetId="16">#REF!</definedName>
    <definedName name="_____MMM05" localSheetId="7">#REF!</definedName>
    <definedName name="_____MMM05">#REF!</definedName>
    <definedName name="_____MMM06" localSheetId="21">#REF!</definedName>
    <definedName name="_____MMM06" localSheetId="1">#REF!</definedName>
    <definedName name="_____MMM06" localSheetId="0">#REF!</definedName>
    <definedName name="_____MMM06" localSheetId="5">#REF!</definedName>
    <definedName name="_____MMM06" localSheetId="6">#REF!</definedName>
    <definedName name="_____MMM06" localSheetId="16">#REF!</definedName>
    <definedName name="_____MMM06" localSheetId="7">#REF!</definedName>
    <definedName name="_____MMM06">#REF!</definedName>
    <definedName name="_____MMM07" localSheetId="21">#REF!</definedName>
    <definedName name="_____MMM07" localSheetId="1">#REF!</definedName>
    <definedName name="_____MMM07" localSheetId="0">#REF!</definedName>
    <definedName name="_____MMM07" localSheetId="5">#REF!</definedName>
    <definedName name="_____MMM07" localSheetId="6">#REF!</definedName>
    <definedName name="_____MMM07" localSheetId="16">#REF!</definedName>
    <definedName name="_____MMM07" localSheetId="7">#REF!</definedName>
    <definedName name="_____MMM07">#REF!</definedName>
    <definedName name="_____MMM08" localSheetId="21">#REF!</definedName>
    <definedName name="_____MMM08" localSheetId="1">#REF!</definedName>
    <definedName name="_____MMM08" localSheetId="0">#REF!</definedName>
    <definedName name="_____MMM08" localSheetId="5">#REF!</definedName>
    <definedName name="_____MMM08" localSheetId="6">#REF!</definedName>
    <definedName name="_____MMM08" localSheetId="16">#REF!</definedName>
    <definedName name="_____MMM08" localSheetId="7">#REF!</definedName>
    <definedName name="_____MMM08">#REF!</definedName>
    <definedName name="_____MMM09" localSheetId="21">#REF!</definedName>
    <definedName name="_____MMM09" localSheetId="1">#REF!</definedName>
    <definedName name="_____MMM09" localSheetId="0">#REF!</definedName>
    <definedName name="_____MMM09" localSheetId="5">#REF!</definedName>
    <definedName name="_____MMM09" localSheetId="6">#REF!</definedName>
    <definedName name="_____MMM09" localSheetId="16">#REF!</definedName>
    <definedName name="_____MMM09" localSheetId="7">#REF!</definedName>
    <definedName name="_____MMM09">#REF!</definedName>
    <definedName name="_____MMM10" localSheetId="21">#REF!</definedName>
    <definedName name="_____MMM10" localSheetId="1">#REF!</definedName>
    <definedName name="_____MMM10" localSheetId="0">#REF!</definedName>
    <definedName name="_____MMM10" localSheetId="5">#REF!</definedName>
    <definedName name="_____MMM10" localSheetId="6">#REF!</definedName>
    <definedName name="_____MMM10" localSheetId="16">#REF!</definedName>
    <definedName name="_____MMM10" localSheetId="7">#REF!</definedName>
    <definedName name="_____MMM10">#REF!</definedName>
    <definedName name="_____MMM11" localSheetId="21">#REF!</definedName>
    <definedName name="_____MMM11" localSheetId="1">#REF!</definedName>
    <definedName name="_____MMM11" localSheetId="0">#REF!</definedName>
    <definedName name="_____MMM11" localSheetId="5">#REF!</definedName>
    <definedName name="_____MMM11" localSheetId="6">#REF!</definedName>
    <definedName name="_____MMM11" localSheetId="16">#REF!</definedName>
    <definedName name="_____MMM11" localSheetId="7">#REF!</definedName>
    <definedName name="_____MMM11">#REF!</definedName>
    <definedName name="_____MMM12" localSheetId="21">#REF!</definedName>
    <definedName name="_____MMM12" localSheetId="1">#REF!</definedName>
    <definedName name="_____MMM12" localSheetId="0">#REF!</definedName>
    <definedName name="_____MMM12" localSheetId="5">#REF!</definedName>
    <definedName name="_____MMM12" localSheetId="6">#REF!</definedName>
    <definedName name="_____MMM12" localSheetId="16">#REF!</definedName>
    <definedName name="_____MMM12" localSheetId="7">#REF!</definedName>
    <definedName name="_____MMM12">#REF!</definedName>
    <definedName name="_____MMM13" localSheetId="21">#REF!</definedName>
    <definedName name="_____MMM13" localSheetId="1">#REF!</definedName>
    <definedName name="_____MMM13" localSheetId="0">#REF!</definedName>
    <definedName name="_____MMM13" localSheetId="5">#REF!</definedName>
    <definedName name="_____MMM13" localSheetId="6">#REF!</definedName>
    <definedName name="_____MMM13" localSheetId="16">#REF!</definedName>
    <definedName name="_____MMM13" localSheetId="7">#REF!</definedName>
    <definedName name="_____MMM13">#REF!</definedName>
    <definedName name="_____MMM14" localSheetId="21">#REF!</definedName>
    <definedName name="_____MMM14" localSheetId="1">#REF!</definedName>
    <definedName name="_____MMM14" localSheetId="0">#REF!</definedName>
    <definedName name="_____MMM14" localSheetId="5">#REF!</definedName>
    <definedName name="_____MMM14" localSheetId="6">#REF!</definedName>
    <definedName name="_____MMM14" localSheetId="16">#REF!</definedName>
    <definedName name="_____MMM14" localSheetId="7">#REF!</definedName>
    <definedName name="_____MMM14">#REF!</definedName>
    <definedName name="_____MMM15" localSheetId="21">#REF!</definedName>
    <definedName name="_____MMM15" localSheetId="1">#REF!</definedName>
    <definedName name="_____MMM15" localSheetId="0">#REF!</definedName>
    <definedName name="_____MMM15" localSheetId="5">#REF!</definedName>
    <definedName name="_____MMM15" localSheetId="6">#REF!</definedName>
    <definedName name="_____MMM15" localSheetId="16">#REF!</definedName>
    <definedName name="_____MMM15" localSheetId="7">#REF!</definedName>
    <definedName name="_____MMM15">#REF!</definedName>
    <definedName name="_____MMM16" localSheetId="21">#REF!</definedName>
    <definedName name="_____MMM16" localSheetId="1">#REF!</definedName>
    <definedName name="_____MMM16" localSheetId="0">#REF!</definedName>
    <definedName name="_____MMM16" localSheetId="5">#REF!</definedName>
    <definedName name="_____MMM16" localSheetId="6">#REF!</definedName>
    <definedName name="_____MMM16" localSheetId="16">#REF!</definedName>
    <definedName name="_____MMM16" localSheetId="7">#REF!</definedName>
    <definedName name="_____MMM16">#REF!</definedName>
    <definedName name="_____MMM17" localSheetId="21">#REF!</definedName>
    <definedName name="_____MMM17" localSheetId="1">#REF!</definedName>
    <definedName name="_____MMM17" localSheetId="0">#REF!</definedName>
    <definedName name="_____MMM17" localSheetId="5">#REF!</definedName>
    <definedName name="_____MMM17" localSheetId="6">#REF!</definedName>
    <definedName name="_____MMM17" localSheetId="16">#REF!</definedName>
    <definedName name="_____MMM17" localSheetId="7">#REF!</definedName>
    <definedName name="_____MMM17">#REF!</definedName>
    <definedName name="_____MMM18" localSheetId="21">#REF!</definedName>
    <definedName name="_____MMM18" localSheetId="1">#REF!</definedName>
    <definedName name="_____MMM18" localSheetId="0">#REF!</definedName>
    <definedName name="_____MMM18" localSheetId="5">#REF!</definedName>
    <definedName name="_____MMM18" localSheetId="6">#REF!</definedName>
    <definedName name="_____MMM18" localSheetId="16">#REF!</definedName>
    <definedName name="_____MMM18" localSheetId="7">#REF!</definedName>
    <definedName name="_____MMM18">#REF!</definedName>
    <definedName name="_____MMM19" localSheetId="21">#REF!</definedName>
    <definedName name="_____MMM19" localSheetId="1">#REF!</definedName>
    <definedName name="_____MMM19" localSheetId="0">#REF!</definedName>
    <definedName name="_____MMM19" localSheetId="5">#REF!</definedName>
    <definedName name="_____MMM19" localSheetId="6">#REF!</definedName>
    <definedName name="_____MMM19" localSheetId="16">#REF!</definedName>
    <definedName name="_____MMM19" localSheetId="7">#REF!</definedName>
    <definedName name="_____MMM19">#REF!</definedName>
    <definedName name="_____MMM20" localSheetId="21">#REF!</definedName>
    <definedName name="_____MMM20" localSheetId="1">#REF!</definedName>
    <definedName name="_____MMM20" localSheetId="0">#REF!</definedName>
    <definedName name="_____MMM20" localSheetId="5">#REF!</definedName>
    <definedName name="_____MMM20" localSheetId="6">#REF!</definedName>
    <definedName name="_____MMM20" localSheetId="16">#REF!</definedName>
    <definedName name="_____MMM20" localSheetId="7">#REF!</definedName>
    <definedName name="_____MMM20">#REF!</definedName>
    <definedName name="_____MMM21" localSheetId="21">#REF!</definedName>
    <definedName name="_____MMM21" localSheetId="1">#REF!</definedName>
    <definedName name="_____MMM21" localSheetId="0">#REF!</definedName>
    <definedName name="_____MMM21" localSheetId="5">#REF!</definedName>
    <definedName name="_____MMM21" localSheetId="6">#REF!</definedName>
    <definedName name="_____MMM21" localSheetId="16">#REF!</definedName>
    <definedName name="_____MMM21" localSheetId="7">#REF!</definedName>
    <definedName name="_____MMM21">#REF!</definedName>
    <definedName name="_____MMM22" localSheetId="21">#REF!</definedName>
    <definedName name="_____MMM22" localSheetId="1">#REF!</definedName>
    <definedName name="_____MMM22" localSheetId="0">#REF!</definedName>
    <definedName name="_____MMM22" localSheetId="5">#REF!</definedName>
    <definedName name="_____MMM22" localSheetId="6">#REF!</definedName>
    <definedName name="_____MMM22" localSheetId="16">#REF!</definedName>
    <definedName name="_____MMM22" localSheetId="7">#REF!</definedName>
    <definedName name="_____MMM22">#REF!</definedName>
    <definedName name="_____MMM23" localSheetId="21">#REF!</definedName>
    <definedName name="_____MMM23" localSheetId="1">#REF!</definedName>
    <definedName name="_____MMM23" localSheetId="0">#REF!</definedName>
    <definedName name="_____MMM23" localSheetId="5">#REF!</definedName>
    <definedName name="_____MMM23" localSheetId="6">#REF!</definedName>
    <definedName name="_____MMM23" localSheetId="16">#REF!</definedName>
    <definedName name="_____MMM23" localSheetId="7">#REF!</definedName>
    <definedName name="_____MMM23">#REF!</definedName>
    <definedName name="_____MMM24" localSheetId="21">#REF!</definedName>
    <definedName name="_____MMM24" localSheetId="1">#REF!</definedName>
    <definedName name="_____MMM24" localSheetId="0">#REF!</definedName>
    <definedName name="_____MMM24" localSheetId="5">#REF!</definedName>
    <definedName name="_____MMM24" localSheetId="6">#REF!</definedName>
    <definedName name="_____MMM24" localSheetId="16">#REF!</definedName>
    <definedName name="_____MMM24" localSheetId="7">#REF!</definedName>
    <definedName name="_____MMM24">#REF!</definedName>
    <definedName name="_____MMM25" localSheetId="21">#REF!</definedName>
    <definedName name="_____MMM25" localSheetId="1">#REF!</definedName>
    <definedName name="_____MMM25" localSheetId="0">#REF!</definedName>
    <definedName name="_____MMM25" localSheetId="5">#REF!</definedName>
    <definedName name="_____MMM25" localSheetId="6">#REF!</definedName>
    <definedName name="_____MMM25" localSheetId="16">#REF!</definedName>
    <definedName name="_____MMM25" localSheetId="7">#REF!</definedName>
    <definedName name="_____MMM25">#REF!</definedName>
    <definedName name="_____MMM26" localSheetId="21">#REF!</definedName>
    <definedName name="_____MMM26" localSheetId="1">#REF!</definedName>
    <definedName name="_____MMM26" localSheetId="0">#REF!</definedName>
    <definedName name="_____MMM26" localSheetId="5">#REF!</definedName>
    <definedName name="_____MMM26" localSheetId="6">#REF!</definedName>
    <definedName name="_____MMM26" localSheetId="16">#REF!</definedName>
    <definedName name="_____MMM26" localSheetId="7">#REF!</definedName>
    <definedName name="_____MMM26">#REF!</definedName>
    <definedName name="_____MMM27" localSheetId="21">#REF!</definedName>
    <definedName name="_____MMM27" localSheetId="1">#REF!</definedName>
    <definedName name="_____MMM27" localSheetId="0">#REF!</definedName>
    <definedName name="_____MMM27" localSheetId="5">#REF!</definedName>
    <definedName name="_____MMM27" localSheetId="6">#REF!</definedName>
    <definedName name="_____MMM27" localSheetId="16">#REF!</definedName>
    <definedName name="_____MMM27" localSheetId="7">#REF!</definedName>
    <definedName name="_____MMM27">#REF!</definedName>
    <definedName name="_____MMM28" localSheetId="21">#REF!</definedName>
    <definedName name="_____MMM28" localSheetId="1">#REF!</definedName>
    <definedName name="_____MMM28" localSheetId="0">#REF!</definedName>
    <definedName name="_____MMM28" localSheetId="5">#REF!</definedName>
    <definedName name="_____MMM28" localSheetId="6">#REF!</definedName>
    <definedName name="_____MMM28" localSheetId="16">#REF!</definedName>
    <definedName name="_____MMM28" localSheetId="7">#REF!</definedName>
    <definedName name="_____MMM28">#REF!</definedName>
    <definedName name="_____MMM29" localSheetId="21">#REF!</definedName>
    <definedName name="_____MMM29" localSheetId="1">#REF!</definedName>
    <definedName name="_____MMM29" localSheetId="0">#REF!</definedName>
    <definedName name="_____MMM29" localSheetId="5">#REF!</definedName>
    <definedName name="_____MMM29" localSheetId="6">#REF!</definedName>
    <definedName name="_____MMM29" localSheetId="16">#REF!</definedName>
    <definedName name="_____MMM29" localSheetId="7">#REF!</definedName>
    <definedName name="_____MMM29">#REF!</definedName>
    <definedName name="_____MMM30" localSheetId="21">#REF!</definedName>
    <definedName name="_____MMM30" localSheetId="1">#REF!</definedName>
    <definedName name="_____MMM30" localSheetId="0">#REF!</definedName>
    <definedName name="_____MMM30" localSheetId="5">#REF!</definedName>
    <definedName name="_____MMM30" localSheetId="6">#REF!</definedName>
    <definedName name="_____MMM30" localSheetId="16">#REF!</definedName>
    <definedName name="_____MMM30" localSheetId="7">#REF!</definedName>
    <definedName name="_____MMM30">#REF!</definedName>
    <definedName name="_____MMM31" localSheetId="21">#REF!</definedName>
    <definedName name="_____MMM31" localSheetId="1">#REF!</definedName>
    <definedName name="_____MMM31" localSheetId="0">#REF!</definedName>
    <definedName name="_____MMM31" localSheetId="5">#REF!</definedName>
    <definedName name="_____MMM31" localSheetId="6">#REF!</definedName>
    <definedName name="_____MMM31" localSheetId="16">#REF!</definedName>
    <definedName name="_____MMM31" localSheetId="7">#REF!</definedName>
    <definedName name="_____MMM31">#REF!</definedName>
    <definedName name="_____MMM32" localSheetId="21">#REF!</definedName>
    <definedName name="_____MMM32" localSheetId="1">#REF!</definedName>
    <definedName name="_____MMM32" localSheetId="0">#REF!</definedName>
    <definedName name="_____MMM32" localSheetId="5">#REF!</definedName>
    <definedName name="_____MMM32" localSheetId="6">#REF!</definedName>
    <definedName name="_____MMM32" localSheetId="16">#REF!</definedName>
    <definedName name="_____MMM32" localSheetId="7">#REF!</definedName>
    <definedName name="_____MMM32">#REF!</definedName>
    <definedName name="_____MMM33" localSheetId="21">#REF!</definedName>
    <definedName name="_____MMM33" localSheetId="1">#REF!</definedName>
    <definedName name="_____MMM33" localSheetId="0">#REF!</definedName>
    <definedName name="_____MMM33" localSheetId="5">#REF!</definedName>
    <definedName name="_____MMM33" localSheetId="6">#REF!</definedName>
    <definedName name="_____MMM33" localSheetId="16">#REF!</definedName>
    <definedName name="_____MMM33" localSheetId="7">#REF!</definedName>
    <definedName name="_____MMM33">#REF!</definedName>
    <definedName name="_____MMM34" localSheetId="21">#REF!</definedName>
    <definedName name="_____MMM34" localSheetId="1">#REF!</definedName>
    <definedName name="_____MMM34" localSheetId="0">#REF!</definedName>
    <definedName name="_____MMM34" localSheetId="5">#REF!</definedName>
    <definedName name="_____MMM34" localSheetId="6">#REF!</definedName>
    <definedName name="_____MMM34" localSheetId="16">#REF!</definedName>
    <definedName name="_____MMM34" localSheetId="7">#REF!</definedName>
    <definedName name="_____MMM34">#REF!</definedName>
    <definedName name="_____MMM35" localSheetId="21">#REF!</definedName>
    <definedName name="_____MMM35" localSheetId="1">#REF!</definedName>
    <definedName name="_____MMM35" localSheetId="0">#REF!</definedName>
    <definedName name="_____MMM35" localSheetId="5">#REF!</definedName>
    <definedName name="_____MMM35" localSheetId="6">#REF!</definedName>
    <definedName name="_____MMM35" localSheetId="16">#REF!</definedName>
    <definedName name="_____MMM35" localSheetId="7">#REF!</definedName>
    <definedName name="_____MMM35">#REF!</definedName>
    <definedName name="_____MMM36" localSheetId="21">#REF!</definedName>
    <definedName name="_____MMM36" localSheetId="1">#REF!</definedName>
    <definedName name="_____MMM36" localSheetId="0">#REF!</definedName>
    <definedName name="_____MMM36" localSheetId="5">#REF!</definedName>
    <definedName name="_____MMM36" localSheetId="6">#REF!</definedName>
    <definedName name="_____MMM36" localSheetId="16">#REF!</definedName>
    <definedName name="_____MMM36" localSheetId="7">#REF!</definedName>
    <definedName name="_____MMM36">#REF!</definedName>
    <definedName name="_____MMM37" localSheetId="21">#REF!</definedName>
    <definedName name="_____MMM37" localSheetId="1">#REF!</definedName>
    <definedName name="_____MMM37" localSheetId="0">#REF!</definedName>
    <definedName name="_____MMM37" localSheetId="5">#REF!</definedName>
    <definedName name="_____MMM37" localSheetId="6">#REF!</definedName>
    <definedName name="_____MMM37" localSheetId="16">#REF!</definedName>
    <definedName name="_____MMM37" localSheetId="7">#REF!</definedName>
    <definedName name="_____MMM37">#REF!</definedName>
    <definedName name="_____MMM38" localSheetId="21">#REF!</definedName>
    <definedName name="_____MMM38" localSheetId="1">#REF!</definedName>
    <definedName name="_____MMM38" localSheetId="0">#REF!</definedName>
    <definedName name="_____MMM38" localSheetId="5">#REF!</definedName>
    <definedName name="_____MMM38" localSheetId="6">#REF!</definedName>
    <definedName name="_____MMM38" localSheetId="16">#REF!</definedName>
    <definedName name="_____MMM38" localSheetId="7">#REF!</definedName>
    <definedName name="_____MMM38">#REF!</definedName>
    <definedName name="_____MMM39" localSheetId="21">#REF!</definedName>
    <definedName name="_____MMM39" localSheetId="1">#REF!</definedName>
    <definedName name="_____MMM39" localSheetId="0">#REF!</definedName>
    <definedName name="_____MMM39" localSheetId="5">#REF!</definedName>
    <definedName name="_____MMM39" localSheetId="6">#REF!</definedName>
    <definedName name="_____MMM39" localSheetId="16">#REF!</definedName>
    <definedName name="_____MMM39" localSheetId="7">#REF!</definedName>
    <definedName name="_____MMM39">#REF!</definedName>
    <definedName name="_____MMM40" localSheetId="21">#REF!</definedName>
    <definedName name="_____MMM40" localSheetId="1">#REF!</definedName>
    <definedName name="_____MMM40" localSheetId="0">#REF!</definedName>
    <definedName name="_____MMM40" localSheetId="5">#REF!</definedName>
    <definedName name="_____MMM40" localSheetId="6">#REF!</definedName>
    <definedName name="_____MMM40" localSheetId="16">#REF!</definedName>
    <definedName name="_____MMM40" localSheetId="7">#REF!</definedName>
    <definedName name="_____MMM40">#REF!</definedName>
    <definedName name="_____MMM41" localSheetId="21">#REF!</definedName>
    <definedName name="_____MMM41" localSheetId="1">#REF!</definedName>
    <definedName name="_____MMM41" localSheetId="0">#REF!</definedName>
    <definedName name="_____MMM41" localSheetId="5">#REF!</definedName>
    <definedName name="_____MMM41" localSheetId="6">#REF!</definedName>
    <definedName name="_____MMM41" localSheetId="16">#REF!</definedName>
    <definedName name="_____MMM41" localSheetId="7">#REF!</definedName>
    <definedName name="_____MMM41">#REF!</definedName>
    <definedName name="_____MMM411" localSheetId="21">#REF!</definedName>
    <definedName name="_____MMM411" localSheetId="1">#REF!</definedName>
    <definedName name="_____MMM411" localSheetId="0">#REF!</definedName>
    <definedName name="_____MMM411" localSheetId="5">#REF!</definedName>
    <definedName name="_____MMM411" localSheetId="6">#REF!</definedName>
    <definedName name="_____MMM411" localSheetId="16">#REF!</definedName>
    <definedName name="_____MMM411" localSheetId="7">#REF!</definedName>
    <definedName name="_____MMM411">#REF!</definedName>
    <definedName name="_____MMM42" localSheetId="21">#REF!</definedName>
    <definedName name="_____MMM42" localSheetId="1">#REF!</definedName>
    <definedName name="_____MMM42" localSheetId="0">#REF!</definedName>
    <definedName name="_____MMM42" localSheetId="5">#REF!</definedName>
    <definedName name="_____MMM42" localSheetId="6">#REF!</definedName>
    <definedName name="_____MMM42" localSheetId="16">#REF!</definedName>
    <definedName name="_____MMM42" localSheetId="7">#REF!</definedName>
    <definedName name="_____MMM42">#REF!</definedName>
    <definedName name="_____MMM43" localSheetId="21">#REF!</definedName>
    <definedName name="_____MMM43" localSheetId="1">#REF!</definedName>
    <definedName name="_____MMM43" localSheetId="0">#REF!</definedName>
    <definedName name="_____MMM43" localSheetId="5">#REF!</definedName>
    <definedName name="_____MMM43" localSheetId="6">#REF!</definedName>
    <definedName name="_____MMM43" localSheetId="16">#REF!</definedName>
    <definedName name="_____MMM43" localSheetId="7">#REF!</definedName>
    <definedName name="_____MMM43">#REF!</definedName>
    <definedName name="_____MMM44" localSheetId="21">#REF!</definedName>
    <definedName name="_____MMM44" localSheetId="1">#REF!</definedName>
    <definedName name="_____MMM44" localSheetId="0">#REF!</definedName>
    <definedName name="_____MMM44" localSheetId="5">#REF!</definedName>
    <definedName name="_____MMM44" localSheetId="6">#REF!</definedName>
    <definedName name="_____MMM44" localSheetId="16">#REF!</definedName>
    <definedName name="_____MMM44" localSheetId="7">#REF!</definedName>
    <definedName name="_____MMM44">#REF!</definedName>
    <definedName name="_____MMM45" localSheetId="21">#REF!</definedName>
    <definedName name="_____MMM45" localSheetId="1">#REF!</definedName>
    <definedName name="_____MMM45" localSheetId="0">#REF!</definedName>
    <definedName name="_____MMM45" localSheetId="5">#REF!</definedName>
    <definedName name="_____MMM45" localSheetId="6">#REF!</definedName>
    <definedName name="_____MMM45" localSheetId="16">#REF!</definedName>
    <definedName name="_____MMM45" localSheetId="7">#REF!</definedName>
    <definedName name="_____MMM45">#REF!</definedName>
    <definedName name="_____MMM46" localSheetId="21">#REF!</definedName>
    <definedName name="_____MMM46" localSheetId="1">#REF!</definedName>
    <definedName name="_____MMM46" localSheetId="0">#REF!</definedName>
    <definedName name="_____MMM46" localSheetId="5">#REF!</definedName>
    <definedName name="_____MMM46" localSheetId="6">#REF!</definedName>
    <definedName name="_____MMM46" localSheetId="16">#REF!</definedName>
    <definedName name="_____MMM46" localSheetId="7">#REF!</definedName>
    <definedName name="_____MMM46">#REF!</definedName>
    <definedName name="_____MMM47" localSheetId="21">#REF!</definedName>
    <definedName name="_____MMM47" localSheetId="1">#REF!</definedName>
    <definedName name="_____MMM47" localSheetId="0">#REF!</definedName>
    <definedName name="_____MMM47" localSheetId="5">#REF!</definedName>
    <definedName name="_____MMM47" localSheetId="6">#REF!</definedName>
    <definedName name="_____MMM47" localSheetId="16">#REF!</definedName>
    <definedName name="_____MMM47" localSheetId="7">#REF!</definedName>
    <definedName name="_____MMM47">#REF!</definedName>
    <definedName name="_____MMM48" localSheetId="21">#REF!</definedName>
    <definedName name="_____MMM48" localSheetId="1">#REF!</definedName>
    <definedName name="_____MMM48" localSheetId="0">#REF!</definedName>
    <definedName name="_____MMM48" localSheetId="5">#REF!</definedName>
    <definedName name="_____MMM48" localSheetId="6">#REF!</definedName>
    <definedName name="_____MMM48" localSheetId="16">#REF!</definedName>
    <definedName name="_____MMM48" localSheetId="7">#REF!</definedName>
    <definedName name="_____MMM48">#REF!</definedName>
    <definedName name="_____MMM49" localSheetId="21">#REF!</definedName>
    <definedName name="_____MMM49" localSheetId="1">#REF!</definedName>
    <definedName name="_____MMM49" localSheetId="0">#REF!</definedName>
    <definedName name="_____MMM49" localSheetId="5">#REF!</definedName>
    <definedName name="_____MMM49" localSheetId="6">#REF!</definedName>
    <definedName name="_____MMM49" localSheetId="16">#REF!</definedName>
    <definedName name="_____MMM49" localSheetId="7">#REF!</definedName>
    <definedName name="_____MMM49">#REF!</definedName>
    <definedName name="_____MMM50" localSheetId="21">#REF!</definedName>
    <definedName name="_____MMM50" localSheetId="1">#REF!</definedName>
    <definedName name="_____MMM50" localSheetId="0">#REF!</definedName>
    <definedName name="_____MMM50" localSheetId="5">#REF!</definedName>
    <definedName name="_____MMM50" localSheetId="6">#REF!</definedName>
    <definedName name="_____MMM50" localSheetId="16">#REF!</definedName>
    <definedName name="_____MMM50" localSheetId="7">#REF!</definedName>
    <definedName name="_____MMM50">#REF!</definedName>
    <definedName name="_____MMM51" localSheetId="21">#REF!</definedName>
    <definedName name="_____MMM51" localSheetId="1">#REF!</definedName>
    <definedName name="_____MMM51" localSheetId="0">#REF!</definedName>
    <definedName name="_____MMM51" localSheetId="5">#REF!</definedName>
    <definedName name="_____MMM51" localSheetId="6">#REF!</definedName>
    <definedName name="_____MMM51" localSheetId="16">#REF!</definedName>
    <definedName name="_____MMM51" localSheetId="7">#REF!</definedName>
    <definedName name="_____MMM51">#REF!</definedName>
    <definedName name="_____MMM52" localSheetId="21">#REF!</definedName>
    <definedName name="_____MMM52" localSheetId="1">#REF!</definedName>
    <definedName name="_____MMM52" localSheetId="0">#REF!</definedName>
    <definedName name="_____MMM52" localSheetId="5">#REF!</definedName>
    <definedName name="_____MMM52" localSheetId="6">#REF!</definedName>
    <definedName name="_____MMM52" localSheetId="16">#REF!</definedName>
    <definedName name="_____MMM52" localSheetId="7">#REF!</definedName>
    <definedName name="_____MMM52">#REF!</definedName>
    <definedName name="_____MMM53" localSheetId="21">#REF!</definedName>
    <definedName name="_____MMM53" localSheetId="1">#REF!</definedName>
    <definedName name="_____MMM53" localSheetId="0">#REF!</definedName>
    <definedName name="_____MMM53" localSheetId="5">#REF!</definedName>
    <definedName name="_____MMM53" localSheetId="6">#REF!</definedName>
    <definedName name="_____MMM53" localSheetId="16">#REF!</definedName>
    <definedName name="_____MMM53" localSheetId="7">#REF!</definedName>
    <definedName name="_____MMM53">#REF!</definedName>
    <definedName name="_____MMM54" localSheetId="21">#REF!</definedName>
    <definedName name="_____MMM54" localSheetId="1">#REF!</definedName>
    <definedName name="_____MMM54" localSheetId="0">#REF!</definedName>
    <definedName name="_____MMM54" localSheetId="5">#REF!</definedName>
    <definedName name="_____MMM54" localSheetId="6">#REF!</definedName>
    <definedName name="_____MMM54" localSheetId="16">#REF!</definedName>
    <definedName name="_____MMM54" localSheetId="7">#REF!</definedName>
    <definedName name="_____MMM54">#REF!</definedName>
    <definedName name="____DIV1">'[2]Kuantitas &amp; Harga'!$G$26</definedName>
    <definedName name="____DIV10">'[2]Kuantitas &amp; Harga'!$G$418</definedName>
    <definedName name="____DIV11" localSheetId="21">[4]RAB!#REF!</definedName>
    <definedName name="____DIV11" localSheetId="1">[4]RAB!#REF!</definedName>
    <definedName name="____DIV11" localSheetId="0">[4]RAB!#REF!</definedName>
    <definedName name="____DIV11" localSheetId="5">[4]RAB!#REF!</definedName>
    <definedName name="____DIV11" localSheetId="6">[4]RAB!#REF!</definedName>
    <definedName name="____DIV11" localSheetId="16">[4]RAB!#REF!</definedName>
    <definedName name="____DIV11" localSheetId="7">[4]RAB!#REF!</definedName>
    <definedName name="____DIV11">[4]RAB!#REF!</definedName>
    <definedName name="____DIV2">'[2]Kuantitas &amp; Harga'!$G$50</definedName>
    <definedName name="____DIV3">'[2]Kuantitas &amp; Harga'!$G$84</definedName>
    <definedName name="____DIV4">'[2]Kuantitas &amp; Harga'!$G$99</definedName>
    <definedName name="____DIV5">'[2]Kuantitas &amp; Harga'!$G$119</definedName>
    <definedName name="____DIV6">'[2]Kuantitas &amp; Harga'!$G$155</definedName>
    <definedName name="____DIV7">'[2]Kuantitas &amp; Harga'!$G$319</definedName>
    <definedName name="____DIV8">'[2]Kuantitas &amp; Harga'!$G$377</definedName>
    <definedName name="____DIV9">'[2]Kuantitas &amp; Harga'!$G$405</definedName>
    <definedName name="____HAL1" localSheetId="21">#REF!</definedName>
    <definedName name="____HAL1" localSheetId="1">#REF!</definedName>
    <definedName name="____HAL1" localSheetId="0">#REF!</definedName>
    <definedName name="____HAL1" localSheetId="5">#REF!</definedName>
    <definedName name="____HAL1" localSheetId="6">#REF!</definedName>
    <definedName name="____HAL1" localSheetId="16">#REF!</definedName>
    <definedName name="____HAL1" localSheetId="7">#REF!</definedName>
    <definedName name="____HAL1">#REF!</definedName>
    <definedName name="____HAL2" localSheetId="21">#REF!</definedName>
    <definedName name="____HAL2" localSheetId="1">#REF!</definedName>
    <definedName name="____HAL2" localSheetId="0">#REF!</definedName>
    <definedName name="____HAL2" localSheetId="5">#REF!</definedName>
    <definedName name="____HAL2" localSheetId="6">#REF!</definedName>
    <definedName name="____HAL2" localSheetId="16">#REF!</definedName>
    <definedName name="____HAL2" localSheetId="7">#REF!</definedName>
    <definedName name="____HAL2">#REF!</definedName>
    <definedName name="____KL12">[6]alat!$AW$18</definedName>
    <definedName name="____LLL01" localSheetId="21">#REF!</definedName>
    <definedName name="____LLL01" localSheetId="1">#REF!</definedName>
    <definedName name="____LLL01" localSheetId="0">#REF!</definedName>
    <definedName name="____LLL01" localSheetId="5">#REF!</definedName>
    <definedName name="____LLL01" localSheetId="6">#REF!</definedName>
    <definedName name="____LLL01" localSheetId="16">#REF!</definedName>
    <definedName name="____LLL01" localSheetId="7">#REF!</definedName>
    <definedName name="____LLL01">#REF!</definedName>
    <definedName name="____LLL02" localSheetId="21">#REF!</definedName>
    <definedName name="____LLL02" localSheetId="1">#REF!</definedName>
    <definedName name="____LLL02" localSheetId="0">#REF!</definedName>
    <definedName name="____LLL02" localSheetId="5">#REF!</definedName>
    <definedName name="____LLL02" localSheetId="6">#REF!</definedName>
    <definedName name="____LLL02" localSheetId="16">#REF!</definedName>
    <definedName name="____LLL02" localSheetId="7">#REF!</definedName>
    <definedName name="____LLL02">#REF!</definedName>
    <definedName name="____LLL03" localSheetId="21">#REF!</definedName>
    <definedName name="____LLL03" localSheetId="1">#REF!</definedName>
    <definedName name="____LLL03" localSheetId="0">#REF!</definedName>
    <definedName name="____LLL03" localSheetId="5">#REF!</definedName>
    <definedName name="____LLL03" localSheetId="6">#REF!</definedName>
    <definedName name="____LLL03" localSheetId="16">#REF!</definedName>
    <definedName name="____LLL03" localSheetId="7">#REF!</definedName>
    <definedName name="____LLL03">#REF!</definedName>
    <definedName name="____LLL04" localSheetId="21">#REF!</definedName>
    <definedName name="____LLL04" localSheetId="1">#REF!</definedName>
    <definedName name="____LLL04" localSheetId="0">#REF!</definedName>
    <definedName name="____LLL04" localSheetId="5">#REF!</definedName>
    <definedName name="____LLL04" localSheetId="6">#REF!</definedName>
    <definedName name="____LLL04" localSheetId="16">#REF!</definedName>
    <definedName name="____LLL04" localSheetId="7">#REF!</definedName>
    <definedName name="____LLL04">#REF!</definedName>
    <definedName name="____LLL05" localSheetId="21">#REF!</definedName>
    <definedName name="____LLL05" localSheetId="1">#REF!</definedName>
    <definedName name="____LLL05" localSheetId="0">#REF!</definedName>
    <definedName name="____LLL05" localSheetId="5">#REF!</definedName>
    <definedName name="____LLL05" localSheetId="6">#REF!</definedName>
    <definedName name="____LLL05" localSheetId="16">#REF!</definedName>
    <definedName name="____LLL05" localSheetId="7">#REF!</definedName>
    <definedName name="____LLL05">#REF!</definedName>
    <definedName name="____LLL06" localSheetId="21">#REF!</definedName>
    <definedName name="____LLL06" localSheetId="1">#REF!</definedName>
    <definedName name="____LLL06" localSheetId="0">#REF!</definedName>
    <definedName name="____LLL06" localSheetId="5">#REF!</definedName>
    <definedName name="____LLL06" localSheetId="6">#REF!</definedName>
    <definedName name="____LLL06" localSheetId="16">#REF!</definedName>
    <definedName name="____LLL06" localSheetId="7">#REF!</definedName>
    <definedName name="____LLL06">#REF!</definedName>
    <definedName name="____LLL07" localSheetId="21">#REF!</definedName>
    <definedName name="____LLL07" localSheetId="1">#REF!</definedName>
    <definedName name="____LLL07" localSheetId="0">#REF!</definedName>
    <definedName name="____LLL07" localSheetId="5">#REF!</definedName>
    <definedName name="____LLL07" localSheetId="6">#REF!</definedName>
    <definedName name="____LLL07" localSheetId="16">#REF!</definedName>
    <definedName name="____LLL07" localSheetId="7">#REF!</definedName>
    <definedName name="____LLL07">#REF!</definedName>
    <definedName name="____LLL08" localSheetId="21">#REF!</definedName>
    <definedName name="____LLL08" localSheetId="1">#REF!</definedName>
    <definedName name="____LLL08" localSheetId="0">#REF!</definedName>
    <definedName name="____LLL08" localSheetId="5">#REF!</definedName>
    <definedName name="____LLL08" localSheetId="6">#REF!</definedName>
    <definedName name="____LLL08" localSheetId="16">#REF!</definedName>
    <definedName name="____LLL08" localSheetId="7">#REF!</definedName>
    <definedName name="____LLL08">#REF!</definedName>
    <definedName name="____LLL09" localSheetId="21">#REF!</definedName>
    <definedName name="____LLL09" localSheetId="1">#REF!</definedName>
    <definedName name="____LLL09" localSheetId="0">#REF!</definedName>
    <definedName name="____LLL09" localSheetId="5">#REF!</definedName>
    <definedName name="____LLL09" localSheetId="6">#REF!</definedName>
    <definedName name="____LLL09" localSheetId="16">#REF!</definedName>
    <definedName name="____LLL09" localSheetId="7">#REF!</definedName>
    <definedName name="____LLL09">#REF!</definedName>
    <definedName name="____LLL10" localSheetId="21">#REF!</definedName>
    <definedName name="____LLL10" localSheetId="1">#REF!</definedName>
    <definedName name="____LLL10" localSheetId="0">#REF!</definedName>
    <definedName name="____LLL10" localSheetId="5">#REF!</definedName>
    <definedName name="____LLL10" localSheetId="6">#REF!</definedName>
    <definedName name="____LLL10" localSheetId="16">#REF!</definedName>
    <definedName name="____LLL10" localSheetId="7">#REF!</definedName>
    <definedName name="____LLL10">#REF!</definedName>
    <definedName name="____LLL11" localSheetId="21">#REF!</definedName>
    <definedName name="____LLL11" localSheetId="1">#REF!</definedName>
    <definedName name="____LLL11" localSheetId="0">#REF!</definedName>
    <definedName name="____LLL11" localSheetId="5">#REF!</definedName>
    <definedName name="____LLL11" localSheetId="6">#REF!</definedName>
    <definedName name="____LLL11" localSheetId="16">#REF!</definedName>
    <definedName name="____LLL11" localSheetId="7">#REF!</definedName>
    <definedName name="____LLL11">#REF!</definedName>
    <definedName name="____MMM01" localSheetId="21">#REF!</definedName>
    <definedName name="____MMM01" localSheetId="1">#REF!</definedName>
    <definedName name="____MMM01" localSheetId="0">#REF!</definedName>
    <definedName name="____MMM01" localSheetId="5">#REF!</definedName>
    <definedName name="____MMM01" localSheetId="6">#REF!</definedName>
    <definedName name="____MMM01" localSheetId="16">#REF!</definedName>
    <definedName name="____MMM01" localSheetId="7">#REF!</definedName>
    <definedName name="____MMM01">#REF!</definedName>
    <definedName name="____MMM02" localSheetId="21">#REF!</definedName>
    <definedName name="____MMM02" localSheetId="1">#REF!</definedName>
    <definedName name="____MMM02" localSheetId="0">#REF!</definedName>
    <definedName name="____MMM02" localSheetId="5">#REF!</definedName>
    <definedName name="____MMM02" localSheetId="6">#REF!</definedName>
    <definedName name="____MMM02" localSheetId="16">#REF!</definedName>
    <definedName name="____MMM02" localSheetId="7">#REF!</definedName>
    <definedName name="____MMM02">#REF!</definedName>
    <definedName name="____MMM03" localSheetId="21">#REF!</definedName>
    <definedName name="____MMM03" localSheetId="1">#REF!</definedName>
    <definedName name="____MMM03" localSheetId="0">#REF!</definedName>
    <definedName name="____MMM03" localSheetId="5">#REF!</definedName>
    <definedName name="____MMM03" localSheetId="6">#REF!</definedName>
    <definedName name="____MMM03" localSheetId="16">#REF!</definedName>
    <definedName name="____MMM03" localSheetId="7">#REF!</definedName>
    <definedName name="____MMM03">#REF!</definedName>
    <definedName name="____MMM04" localSheetId="21">#REF!</definedName>
    <definedName name="____MMM04" localSheetId="1">#REF!</definedName>
    <definedName name="____MMM04" localSheetId="0">#REF!</definedName>
    <definedName name="____MMM04" localSheetId="5">#REF!</definedName>
    <definedName name="____MMM04" localSheetId="6">#REF!</definedName>
    <definedName name="____MMM04" localSheetId="16">#REF!</definedName>
    <definedName name="____MMM04" localSheetId="7">#REF!</definedName>
    <definedName name="____MMM04">#REF!</definedName>
    <definedName name="____MMM05" localSheetId="21">#REF!</definedName>
    <definedName name="____MMM05" localSheetId="1">#REF!</definedName>
    <definedName name="____MMM05" localSheetId="0">#REF!</definedName>
    <definedName name="____MMM05" localSheetId="5">#REF!</definedName>
    <definedName name="____MMM05" localSheetId="6">#REF!</definedName>
    <definedName name="____MMM05" localSheetId="16">#REF!</definedName>
    <definedName name="____MMM05" localSheetId="7">#REF!</definedName>
    <definedName name="____MMM05">#REF!</definedName>
    <definedName name="____MMM06" localSheetId="21">#REF!</definedName>
    <definedName name="____MMM06" localSheetId="1">#REF!</definedName>
    <definedName name="____MMM06" localSheetId="0">#REF!</definedName>
    <definedName name="____MMM06" localSheetId="5">#REF!</definedName>
    <definedName name="____MMM06" localSheetId="6">#REF!</definedName>
    <definedName name="____MMM06" localSheetId="16">#REF!</definedName>
    <definedName name="____MMM06" localSheetId="7">#REF!</definedName>
    <definedName name="____MMM06">#REF!</definedName>
    <definedName name="____MMM07" localSheetId="21">#REF!</definedName>
    <definedName name="____MMM07" localSheetId="1">#REF!</definedName>
    <definedName name="____MMM07" localSheetId="0">#REF!</definedName>
    <definedName name="____MMM07" localSheetId="5">#REF!</definedName>
    <definedName name="____MMM07" localSheetId="6">#REF!</definedName>
    <definedName name="____MMM07" localSheetId="16">#REF!</definedName>
    <definedName name="____MMM07" localSheetId="7">#REF!</definedName>
    <definedName name="____MMM07">#REF!</definedName>
    <definedName name="____MMM08" localSheetId="21">#REF!</definedName>
    <definedName name="____MMM08" localSheetId="1">#REF!</definedName>
    <definedName name="____MMM08" localSheetId="0">#REF!</definedName>
    <definedName name="____MMM08" localSheetId="5">#REF!</definedName>
    <definedName name="____MMM08" localSheetId="6">#REF!</definedName>
    <definedName name="____MMM08" localSheetId="16">#REF!</definedName>
    <definedName name="____MMM08" localSheetId="7">#REF!</definedName>
    <definedName name="____MMM08">#REF!</definedName>
    <definedName name="____MMM09" localSheetId="21">#REF!</definedName>
    <definedName name="____MMM09" localSheetId="1">#REF!</definedName>
    <definedName name="____MMM09" localSheetId="0">#REF!</definedName>
    <definedName name="____MMM09" localSheetId="5">#REF!</definedName>
    <definedName name="____MMM09" localSheetId="6">#REF!</definedName>
    <definedName name="____MMM09" localSheetId="16">#REF!</definedName>
    <definedName name="____MMM09" localSheetId="7">#REF!</definedName>
    <definedName name="____MMM09">#REF!</definedName>
    <definedName name="____MMM10" localSheetId="21">#REF!</definedName>
    <definedName name="____MMM10" localSheetId="1">#REF!</definedName>
    <definedName name="____MMM10" localSheetId="0">#REF!</definedName>
    <definedName name="____MMM10" localSheetId="5">#REF!</definedName>
    <definedName name="____MMM10" localSheetId="6">#REF!</definedName>
    <definedName name="____MMM10" localSheetId="16">#REF!</definedName>
    <definedName name="____MMM10" localSheetId="7">#REF!</definedName>
    <definedName name="____MMM10">#REF!</definedName>
    <definedName name="____MMM11" localSheetId="21">#REF!</definedName>
    <definedName name="____MMM11" localSheetId="1">#REF!</definedName>
    <definedName name="____MMM11" localSheetId="0">#REF!</definedName>
    <definedName name="____MMM11" localSheetId="5">#REF!</definedName>
    <definedName name="____MMM11" localSheetId="6">#REF!</definedName>
    <definedName name="____MMM11" localSheetId="16">#REF!</definedName>
    <definedName name="____MMM11" localSheetId="7">#REF!</definedName>
    <definedName name="____MMM11">#REF!</definedName>
    <definedName name="____MMM12" localSheetId="21">#REF!</definedName>
    <definedName name="____MMM12" localSheetId="1">#REF!</definedName>
    <definedName name="____MMM12" localSheetId="0">#REF!</definedName>
    <definedName name="____MMM12" localSheetId="5">#REF!</definedName>
    <definedName name="____MMM12" localSheetId="6">#REF!</definedName>
    <definedName name="____MMM12" localSheetId="16">#REF!</definedName>
    <definedName name="____MMM12" localSheetId="7">#REF!</definedName>
    <definedName name="____MMM12">#REF!</definedName>
    <definedName name="____MMM13" localSheetId="21">#REF!</definedName>
    <definedName name="____MMM13" localSheetId="1">#REF!</definedName>
    <definedName name="____MMM13" localSheetId="0">#REF!</definedName>
    <definedName name="____MMM13" localSheetId="5">#REF!</definedName>
    <definedName name="____MMM13" localSheetId="6">#REF!</definedName>
    <definedName name="____MMM13" localSheetId="16">#REF!</definedName>
    <definedName name="____MMM13" localSheetId="7">#REF!</definedName>
    <definedName name="____MMM13">#REF!</definedName>
    <definedName name="____MMM14" localSheetId="21">#REF!</definedName>
    <definedName name="____MMM14" localSheetId="1">#REF!</definedName>
    <definedName name="____MMM14" localSheetId="0">#REF!</definedName>
    <definedName name="____MMM14" localSheetId="5">#REF!</definedName>
    <definedName name="____MMM14" localSheetId="6">#REF!</definedName>
    <definedName name="____MMM14" localSheetId="16">#REF!</definedName>
    <definedName name="____MMM14" localSheetId="7">#REF!</definedName>
    <definedName name="____MMM14">#REF!</definedName>
    <definedName name="____MMM15" localSheetId="21">#REF!</definedName>
    <definedName name="____MMM15" localSheetId="1">#REF!</definedName>
    <definedName name="____MMM15" localSheetId="0">#REF!</definedName>
    <definedName name="____MMM15" localSheetId="5">#REF!</definedName>
    <definedName name="____MMM15" localSheetId="6">#REF!</definedName>
    <definedName name="____MMM15" localSheetId="16">#REF!</definedName>
    <definedName name="____MMM15" localSheetId="7">#REF!</definedName>
    <definedName name="____MMM15">#REF!</definedName>
    <definedName name="____MMM16" localSheetId="21">#REF!</definedName>
    <definedName name="____MMM16" localSheetId="1">#REF!</definedName>
    <definedName name="____MMM16" localSheetId="0">#REF!</definedName>
    <definedName name="____MMM16" localSheetId="5">#REF!</definedName>
    <definedName name="____MMM16" localSheetId="6">#REF!</definedName>
    <definedName name="____MMM16" localSheetId="16">#REF!</definedName>
    <definedName name="____MMM16" localSheetId="7">#REF!</definedName>
    <definedName name="____MMM16">#REF!</definedName>
    <definedName name="____MMM17" localSheetId="21">#REF!</definedName>
    <definedName name="____MMM17" localSheetId="1">#REF!</definedName>
    <definedName name="____MMM17" localSheetId="0">#REF!</definedName>
    <definedName name="____MMM17" localSheetId="5">#REF!</definedName>
    <definedName name="____MMM17" localSheetId="6">#REF!</definedName>
    <definedName name="____MMM17" localSheetId="16">#REF!</definedName>
    <definedName name="____MMM17" localSheetId="7">#REF!</definedName>
    <definedName name="____MMM17">#REF!</definedName>
    <definedName name="____MMM18" localSheetId="21">#REF!</definedName>
    <definedName name="____MMM18" localSheetId="1">#REF!</definedName>
    <definedName name="____MMM18" localSheetId="0">#REF!</definedName>
    <definedName name="____MMM18" localSheetId="5">#REF!</definedName>
    <definedName name="____MMM18" localSheetId="6">#REF!</definedName>
    <definedName name="____MMM18" localSheetId="16">#REF!</definedName>
    <definedName name="____MMM18" localSheetId="7">#REF!</definedName>
    <definedName name="____MMM18">#REF!</definedName>
    <definedName name="____MMM19" localSheetId="21">#REF!</definedName>
    <definedName name="____MMM19" localSheetId="1">#REF!</definedName>
    <definedName name="____MMM19" localSheetId="0">#REF!</definedName>
    <definedName name="____MMM19" localSheetId="5">#REF!</definedName>
    <definedName name="____MMM19" localSheetId="6">#REF!</definedName>
    <definedName name="____MMM19" localSheetId="16">#REF!</definedName>
    <definedName name="____MMM19" localSheetId="7">#REF!</definedName>
    <definedName name="____MMM19">#REF!</definedName>
    <definedName name="____MMM20" localSheetId="21">#REF!</definedName>
    <definedName name="____MMM20" localSheetId="1">#REF!</definedName>
    <definedName name="____MMM20" localSheetId="0">#REF!</definedName>
    <definedName name="____MMM20" localSheetId="5">#REF!</definedName>
    <definedName name="____MMM20" localSheetId="6">#REF!</definedName>
    <definedName name="____MMM20" localSheetId="16">#REF!</definedName>
    <definedName name="____MMM20" localSheetId="7">#REF!</definedName>
    <definedName name="____MMM20">#REF!</definedName>
    <definedName name="____MMM21" localSheetId="21">#REF!</definedName>
    <definedName name="____MMM21" localSheetId="1">#REF!</definedName>
    <definedName name="____MMM21" localSheetId="0">#REF!</definedName>
    <definedName name="____MMM21" localSheetId="5">#REF!</definedName>
    <definedName name="____MMM21" localSheetId="6">#REF!</definedName>
    <definedName name="____MMM21" localSheetId="16">#REF!</definedName>
    <definedName name="____MMM21" localSheetId="7">#REF!</definedName>
    <definedName name="____MMM21">#REF!</definedName>
    <definedName name="____MMM22" localSheetId="21">#REF!</definedName>
    <definedName name="____MMM22" localSheetId="1">#REF!</definedName>
    <definedName name="____MMM22" localSheetId="0">#REF!</definedName>
    <definedName name="____MMM22" localSheetId="5">#REF!</definedName>
    <definedName name="____MMM22" localSheetId="6">#REF!</definedName>
    <definedName name="____MMM22" localSheetId="16">#REF!</definedName>
    <definedName name="____MMM22" localSheetId="7">#REF!</definedName>
    <definedName name="____MMM22">#REF!</definedName>
    <definedName name="____MMM23" localSheetId="21">#REF!</definedName>
    <definedName name="____MMM23" localSheetId="1">#REF!</definedName>
    <definedName name="____MMM23" localSheetId="0">#REF!</definedName>
    <definedName name="____MMM23" localSheetId="5">#REF!</definedName>
    <definedName name="____MMM23" localSheetId="6">#REF!</definedName>
    <definedName name="____MMM23" localSheetId="16">#REF!</definedName>
    <definedName name="____MMM23" localSheetId="7">#REF!</definedName>
    <definedName name="____MMM23">#REF!</definedName>
    <definedName name="____MMM24" localSheetId="21">#REF!</definedName>
    <definedName name="____MMM24" localSheetId="1">#REF!</definedName>
    <definedName name="____MMM24" localSheetId="0">#REF!</definedName>
    <definedName name="____MMM24" localSheetId="5">#REF!</definedName>
    <definedName name="____MMM24" localSheetId="6">#REF!</definedName>
    <definedName name="____MMM24" localSheetId="16">#REF!</definedName>
    <definedName name="____MMM24" localSheetId="7">#REF!</definedName>
    <definedName name="____MMM24">#REF!</definedName>
    <definedName name="____MMM25" localSheetId="21">#REF!</definedName>
    <definedName name="____MMM25" localSheetId="1">#REF!</definedName>
    <definedName name="____MMM25" localSheetId="0">#REF!</definedName>
    <definedName name="____MMM25" localSheetId="5">#REF!</definedName>
    <definedName name="____MMM25" localSheetId="6">#REF!</definedName>
    <definedName name="____MMM25" localSheetId="16">#REF!</definedName>
    <definedName name="____MMM25" localSheetId="7">#REF!</definedName>
    <definedName name="____MMM25">#REF!</definedName>
    <definedName name="____MMM26" localSheetId="21">#REF!</definedName>
    <definedName name="____MMM26" localSheetId="1">#REF!</definedName>
    <definedName name="____MMM26" localSheetId="0">#REF!</definedName>
    <definedName name="____MMM26" localSheetId="5">#REF!</definedName>
    <definedName name="____MMM26" localSheetId="6">#REF!</definedName>
    <definedName name="____MMM26" localSheetId="16">#REF!</definedName>
    <definedName name="____MMM26" localSheetId="7">#REF!</definedName>
    <definedName name="____MMM26">#REF!</definedName>
    <definedName name="____MMM27" localSheetId="21">#REF!</definedName>
    <definedName name="____MMM27" localSheetId="1">#REF!</definedName>
    <definedName name="____MMM27" localSheetId="0">#REF!</definedName>
    <definedName name="____MMM27" localSheetId="5">#REF!</definedName>
    <definedName name="____MMM27" localSheetId="6">#REF!</definedName>
    <definedName name="____MMM27" localSheetId="16">#REF!</definedName>
    <definedName name="____MMM27" localSheetId="7">#REF!</definedName>
    <definedName name="____MMM27">#REF!</definedName>
    <definedName name="____MMM28" localSheetId="21">#REF!</definedName>
    <definedName name="____MMM28" localSheetId="1">#REF!</definedName>
    <definedName name="____MMM28" localSheetId="0">#REF!</definedName>
    <definedName name="____MMM28" localSheetId="5">#REF!</definedName>
    <definedName name="____MMM28" localSheetId="6">#REF!</definedName>
    <definedName name="____MMM28" localSheetId="16">#REF!</definedName>
    <definedName name="____MMM28" localSheetId="7">#REF!</definedName>
    <definedName name="____MMM28">#REF!</definedName>
    <definedName name="____MMM29" localSheetId="21">#REF!</definedName>
    <definedName name="____MMM29" localSheetId="1">#REF!</definedName>
    <definedName name="____MMM29" localSheetId="0">#REF!</definedName>
    <definedName name="____MMM29" localSheetId="5">#REF!</definedName>
    <definedName name="____MMM29" localSheetId="6">#REF!</definedName>
    <definedName name="____MMM29" localSheetId="16">#REF!</definedName>
    <definedName name="____MMM29" localSheetId="7">#REF!</definedName>
    <definedName name="____MMM29">#REF!</definedName>
    <definedName name="____MMM30" localSheetId="21">#REF!</definedName>
    <definedName name="____MMM30" localSheetId="1">#REF!</definedName>
    <definedName name="____MMM30" localSheetId="0">#REF!</definedName>
    <definedName name="____MMM30" localSheetId="5">#REF!</definedName>
    <definedName name="____MMM30" localSheetId="6">#REF!</definedName>
    <definedName name="____MMM30" localSheetId="16">#REF!</definedName>
    <definedName name="____MMM30" localSheetId="7">#REF!</definedName>
    <definedName name="____MMM30">#REF!</definedName>
    <definedName name="____MMM31" localSheetId="21">#REF!</definedName>
    <definedName name="____MMM31" localSheetId="1">#REF!</definedName>
    <definedName name="____MMM31" localSheetId="0">#REF!</definedName>
    <definedName name="____MMM31" localSheetId="5">#REF!</definedName>
    <definedName name="____MMM31" localSheetId="6">#REF!</definedName>
    <definedName name="____MMM31" localSheetId="16">#REF!</definedName>
    <definedName name="____MMM31" localSheetId="7">#REF!</definedName>
    <definedName name="____MMM31">#REF!</definedName>
    <definedName name="____MMM32" localSheetId="21">#REF!</definedName>
    <definedName name="____MMM32" localSheetId="1">#REF!</definedName>
    <definedName name="____MMM32" localSheetId="0">#REF!</definedName>
    <definedName name="____MMM32" localSheetId="5">#REF!</definedName>
    <definedName name="____MMM32" localSheetId="6">#REF!</definedName>
    <definedName name="____MMM32" localSheetId="16">#REF!</definedName>
    <definedName name="____MMM32" localSheetId="7">#REF!</definedName>
    <definedName name="____MMM32">#REF!</definedName>
    <definedName name="____MMM33" localSheetId="21">#REF!</definedName>
    <definedName name="____MMM33" localSheetId="1">#REF!</definedName>
    <definedName name="____MMM33" localSheetId="0">#REF!</definedName>
    <definedName name="____MMM33" localSheetId="5">#REF!</definedName>
    <definedName name="____MMM33" localSheetId="6">#REF!</definedName>
    <definedName name="____MMM33" localSheetId="16">#REF!</definedName>
    <definedName name="____MMM33" localSheetId="7">#REF!</definedName>
    <definedName name="____MMM33">#REF!</definedName>
    <definedName name="____MMM34" localSheetId="21">#REF!</definedName>
    <definedName name="____MMM34" localSheetId="1">#REF!</definedName>
    <definedName name="____MMM34" localSheetId="0">#REF!</definedName>
    <definedName name="____MMM34" localSheetId="5">#REF!</definedName>
    <definedName name="____MMM34" localSheetId="6">#REF!</definedName>
    <definedName name="____MMM34" localSheetId="16">#REF!</definedName>
    <definedName name="____MMM34" localSheetId="7">#REF!</definedName>
    <definedName name="____MMM34">#REF!</definedName>
    <definedName name="____MMM35" localSheetId="21">#REF!</definedName>
    <definedName name="____MMM35" localSheetId="1">#REF!</definedName>
    <definedName name="____MMM35" localSheetId="0">#REF!</definedName>
    <definedName name="____MMM35" localSheetId="5">#REF!</definedName>
    <definedName name="____MMM35" localSheetId="6">#REF!</definedName>
    <definedName name="____MMM35" localSheetId="16">#REF!</definedName>
    <definedName name="____MMM35" localSheetId="7">#REF!</definedName>
    <definedName name="____MMM35">#REF!</definedName>
    <definedName name="____MMM36" localSheetId="21">#REF!</definedName>
    <definedName name="____MMM36" localSheetId="1">#REF!</definedName>
    <definedName name="____MMM36" localSheetId="0">#REF!</definedName>
    <definedName name="____MMM36" localSheetId="5">#REF!</definedName>
    <definedName name="____MMM36" localSheetId="6">#REF!</definedName>
    <definedName name="____MMM36" localSheetId="16">#REF!</definedName>
    <definedName name="____MMM36" localSheetId="7">#REF!</definedName>
    <definedName name="____MMM36">#REF!</definedName>
    <definedName name="____MMM37" localSheetId="21">#REF!</definedName>
    <definedName name="____MMM37" localSheetId="1">#REF!</definedName>
    <definedName name="____MMM37" localSheetId="0">#REF!</definedName>
    <definedName name="____MMM37" localSheetId="5">#REF!</definedName>
    <definedName name="____MMM37" localSheetId="6">#REF!</definedName>
    <definedName name="____MMM37" localSheetId="16">#REF!</definedName>
    <definedName name="____MMM37" localSheetId="7">#REF!</definedName>
    <definedName name="____MMM37">#REF!</definedName>
    <definedName name="____MMM38" localSheetId="21">#REF!</definedName>
    <definedName name="____MMM38" localSheetId="1">#REF!</definedName>
    <definedName name="____MMM38" localSheetId="0">#REF!</definedName>
    <definedName name="____MMM38" localSheetId="5">#REF!</definedName>
    <definedName name="____MMM38" localSheetId="6">#REF!</definedName>
    <definedName name="____MMM38" localSheetId="16">#REF!</definedName>
    <definedName name="____MMM38" localSheetId="7">#REF!</definedName>
    <definedName name="____MMM38">#REF!</definedName>
    <definedName name="____MMM39" localSheetId="21">#REF!</definedName>
    <definedName name="____MMM39" localSheetId="1">#REF!</definedName>
    <definedName name="____MMM39" localSheetId="0">#REF!</definedName>
    <definedName name="____MMM39" localSheetId="5">#REF!</definedName>
    <definedName name="____MMM39" localSheetId="6">#REF!</definedName>
    <definedName name="____MMM39" localSheetId="16">#REF!</definedName>
    <definedName name="____MMM39" localSheetId="7">#REF!</definedName>
    <definedName name="____MMM39">#REF!</definedName>
    <definedName name="____MMM40" localSheetId="21">#REF!</definedName>
    <definedName name="____MMM40" localSheetId="1">#REF!</definedName>
    <definedName name="____MMM40" localSheetId="0">#REF!</definedName>
    <definedName name="____MMM40" localSheetId="5">#REF!</definedName>
    <definedName name="____MMM40" localSheetId="6">#REF!</definedName>
    <definedName name="____MMM40" localSheetId="16">#REF!</definedName>
    <definedName name="____MMM40" localSheetId="7">#REF!</definedName>
    <definedName name="____MMM40">#REF!</definedName>
    <definedName name="____MMM41" localSheetId="21">#REF!</definedName>
    <definedName name="____MMM41" localSheetId="1">#REF!</definedName>
    <definedName name="____MMM41" localSheetId="0">#REF!</definedName>
    <definedName name="____MMM41" localSheetId="5">#REF!</definedName>
    <definedName name="____MMM41" localSheetId="6">#REF!</definedName>
    <definedName name="____MMM41" localSheetId="16">#REF!</definedName>
    <definedName name="____MMM41" localSheetId="7">#REF!</definedName>
    <definedName name="____MMM41">#REF!</definedName>
    <definedName name="____MMM411" localSheetId="21">#REF!</definedName>
    <definedName name="____MMM411" localSheetId="1">#REF!</definedName>
    <definedName name="____MMM411" localSheetId="0">#REF!</definedName>
    <definedName name="____MMM411" localSheetId="5">#REF!</definedName>
    <definedName name="____MMM411" localSheetId="6">#REF!</definedName>
    <definedName name="____MMM411" localSheetId="16">#REF!</definedName>
    <definedName name="____MMM411" localSheetId="7">#REF!</definedName>
    <definedName name="____MMM411">#REF!</definedName>
    <definedName name="____MMM42" localSheetId="21">#REF!</definedName>
    <definedName name="____MMM42" localSheetId="1">#REF!</definedName>
    <definedName name="____MMM42" localSheetId="0">#REF!</definedName>
    <definedName name="____MMM42" localSheetId="5">#REF!</definedName>
    <definedName name="____MMM42" localSheetId="6">#REF!</definedName>
    <definedName name="____MMM42" localSheetId="16">#REF!</definedName>
    <definedName name="____MMM42" localSheetId="7">#REF!</definedName>
    <definedName name="____MMM42">#REF!</definedName>
    <definedName name="____MMM43" localSheetId="21">#REF!</definedName>
    <definedName name="____MMM43" localSheetId="1">#REF!</definedName>
    <definedName name="____MMM43" localSheetId="0">#REF!</definedName>
    <definedName name="____MMM43" localSheetId="5">#REF!</definedName>
    <definedName name="____MMM43" localSheetId="6">#REF!</definedName>
    <definedName name="____MMM43" localSheetId="16">#REF!</definedName>
    <definedName name="____MMM43" localSheetId="7">#REF!</definedName>
    <definedName name="____MMM43">#REF!</definedName>
    <definedName name="____MMM44" localSheetId="21">#REF!</definedName>
    <definedName name="____MMM44" localSheetId="1">#REF!</definedName>
    <definedName name="____MMM44" localSheetId="0">#REF!</definedName>
    <definedName name="____MMM44" localSheetId="5">#REF!</definedName>
    <definedName name="____MMM44" localSheetId="6">#REF!</definedName>
    <definedName name="____MMM44" localSheetId="16">#REF!</definedName>
    <definedName name="____MMM44" localSheetId="7">#REF!</definedName>
    <definedName name="____MMM44">#REF!</definedName>
    <definedName name="____MMM45" localSheetId="21">#REF!</definedName>
    <definedName name="____MMM45" localSheetId="1">#REF!</definedName>
    <definedName name="____MMM45" localSheetId="0">#REF!</definedName>
    <definedName name="____MMM45" localSheetId="5">#REF!</definedName>
    <definedName name="____MMM45" localSheetId="6">#REF!</definedName>
    <definedName name="____MMM45" localSheetId="16">#REF!</definedName>
    <definedName name="____MMM45" localSheetId="7">#REF!</definedName>
    <definedName name="____MMM45">#REF!</definedName>
    <definedName name="____MMM46" localSheetId="21">#REF!</definedName>
    <definedName name="____MMM46" localSheetId="1">#REF!</definedName>
    <definedName name="____MMM46" localSheetId="0">#REF!</definedName>
    <definedName name="____MMM46" localSheetId="5">#REF!</definedName>
    <definedName name="____MMM46" localSheetId="6">#REF!</definedName>
    <definedName name="____MMM46" localSheetId="16">#REF!</definedName>
    <definedName name="____MMM46" localSheetId="7">#REF!</definedName>
    <definedName name="____MMM46">#REF!</definedName>
    <definedName name="____MMM47" localSheetId="21">#REF!</definedName>
    <definedName name="____MMM47" localSheetId="1">#REF!</definedName>
    <definedName name="____MMM47" localSheetId="0">#REF!</definedName>
    <definedName name="____MMM47" localSheetId="5">#REF!</definedName>
    <definedName name="____MMM47" localSheetId="6">#REF!</definedName>
    <definedName name="____MMM47" localSheetId="16">#REF!</definedName>
    <definedName name="____MMM47" localSheetId="7">#REF!</definedName>
    <definedName name="____MMM47">#REF!</definedName>
    <definedName name="____MMM48" localSheetId="21">#REF!</definedName>
    <definedName name="____MMM48" localSheetId="1">#REF!</definedName>
    <definedName name="____MMM48" localSheetId="0">#REF!</definedName>
    <definedName name="____MMM48" localSheetId="5">#REF!</definedName>
    <definedName name="____MMM48" localSheetId="6">#REF!</definedName>
    <definedName name="____MMM48" localSheetId="16">#REF!</definedName>
    <definedName name="____MMM48" localSheetId="7">#REF!</definedName>
    <definedName name="____MMM48">#REF!</definedName>
    <definedName name="____MMM49" localSheetId="21">#REF!</definedName>
    <definedName name="____MMM49" localSheetId="1">#REF!</definedName>
    <definedName name="____MMM49" localSheetId="0">#REF!</definedName>
    <definedName name="____MMM49" localSheetId="5">#REF!</definedName>
    <definedName name="____MMM49" localSheetId="6">#REF!</definedName>
    <definedName name="____MMM49" localSheetId="16">#REF!</definedName>
    <definedName name="____MMM49" localSheetId="7">#REF!</definedName>
    <definedName name="____MMM49">#REF!</definedName>
    <definedName name="____MMM50" localSheetId="21">#REF!</definedName>
    <definedName name="____MMM50" localSheetId="1">#REF!</definedName>
    <definedName name="____MMM50" localSheetId="0">#REF!</definedName>
    <definedName name="____MMM50" localSheetId="5">#REF!</definedName>
    <definedName name="____MMM50" localSheetId="6">#REF!</definedName>
    <definedName name="____MMM50" localSheetId="16">#REF!</definedName>
    <definedName name="____MMM50" localSheetId="7">#REF!</definedName>
    <definedName name="____MMM50">#REF!</definedName>
    <definedName name="____MMM51" localSheetId="21">#REF!</definedName>
    <definedName name="____MMM51" localSheetId="1">#REF!</definedName>
    <definedName name="____MMM51" localSheetId="0">#REF!</definedName>
    <definedName name="____MMM51" localSheetId="5">#REF!</definedName>
    <definedName name="____MMM51" localSheetId="6">#REF!</definedName>
    <definedName name="____MMM51" localSheetId="16">#REF!</definedName>
    <definedName name="____MMM51" localSheetId="7">#REF!</definedName>
    <definedName name="____MMM51">#REF!</definedName>
    <definedName name="____MMM52" localSheetId="21">#REF!</definedName>
    <definedName name="____MMM52" localSheetId="1">#REF!</definedName>
    <definedName name="____MMM52" localSheetId="0">#REF!</definedName>
    <definedName name="____MMM52" localSheetId="5">#REF!</definedName>
    <definedName name="____MMM52" localSheetId="6">#REF!</definedName>
    <definedName name="____MMM52" localSheetId="16">#REF!</definedName>
    <definedName name="____MMM52" localSheetId="7">#REF!</definedName>
    <definedName name="____MMM52">#REF!</definedName>
    <definedName name="____MMM53" localSheetId="21">#REF!</definedName>
    <definedName name="____MMM53" localSheetId="1">#REF!</definedName>
    <definedName name="____MMM53" localSheetId="0">#REF!</definedName>
    <definedName name="____MMM53" localSheetId="5">#REF!</definedName>
    <definedName name="____MMM53" localSheetId="6">#REF!</definedName>
    <definedName name="____MMM53" localSheetId="16">#REF!</definedName>
    <definedName name="____MMM53" localSheetId="7">#REF!</definedName>
    <definedName name="____MMM53">#REF!</definedName>
    <definedName name="____MMM54" localSheetId="21">#REF!</definedName>
    <definedName name="____MMM54" localSheetId="1">#REF!</definedName>
    <definedName name="____MMM54" localSheetId="0">#REF!</definedName>
    <definedName name="____MMM54" localSheetId="5">#REF!</definedName>
    <definedName name="____MMM54" localSheetId="6">#REF!</definedName>
    <definedName name="____MMM54" localSheetId="16">#REF!</definedName>
    <definedName name="____MMM54" localSheetId="7">#REF!</definedName>
    <definedName name="____MMM54">#REF!</definedName>
    <definedName name="___DIV1">'[1]Kuantitas &amp; Harga'!$G$26</definedName>
    <definedName name="___DIV10">'[1]Kuantitas &amp; Harga'!$G$418</definedName>
    <definedName name="___DIV11" localSheetId="21">[4]RAB!#REF!</definedName>
    <definedName name="___DIV11" localSheetId="1">[4]RAB!#REF!</definedName>
    <definedName name="___DIV11" localSheetId="0">[4]RAB!#REF!</definedName>
    <definedName name="___DIV11" localSheetId="5">[4]RAB!#REF!</definedName>
    <definedName name="___DIV11" localSheetId="6">[4]RAB!#REF!</definedName>
    <definedName name="___DIV11" localSheetId="16">[4]RAB!#REF!</definedName>
    <definedName name="___DIV11" localSheetId="7">[4]RAB!#REF!</definedName>
    <definedName name="___DIV11">[4]RAB!#REF!</definedName>
    <definedName name="___DIV2">'[1]Kuantitas &amp; Harga'!$G$50</definedName>
    <definedName name="___DIV3">'[1]Kuantitas &amp; Harga'!$G$84</definedName>
    <definedName name="___DIV4">'[1]Kuantitas &amp; Harga'!$G$99</definedName>
    <definedName name="___DIV5">'[1]Kuantitas &amp; Harga'!$G$119</definedName>
    <definedName name="___DIV6">'[1]Kuantitas &amp; Harga'!$G$155</definedName>
    <definedName name="___DIV7">'[1]Kuantitas &amp; Harga'!$G$319</definedName>
    <definedName name="___DIV8">'[1]Kuantitas &amp; Harga'!$G$377</definedName>
    <definedName name="___DIV9">'[1]Kuantitas &amp; Harga'!$G$405</definedName>
    <definedName name="___HAL1" localSheetId="21">#REF!</definedName>
    <definedName name="___HAL1" localSheetId="1">#REF!</definedName>
    <definedName name="___HAL1" localSheetId="0">#REF!</definedName>
    <definedName name="___HAL1" localSheetId="5">#REF!</definedName>
    <definedName name="___HAL1" localSheetId="6">#REF!</definedName>
    <definedName name="___HAL1" localSheetId="16">#REF!</definedName>
    <definedName name="___HAL1" localSheetId="7">#REF!</definedName>
    <definedName name="___HAL1">#REF!</definedName>
    <definedName name="___HAL2" localSheetId="21">#REF!</definedName>
    <definedName name="___HAL2" localSheetId="1">#REF!</definedName>
    <definedName name="___HAL2" localSheetId="0">#REF!</definedName>
    <definedName name="___HAL2" localSheetId="5">#REF!</definedName>
    <definedName name="___HAL2" localSheetId="6">#REF!</definedName>
    <definedName name="___HAL2" localSheetId="16">#REF!</definedName>
    <definedName name="___HAL2" localSheetId="7">#REF!</definedName>
    <definedName name="___HAL2">#REF!</definedName>
    <definedName name="___KL12">[6]alat!$AW$18</definedName>
    <definedName name="___LLL01" localSheetId="21">#REF!</definedName>
    <definedName name="___LLL01" localSheetId="1">#REF!</definedName>
    <definedName name="___LLL01" localSheetId="0">#REF!</definedName>
    <definedName name="___LLL01" localSheetId="5">#REF!</definedName>
    <definedName name="___LLL01" localSheetId="6">#REF!</definedName>
    <definedName name="___LLL01" localSheetId="16">#REF!</definedName>
    <definedName name="___LLL01" localSheetId="7">#REF!</definedName>
    <definedName name="___LLL01">#REF!</definedName>
    <definedName name="___LLL02" localSheetId="21">#REF!</definedName>
    <definedName name="___LLL02" localSheetId="1">#REF!</definedName>
    <definedName name="___LLL02" localSheetId="0">#REF!</definedName>
    <definedName name="___LLL02" localSheetId="5">#REF!</definedName>
    <definedName name="___LLL02" localSheetId="6">#REF!</definedName>
    <definedName name="___LLL02" localSheetId="16">#REF!</definedName>
    <definedName name="___LLL02" localSheetId="7">#REF!</definedName>
    <definedName name="___LLL02">#REF!</definedName>
    <definedName name="___LLL03" localSheetId="21">#REF!</definedName>
    <definedName name="___LLL03" localSheetId="1">#REF!</definedName>
    <definedName name="___LLL03" localSheetId="0">#REF!</definedName>
    <definedName name="___LLL03" localSheetId="5">#REF!</definedName>
    <definedName name="___LLL03" localSheetId="6">#REF!</definedName>
    <definedName name="___LLL03" localSheetId="16">#REF!</definedName>
    <definedName name="___LLL03" localSheetId="7">#REF!</definedName>
    <definedName name="___LLL03">#REF!</definedName>
    <definedName name="___LLL04" localSheetId="21">#REF!</definedName>
    <definedName name="___LLL04" localSheetId="1">#REF!</definedName>
    <definedName name="___LLL04" localSheetId="0">#REF!</definedName>
    <definedName name="___LLL04" localSheetId="5">#REF!</definedName>
    <definedName name="___LLL04" localSheetId="6">#REF!</definedName>
    <definedName name="___LLL04" localSheetId="16">#REF!</definedName>
    <definedName name="___LLL04" localSheetId="7">#REF!</definedName>
    <definedName name="___LLL04">#REF!</definedName>
    <definedName name="___LLL05" localSheetId="21">#REF!</definedName>
    <definedName name="___LLL05" localSheetId="1">#REF!</definedName>
    <definedName name="___LLL05" localSheetId="0">#REF!</definedName>
    <definedName name="___LLL05" localSheetId="5">#REF!</definedName>
    <definedName name="___LLL05" localSheetId="6">#REF!</definedName>
    <definedName name="___LLL05" localSheetId="16">#REF!</definedName>
    <definedName name="___LLL05" localSheetId="7">#REF!</definedName>
    <definedName name="___LLL05">#REF!</definedName>
    <definedName name="___LLL06" localSheetId="21">#REF!</definedName>
    <definedName name="___LLL06" localSheetId="1">#REF!</definedName>
    <definedName name="___LLL06" localSheetId="0">#REF!</definedName>
    <definedName name="___LLL06" localSheetId="5">#REF!</definedName>
    <definedName name="___LLL06" localSheetId="6">#REF!</definedName>
    <definedName name="___LLL06" localSheetId="16">#REF!</definedName>
    <definedName name="___LLL06" localSheetId="7">#REF!</definedName>
    <definedName name="___LLL06">#REF!</definedName>
    <definedName name="___LLL07" localSheetId="21">#REF!</definedName>
    <definedName name="___LLL07" localSheetId="1">#REF!</definedName>
    <definedName name="___LLL07" localSheetId="0">#REF!</definedName>
    <definedName name="___LLL07" localSheetId="5">#REF!</definedName>
    <definedName name="___LLL07" localSheetId="6">#REF!</definedName>
    <definedName name="___LLL07" localSheetId="16">#REF!</definedName>
    <definedName name="___LLL07" localSheetId="7">#REF!</definedName>
    <definedName name="___LLL07">#REF!</definedName>
    <definedName name="___LLL08" localSheetId="21">#REF!</definedName>
    <definedName name="___LLL08" localSheetId="1">#REF!</definedName>
    <definedName name="___LLL08" localSheetId="0">#REF!</definedName>
    <definedName name="___LLL08" localSheetId="5">#REF!</definedName>
    <definedName name="___LLL08" localSheetId="6">#REF!</definedName>
    <definedName name="___LLL08" localSheetId="16">#REF!</definedName>
    <definedName name="___LLL08" localSheetId="7">#REF!</definedName>
    <definedName name="___LLL08">#REF!</definedName>
    <definedName name="___LLL09" localSheetId="21">#REF!</definedName>
    <definedName name="___LLL09" localSheetId="1">#REF!</definedName>
    <definedName name="___LLL09" localSheetId="0">#REF!</definedName>
    <definedName name="___LLL09" localSheetId="5">#REF!</definedName>
    <definedName name="___LLL09" localSheetId="6">#REF!</definedName>
    <definedName name="___LLL09" localSheetId="16">#REF!</definedName>
    <definedName name="___LLL09" localSheetId="7">#REF!</definedName>
    <definedName name="___LLL09">#REF!</definedName>
    <definedName name="___LLL10" localSheetId="21">#REF!</definedName>
    <definedName name="___LLL10" localSheetId="1">#REF!</definedName>
    <definedName name="___LLL10" localSheetId="0">#REF!</definedName>
    <definedName name="___LLL10" localSheetId="5">#REF!</definedName>
    <definedName name="___LLL10" localSheetId="6">#REF!</definedName>
    <definedName name="___LLL10" localSheetId="16">#REF!</definedName>
    <definedName name="___LLL10" localSheetId="7">#REF!</definedName>
    <definedName name="___LLL10">#REF!</definedName>
    <definedName name="___LLL11" localSheetId="21">#REF!</definedName>
    <definedName name="___LLL11" localSheetId="1">#REF!</definedName>
    <definedName name="___LLL11" localSheetId="0">#REF!</definedName>
    <definedName name="___LLL11" localSheetId="5">#REF!</definedName>
    <definedName name="___LLL11" localSheetId="6">#REF!</definedName>
    <definedName name="___LLL11" localSheetId="16">#REF!</definedName>
    <definedName name="___LLL11" localSheetId="7">#REF!</definedName>
    <definedName name="___LLL11">#REF!</definedName>
    <definedName name="___MMM01" localSheetId="21">#REF!</definedName>
    <definedName name="___MMM01" localSheetId="1">#REF!</definedName>
    <definedName name="___MMM01" localSheetId="0">#REF!</definedName>
    <definedName name="___MMM01" localSheetId="5">#REF!</definedName>
    <definedName name="___MMM01" localSheetId="6">#REF!</definedName>
    <definedName name="___MMM01" localSheetId="16">#REF!</definedName>
    <definedName name="___MMM01" localSheetId="7">#REF!</definedName>
    <definedName name="___MMM01">#REF!</definedName>
    <definedName name="___MMM02" localSheetId="21">#REF!</definedName>
    <definedName name="___MMM02" localSheetId="1">#REF!</definedName>
    <definedName name="___MMM02" localSheetId="0">#REF!</definedName>
    <definedName name="___MMM02" localSheetId="5">#REF!</definedName>
    <definedName name="___MMM02" localSheetId="6">#REF!</definedName>
    <definedName name="___MMM02" localSheetId="16">#REF!</definedName>
    <definedName name="___MMM02" localSheetId="7">#REF!</definedName>
    <definedName name="___MMM02">#REF!</definedName>
    <definedName name="___MMM03" localSheetId="21">#REF!</definedName>
    <definedName name="___MMM03" localSheetId="1">#REF!</definedName>
    <definedName name="___MMM03" localSheetId="0">#REF!</definedName>
    <definedName name="___MMM03" localSheetId="5">#REF!</definedName>
    <definedName name="___MMM03" localSheetId="6">#REF!</definedName>
    <definedName name="___MMM03" localSheetId="16">#REF!</definedName>
    <definedName name="___MMM03" localSheetId="7">#REF!</definedName>
    <definedName name="___MMM03">#REF!</definedName>
    <definedName name="___MMM04" localSheetId="21">#REF!</definedName>
    <definedName name="___MMM04" localSheetId="1">#REF!</definedName>
    <definedName name="___MMM04" localSheetId="0">#REF!</definedName>
    <definedName name="___MMM04" localSheetId="5">#REF!</definedName>
    <definedName name="___MMM04" localSheetId="6">#REF!</definedName>
    <definedName name="___MMM04" localSheetId="16">#REF!</definedName>
    <definedName name="___MMM04" localSheetId="7">#REF!</definedName>
    <definedName name="___MMM04">#REF!</definedName>
    <definedName name="___MMM05" localSheetId="21">#REF!</definedName>
    <definedName name="___MMM05" localSheetId="1">#REF!</definedName>
    <definedName name="___MMM05" localSheetId="0">#REF!</definedName>
    <definedName name="___MMM05" localSheetId="5">#REF!</definedName>
    <definedName name="___MMM05" localSheetId="6">#REF!</definedName>
    <definedName name="___MMM05" localSheetId="16">#REF!</definedName>
    <definedName name="___MMM05" localSheetId="7">#REF!</definedName>
    <definedName name="___MMM05">#REF!</definedName>
    <definedName name="___MMM06" localSheetId="21">#REF!</definedName>
    <definedName name="___MMM06" localSheetId="1">#REF!</definedName>
    <definedName name="___MMM06" localSheetId="0">#REF!</definedName>
    <definedName name="___MMM06" localSheetId="5">#REF!</definedName>
    <definedName name="___MMM06" localSheetId="6">#REF!</definedName>
    <definedName name="___MMM06" localSheetId="16">#REF!</definedName>
    <definedName name="___MMM06" localSheetId="7">#REF!</definedName>
    <definedName name="___MMM06">#REF!</definedName>
    <definedName name="___MMM07" localSheetId="21">#REF!</definedName>
    <definedName name="___MMM07" localSheetId="1">#REF!</definedName>
    <definedName name="___MMM07" localSheetId="0">#REF!</definedName>
    <definedName name="___MMM07" localSheetId="5">#REF!</definedName>
    <definedName name="___MMM07" localSheetId="6">#REF!</definedName>
    <definedName name="___MMM07" localSheetId="16">#REF!</definedName>
    <definedName name="___MMM07" localSheetId="7">#REF!</definedName>
    <definedName name="___MMM07">#REF!</definedName>
    <definedName name="___MMM08" localSheetId="21">#REF!</definedName>
    <definedName name="___MMM08" localSheetId="1">#REF!</definedName>
    <definedName name="___MMM08" localSheetId="0">#REF!</definedName>
    <definedName name="___MMM08" localSheetId="5">#REF!</definedName>
    <definedName name="___MMM08" localSheetId="6">#REF!</definedName>
    <definedName name="___MMM08" localSheetId="16">#REF!</definedName>
    <definedName name="___MMM08" localSheetId="7">#REF!</definedName>
    <definedName name="___MMM08">#REF!</definedName>
    <definedName name="___MMM09" localSheetId="21">#REF!</definedName>
    <definedName name="___MMM09" localSheetId="1">#REF!</definedName>
    <definedName name="___MMM09" localSheetId="0">#REF!</definedName>
    <definedName name="___MMM09" localSheetId="5">#REF!</definedName>
    <definedName name="___MMM09" localSheetId="6">#REF!</definedName>
    <definedName name="___MMM09" localSheetId="16">#REF!</definedName>
    <definedName name="___MMM09" localSheetId="7">#REF!</definedName>
    <definedName name="___MMM09">#REF!</definedName>
    <definedName name="___MMM10" localSheetId="21">#REF!</definedName>
    <definedName name="___MMM10" localSheetId="1">#REF!</definedName>
    <definedName name="___MMM10" localSheetId="0">#REF!</definedName>
    <definedName name="___MMM10" localSheetId="5">#REF!</definedName>
    <definedName name="___MMM10" localSheetId="6">#REF!</definedName>
    <definedName name="___MMM10" localSheetId="16">#REF!</definedName>
    <definedName name="___MMM10" localSheetId="7">#REF!</definedName>
    <definedName name="___MMM10">#REF!</definedName>
    <definedName name="___MMM11" localSheetId="21">#REF!</definedName>
    <definedName name="___MMM11" localSheetId="1">#REF!</definedName>
    <definedName name="___MMM11" localSheetId="0">#REF!</definedName>
    <definedName name="___MMM11" localSheetId="5">#REF!</definedName>
    <definedName name="___MMM11" localSheetId="6">#REF!</definedName>
    <definedName name="___MMM11" localSheetId="16">#REF!</definedName>
    <definedName name="___MMM11" localSheetId="7">#REF!</definedName>
    <definedName name="___MMM11">#REF!</definedName>
    <definedName name="___MMM12" localSheetId="21">#REF!</definedName>
    <definedName name="___MMM12" localSheetId="1">#REF!</definedName>
    <definedName name="___MMM12" localSheetId="0">#REF!</definedName>
    <definedName name="___MMM12" localSheetId="5">#REF!</definedName>
    <definedName name="___MMM12" localSheetId="6">#REF!</definedName>
    <definedName name="___MMM12" localSheetId="16">#REF!</definedName>
    <definedName name="___MMM12" localSheetId="7">#REF!</definedName>
    <definedName name="___MMM12">#REF!</definedName>
    <definedName name="___MMM13" localSheetId="21">#REF!</definedName>
    <definedName name="___MMM13" localSheetId="1">#REF!</definedName>
    <definedName name="___MMM13" localSheetId="0">#REF!</definedName>
    <definedName name="___MMM13" localSheetId="5">#REF!</definedName>
    <definedName name="___MMM13" localSheetId="6">#REF!</definedName>
    <definedName name="___MMM13" localSheetId="16">#REF!</definedName>
    <definedName name="___MMM13" localSheetId="7">#REF!</definedName>
    <definedName name="___MMM13">#REF!</definedName>
    <definedName name="___MMM14" localSheetId="21">#REF!</definedName>
    <definedName name="___MMM14" localSheetId="1">#REF!</definedName>
    <definedName name="___MMM14" localSheetId="0">#REF!</definedName>
    <definedName name="___MMM14" localSheetId="5">#REF!</definedName>
    <definedName name="___MMM14" localSheetId="6">#REF!</definedName>
    <definedName name="___MMM14" localSheetId="16">#REF!</definedName>
    <definedName name="___MMM14" localSheetId="7">#REF!</definedName>
    <definedName name="___MMM14">#REF!</definedName>
    <definedName name="___MMM15" localSheetId="21">#REF!</definedName>
    <definedName name="___MMM15" localSheetId="1">#REF!</definedName>
    <definedName name="___MMM15" localSheetId="0">#REF!</definedName>
    <definedName name="___MMM15" localSheetId="5">#REF!</definedName>
    <definedName name="___MMM15" localSheetId="6">#REF!</definedName>
    <definedName name="___MMM15" localSheetId="16">#REF!</definedName>
    <definedName name="___MMM15" localSheetId="7">#REF!</definedName>
    <definedName name="___MMM15">#REF!</definedName>
    <definedName name="___MMM16" localSheetId="21">#REF!</definedName>
    <definedName name="___MMM16" localSheetId="1">#REF!</definedName>
    <definedName name="___MMM16" localSheetId="0">#REF!</definedName>
    <definedName name="___MMM16" localSheetId="5">#REF!</definedName>
    <definedName name="___MMM16" localSheetId="6">#REF!</definedName>
    <definedName name="___MMM16" localSheetId="16">#REF!</definedName>
    <definedName name="___MMM16" localSheetId="7">#REF!</definedName>
    <definedName name="___MMM16">#REF!</definedName>
    <definedName name="___MMM17" localSheetId="21">#REF!</definedName>
    <definedName name="___MMM17" localSheetId="1">#REF!</definedName>
    <definedName name="___MMM17" localSheetId="0">#REF!</definedName>
    <definedName name="___MMM17" localSheetId="5">#REF!</definedName>
    <definedName name="___MMM17" localSheetId="6">#REF!</definedName>
    <definedName name="___MMM17" localSheetId="16">#REF!</definedName>
    <definedName name="___MMM17" localSheetId="7">#REF!</definedName>
    <definedName name="___MMM17">#REF!</definedName>
    <definedName name="___MMM18" localSheetId="21">#REF!</definedName>
    <definedName name="___MMM18" localSheetId="1">#REF!</definedName>
    <definedName name="___MMM18" localSheetId="0">#REF!</definedName>
    <definedName name="___MMM18" localSheetId="5">#REF!</definedName>
    <definedName name="___MMM18" localSheetId="6">#REF!</definedName>
    <definedName name="___MMM18" localSheetId="16">#REF!</definedName>
    <definedName name="___MMM18" localSheetId="7">#REF!</definedName>
    <definedName name="___MMM18">#REF!</definedName>
    <definedName name="___MMM19" localSheetId="21">#REF!</definedName>
    <definedName name="___MMM19" localSheetId="1">#REF!</definedName>
    <definedName name="___MMM19" localSheetId="0">#REF!</definedName>
    <definedName name="___MMM19" localSheetId="5">#REF!</definedName>
    <definedName name="___MMM19" localSheetId="6">#REF!</definedName>
    <definedName name="___MMM19" localSheetId="16">#REF!</definedName>
    <definedName name="___MMM19" localSheetId="7">#REF!</definedName>
    <definedName name="___MMM19">#REF!</definedName>
    <definedName name="___MMM20" localSheetId="21">#REF!</definedName>
    <definedName name="___MMM20" localSheetId="1">#REF!</definedName>
    <definedName name="___MMM20" localSheetId="0">#REF!</definedName>
    <definedName name="___MMM20" localSheetId="5">#REF!</definedName>
    <definedName name="___MMM20" localSheetId="6">#REF!</definedName>
    <definedName name="___MMM20" localSheetId="16">#REF!</definedName>
    <definedName name="___MMM20" localSheetId="7">#REF!</definedName>
    <definedName name="___MMM20">#REF!</definedName>
    <definedName name="___MMM21" localSheetId="21">#REF!</definedName>
    <definedName name="___MMM21" localSheetId="1">#REF!</definedName>
    <definedName name="___MMM21" localSheetId="0">#REF!</definedName>
    <definedName name="___MMM21" localSheetId="5">#REF!</definedName>
    <definedName name="___MMM21" localSheetId="6">#REF!</definedName>
    <definedName name="___MMM21" localSheetId="16">#REF!</definedName>
    <definedName name="___MMM21" localSheetId="7">#REF!</definedName>
    <definedName name="___MMM21">#REF!</definedName>
    <definedName name="___MMM22" localSheetId="21">#REF!</definedName>
    <definedName name="___MMM22" localSheetId="1">#REF!</definedName>
    <definedName name="___MMM22" localSheetId="0">#REF!</definedName>
    <definedName name="___MMM22" localSheetId="5">#REF!</definedName>
    <definedName name="___MMM22" localSheetId="6">#REF!</definedName>
    <definedName name="___MMM22" localSheetId="16">#REF!</definedName>
    <definedName name="___MMM22" localSheetId="7">#REF!</definedName>
    <definedName name="___MMM22">#REF!</definedName>
    <definedName name="___MMM23" localSheetId="21">#REF!</definedName>
    <definedName name="___MMM23" localSheetId="1">#REF!</definedName>
    <definedName name="___MMM23" localSheetId="0">#REF!</definedName>
    <definedName name="___MMM23" localSheetId="5">#REF!</definedName>
    <definedName name="___MMM23" localSheetId="6">#REF!</definedName>
    <definedName name="___MMM23" localSheetId="16">#REF!</definedName>
    <definedName name="___MMM23" localSheetId="7">#REF!</definedName>
    <definedName name="___MMM23">#REF!</definedName>
    <definedName name="___MMM24" localSheetId="21">#REF!</definedName>
    <definedName name="___MMM24" localSheetId="1">#REF!</definedName>
    <definedName name="___MMM24" localSheetId="0">#REF!</definedName>
    <definedName name="___MMM24" localSheetId="5">#REF!</definedName>
    <definedName name="___MMM24" localSheetId="6">#REF!</definedName>
    <definedName name="___MMM24" localSheetId="16">#REF!</definedName>
    <definedName name="___MMM24" localSheetId="7">#REF!</definedName>
    <definedName name="___MMM24">#REF!</definedName>
    <definedName name="___MMM25" localSheetId="21">#REF!</definedName>
    <definedName name="___MMM25" localSheetId="1">#REF!</definedName>
    <definedName name="___MMM25" localSheetId="0">#REF!</definedName>
    <definedName name="___MMM25" localSheetId="5">#REF!</definedName>
    <definedName name="___MMM25" localSheetId="6">#REF!</definedName>
    <definedName name="___MMM25" localSheetId="16">#REF!</definedName>
    <definedName name="___MMM25" localSheetId="7">#REF!</definedName>
    <definedName name="___MMM25">#REF!</definedName>
    <definedName name="___MMM26" localSheetId="21">#REF!</definedName>
    <definedName name="___MMM26" localSheetId="1">#REF!</definedName>
    <definedName name="___MMM26" localSheetId="0">#REF!</definedName>
    <definedName name="___MMM26" localSheetId="5">#REF!</definedName>
    <definedName name="___MMM26" localSheetId="6">#REF!</definedName>
    <definedName name="___MMM26" localSheetId="16">#REF!</definedName>
    <definedName name="___MMM26" localSheetId="7">#REF!</definedName>
    <definedName name="___MMM26">#REF!</definedName>
    <definedName name="___MMM27" localSheetId="21">#REF!</definedName>
    <definedName name="___MMM27" localSheetId="1">#REF!</definedName>
    <definedName name="___MMM27" localSheetId="0">#REF!</definedName>
    <definedName name="___MMM27" localSheetId="5">#REF!</definedName>
    <definedName name="___MMM27" localSheetId="6">#REF!</definedName>
    <definedName name="___MMM27" localSheetId="16">#REF!</definedName>
    <definedName name="___MMM27" localSheetId="7">#REF!</definedName>
    <definedName name="___MMM27">#REF!</definedName>
    <definedName name="___MMM28" localSheetId="21">#REF!</definedName>
    <definedName name="___MMM28" localSheetId="1">#REF!</definedName>
    <definedName name="___MMM28" localSheetId="0">#REF!</definedName>
    <definedName name="___MMM28" localSheetId="5">#REF!</definedName>
    <definedName name="___MMM28" localSheetId="6">#REF!</definedName>
    <definedName name="___MMM28" localSheetId="16">#REF!</definedName>
    <definedName name="___MMM28" localSheetId="7">#REF!</definedName>
    <definedName name="___MMM28">#REF!</definedName>
    <definedName name="___MMM29" localSheetId="21">#REF!</definedName>
    <definedName name="___MMM29" localSheetId="1">#REF!</definedName>
    <definedName name="___MMM29" localSheetId="0">#REF!</definedName>
    <definedName name="___MMM29" localSheetId="5">#REF!</definedName>
    <definedName name="___MMM29" localSheetId="6">#REF!</definedName>
    <definedName name="___MMM29" localSheetId="16">#REF!</definedName>
    <definedName name="___MMM29" localSheetId="7">#REF!</definedName>
    <definedName name="___MMM29">#REF!</definedName>
    <definedName name="___MMM30" localSheetId="21">#REF!</definedName>
    <definedName name="___MMM30" localSheetId="1">#REF!</definedName>
    <definedName name="___MMM30" localSheetId="0">#REF!</definedName>
    <definedName name="___MMM30" localSheetId="5">#REF!</definedName>
    <definedName name="___MMM30" localSheetId="6">#REF!</definedName>
    <definedName name="___MMM30" localSheetId="16">#REF!</definedName>
    <definedName name="___MMM30" localSheetId="7">#REF!</definedName>
    <definedName name="___MMM30">#REF!</definedName>
    <definedName name="___MMM31" localSheetId="21">#REF!</definedName>
    <definedName name="___MMM31" localSheetId="1">#REF!</definedName>
    <definedName name="___MMM31" localSheetId="0">#REF!</definedName>
    <definedName name="___MMM31" localSheetId="5">#REF!</definedName>
    <definedName name="___MMM31" localSheetId="6">#REF!</definedName>
    <definedName name="___MMM31" localSheetId="16">#REF!</definedName>
    <definedName name="___MMM31" localSheetId="7">#REF!</definedName>
    <definedName name="___MMM31">#REF!</definedName>
    <definedName name="___MMM32" localSheetId="21">#REF!</definedName>
    <definedName name="___MMM32" localSheetId="1">#REF!</definedName>
    <definedName name="___MMM32" localSheetId="0">#REF!</definedName>
    <definedName name="___MMM32" localSheetId="5">#REF!</definedName>
    <definedName name="___MMM32" localSheetId="6">#REF!</definedName>
    <definedName name="___MMM32" localSheetId="16">#REF!</definedName>
    <definedName name="___MMM32" localSheetId="7">#REF!</definedName>
    <definedName name="___MMM32">#REF!</definedName>
    <definedName name="___MMM33" localSheetId="21">#REF!</definedName>
    <definedName name="___MMM33" localSheetId="1">#REF!</definedName>
    <definedName name="___MMM33" localSheetId="0">#REF!</definedName>
    <definedName name="___MMM33" localSheetId="5">#REF!</definedName>
    <definedName name="___MMM33" localSheetId="6">#REF!</definedName>
    <definedName name="___MMM33" localSheetId="16">#REF!</definedName>
    <definedName name="___MMM33" localSheetId="7">#REF!</definedName>
    <definedName name="___MMM33">#REF!</definedName>
    <definedName name="___MMM34" localSheetId="21">#REF!</definedName>
    <definedName name="___MMM34" localSheetId="1">#REF!</definedName>
    <definedName name="___MMM34" localSheetId="0">#REF!</definedName>
    <definedName name="___MMM34" localSheetId="5">#REF!</definedName>
    <definedName name="___MMM34" localSheetId="6">#REF!</definedName>
    <definedName name="___MMM34" localSheetId="16">#REF!</definedName>
    <definedName name="___MMM34" localSheetId="7">#REF!</definedName>
    <definedName name="___MMM34">#REF!</definedName>
    <definedName name="___MMM35" localSheetId="21">#REF!</definedName>
    <definedName name="___MMM35" localSheetId="1">#REF!</definedName>
    <definedName name="___MMM35" localSheetId="0">#REF!</definedName>
    <definedName name="___MMM35" localSheetId="5">#REF!</definedName>
    <definedName name="___MMM35" localSheetId="6">#REF!</definedName>
    <definedName name="___MMM35" localSheetId="16">#REF!</definedName>
    <definedName name="___MMM35" localSheetId="7">#REF!</definedName>
    <definedName name="___MMM35">#REF!</definedName>
    <definedName name="___MMM36" localSheetId="21">#REF!</definedName>
    <definedName name="___MMM36" localSheetId="1">#REF!</definedName>
    <definedName name="___MMM36" localSheetId="0">#REF!</definedName>
    <definedName name="___MMM36" localSheetId="5">#REF!</definedName>
    <definedName name="___MMM36" localSheetId="6">#REF!</definedName>
    <definedName name="___MMM36" localSheetId="16">#REF!</definedName>
    <definedName name="___MMM36" localSheetId="7">#REF!</definedName>
    <definedName name="___MMM36">#REF!</definedName>
    <definedName name="___MMM37" localSheetId="21">#REF!</definedName>
    <definedName name="___MMM37" localSheetId="1">#REF!</definedName>
    <definedName name="___MMM37" localSheetId="0">#REF!</definedName>
    <definedName name="___MMM37" localSheetId="5">#REF!</definedName>
    <definedName name="___MMM37" localSheetId="6">#REF!</definedName>
    <definedName name="___MMM37" localSheetId="16">#REF!</definedName>
    <definedName name="___MMM37" localSheetId="7">#REF!</definedName>
    <definedName name="___MMM37">#REF!</definedName>
    <definedName name="___MMM38" localSheetId="21">#REF!</definedName>
    <definedName name="___MMM38" localSheetId="1">#REF!</definedName>
    <definedName name="___MMM38" localSheetId="0">#REF!</definedName>
    <definedName name="___MMM38" localSheetId="5">#REF!</definedName>
    <definedName name="___MMM38" localSheetId="6">#REF!</definedName>
    <definedName name="___MMM38" localSheetId="16">#REF!</definedName>
    <definedName name="___MMM38" localSheetId="7">#REF!</definedName>
    <definedName name="___MMM38">#REF!</definedName>
    <definedName name="___MMM39" localSheetId="21">#REF!</definedName>
    <definedName name="___MMM39" localSheetId="1">#REF!</definedName>
    <definedName name="___MMM39" localSheetId="0">#REF!</definedName>
    <definedName name="___MMM39" localSheetId="5">#REF!</definedName>
    <definedName name="___MMM39" localSheetId="6">#REF!</definedName>
    <definedName name="___MMM39" localSheetId="16">#REF!</definedName>
    <definedName name="___MMM39" localSheetId="7">#REF!</definedName>
    <definedName name="___MMM39">#REF!</definedName>
    <definedName name="___MMM40" localSheetId="21">#REF!</definedName>
    <definedName name="___MMM40" localSheetId="1">#REF!</definedName>
    <definedName name="___MMM40" localSheetId="0">#REF!</definedName>
    <definedName name="___MMM40" localSheetId="5">#REF!</definedName>
    <definedName name="___MMM40" localSheetId="6">#REF!</definedName>
    <definedName name="___MMM40" localSheetId="16">#REF!</definedName>
    <definedName name="___MMM40" localSheetId="7">#REF!</definedName>
    <definedName name="___MMM40">#REF!</definedName>
    <definedName name="___MMM41" localSheetId="21">#REF!</definedName>
    <definedName name="___MMM41" localSheetId="1">#REF!</definedName>
    <definedName name="___MMM41" localSheetId="0">#REF!</definedName>
    <definedName name="___MMM41" localSheetId="5">#REF!</definedName>
    <definedName name="___MMM41" localSheetId="6">#REF!</definedName>
    <definedName name="___MMM41" localSheetId="16">#REF!</definedName>
    <definedName name="___MMM41" localSheetId="7">#REF!</definedName>
    <definedName name="___MMM41">#REF!</definedName>
    <definedName name="___MMM411" localSheetId="21">#REF!</definedName>
    <definedName name="___MMM411" localSheetId="1">#REF!</definedName>
    <definedName name="___MMM411" localSheetId="0">#REF!</definedName>
    <definedName name="___MMM411" localSheetId="5">#REF!</definedName>
    <definedName name="___MMM411" localSheetId="6">#REF!</definedName>
    <definedName name="___MMM411" localSheetId="16">#REF!</definedName>
    <definedName name="___MMM411" localSheetId="7">#REF!</definedName>
    <definedName name="___MMM411">#REF!</definedName>
    <definedName name="___MMM42" localSheetId="21">#REF!</definedName>
    <definedName name="___MMM42" localSheetId="1">#REF!</definedName>
    <definedName name="___MMM42" localSheetId="0">#REF!</definedName>
    <definedName name="___MMM42" localSheetId="5">#REF!</definedName>
    <definedName name="___MMM42" localSheetId="6">#REF!</definedName>
    <definedName name="___MMM42" localSheetId="16">#REF!</definedName>
    <definedName name="___MMM42" localSheetId="7">#REF!</definedName>
    <definedName name="___MMM42">#REF!</definedName>
    <definedName name="___MMM43" localSheetId="21">#REF!</definedName>
    <definedName name="___MMM43" localSheetId="1">#REF!</definedName>
    <definedName name="___MMM43" localSheetId="0">#REF!</definedName>
    <definedName name="___MMM43" localSheetId="5">#REF!</definedName>
    <definedName name="___MMM43" localSheetId="6">#REF!</definedName>
    <definedName name="___MMM43" localSheetId="16">#REF!</definedName>
    <definedName name="___MMM43" localSheetId="7">#REF!</definedName>
    <definedName name="___MMM43">#REF!</definedName>
    <definedName name="___MMM44" localSheetId="21">#REF!</definedName>
    <definedName name="___MMM44" localSheetId="1">#REF!</definedName>
    <definedName name="___MMM44" localSheetId="0">#REF!</definedName>
    <definedName name="___MMM44" localSheetId="5">#REF!</definedName>
    <definedName name="___MMM44" localSheetId="6">#REF!</definedName>
    <definedName name="___MMM44" localSheetId="16">#REF!</definedName>
    <definedName name="___MMM44" localSheetId="7">#REF!</definedName>
    <definedName name="___MMM44">#REF!</definedName>
    <definedName name="___MMM45" localSheetId="21">#REF!</definedName>
    <definedName name="___MMM45" localSheetId="1">#REF!</definedName>
    <definedName name="___MMM45" localSheetId="0">#REF!</definedName>
    <definedName name="___MMM45" localSheetId="5">#REF!</definedName>
    <definedName name="___MMM45" localSheetId="6">#REF!</definedName>
    <definedName name="___MMM45" localSheetId="16">#REF!</definedName>
    <definedName name="___MMM45" localSheetId="7">#REF!</definedName>
    <definedName name="___MMM45">#REF!</definedName>
    <definedName name="___MMM46" localSheetId="21">#REF!</definedName>
    <definedName name="___MMM46" localSheetId="1">#REF!</definedName>
    <definedName name="___MMM46" localSheetId="0">#REF!</definedName>
    <definedName name="___MMM46" localSheetId="5">#REF!</definedName>
    <definedName name="___MMM46" localSheetId="6">#REF!</definedName>
    <definedName name="___MMM46" localSheetId="16">#REF!</definedName>
    <definedName name="___MMM46" localSheetId="7">#REF!</definedName>
    <definedName name="___MMM46">#REF!</definedName>
    <definedName name="___MMM47" localSheetId="21">#REF!</definedName>
    <definedName name="___MMM47" localSheetId="1">#REF!</definedName>
    <definedName name="___MMM47" localSheetId="0">#REF!</definedName>
    <definedName name="___MMM47" localSheetId="5">#REF!</definedName>
    <definedName name="___MMM47" localSheetId="6">#REF!</definedName>
    <definedName name="___MMM47" localSheetId="16">#REF!</definedName>
    <definedName name="___MMM47" localSheetId="7">#REF!</definedName>
    <definedName name="___MMM47">#REF!</definedName>
    <definedName name="___MMM48" localSheetId="21">#REF!</definedName>
    <definedName name="___MMM48" localSheetId="1">#REF!</definedName>
    <definedName name="___MMM48" localSheetId="0">#REF!</definedName>
    <definedName name="___MMM48" localSheetId="5">#REF!</definedName>
    <definedName name="___MMM48" localSheetId="6">#REF!</definedName>
    <definedName name="___MMM48" localSheetId="16">#REF!</definedName>
    <definedName name="___MMM48" localSheetId="7">#REF!</definedName>
    <definedName name="___MMM48">#REF!</definedName>
    <definedName name="___MMM49" localSheetId="21">#REF!</definedName>
    <definedName name="___MMM49" localSheetId="1">#REF!</definedName>
    <definedName name="___MMM49" localSheetId="0">#REF!</definedName>
    <definedName name="___MMM49" localSheetId="5">#REF!</definedName>
    <definedName name="___MMM49" localSheetId="6">#REF!</definedName>
    <definedName name="___MMM49" localSheetId="16">#REF!</definedName>
    <definedName name="___MMM49" localSheetId="7">#REF!</definedName>
    <definedName name="___MMM49">#REF!</definedName>
    <definedName name="___MMM50" localSheetId="21">#REF!</definedName>
    <definedName name="___MMM50" localSheetId="1">#REF!</definedName>
    <definedName name="___MMM50" localSheetId="0">#REF!</definedName>
    <definedName name="___MMM50" localSheetId="5">#REF!</definedName>
    <definedName name="___MMM50" localSheetId="6">#REF!</definedName>
    <definedName name="___MMM50" localSheetId="16">#REF!</definedName>
    <definedName name="___MMM50" localSheetId="7">#REF!</definedName>
    <definedName name="___MMM50">#REF!</definedName>
    <definedName name="___MMM51" localSheetId="21">#REF!</definedName>
    <definedName name="___MMM51" localSheetId="1">#REF!</definedName>
    <definedName name="___MMM51" localSheetId="0">#REF!</definedName>
    <definedName name="___MMM51" localSheetId="5">#REF!</definedName>
    <definedName name="___MMM51" localSheetId="6">#REF!</definedName>
    <definedName name="___MMM51" localSheetId="16">#REF!</definedName>
    <definedName name="___MMM51" localSheetId="7">#REF!</definedName>
    <definedName name="___MMM51">#REF!</definedName>
    <definedName name="___MMM52" localSheetId="21">#REF!</definedName>
    <definedName name="___MMM52" localSheetId="1">#REF!</definedName>
    <definedName name="___MMM52" localSheetId="0">#REF!</definedName>
    <definedName name="___MMM52" localSheetId="5">#REF!</definedName>
    <definedName name="___MMM52" localSheetId="6">#REF!</definedName>
    <definedName name="___MMM52" localSheetId="16">#REF!</definedName>
    <definedName name="___MMM52" localSheetId="7">#REF!</definedName>
    <definedName name="___MMM52">#REF!</definedName>
    <definedName name="___MMM53" localSheetId="21">#REF!</definedName>
    <definedName name="___MMM53" localSheetId="1">#REF!</definedName>
    <definedName name="___MMM53" localSheetId="0">#REF!</definedName>
    <definedName name="___MMM53" localSheetId="5">#REF!</definedName>
    <definedName name="___MMM53" localSheetId="6">#REF!</definedName>
    <definedName name="___MMM53" localSheetId="16">#REF!</definedName>
    <definedName name="___MMM53" localSheetId="7">#REF!</definedName>
    <definedName name="___MMM53">#REF!</definedName>
    <definedName name="___MMM54" localSheetId="21">#REF!</definedName>
    <definedName name="___MMM54" localSheetId="1">#REF!</definedName>
    <definedName name="___MMM54" localSheetId="0">#REF!</definedName>
    <definedName name="___MMM54" localSheetId="5">#REF!</definedName>
    <definedName name="___MMM54" localSheetId="6">#REF!</definedName>
    <definedName name="___MMM54" localSheetId="16">#REF!</definedName>
    <definedName name="___MMM54" localSheetId="7">#REF!</definedName>
    <definedName name="___MMM54">#REF!</definedName>
    <definedName name="__DIV1">'[1]Kuantitas &amp; Harga'!$G$26</definedName>
    <definedName name="__DIV10">'[1]Kuantitas &amp; Harga'!$G$418</definedName>
    <definedName name="__DIV11" localSheetId="10">[3]RAB!#REF!</definedName>
    <definedName name="__DIV11" localSheetId="21">[3]RAB!#REF!</definedName>
    <definedName name="__DIV11" localSheetId="1">[3]RAB!#REF!</definedName>
    <definedName name="__DIV11" localSheetId="0">[3]RAB!#REF!</definedName>
    <definedName name="__DIV11" localSheetId="5">[3]RAB!#REF!</definedName>
    <definedName name="__DIV11" localSheetId="6">[3]RAB!#REF!</definedName>
    <definedName name="__DIV11" localSheetId="16">[3]RAB!#REF!</definedName>
    <definedName name="__DIV11" localSheetId="7">[3]RAB!#REF!</definedName>
    <definedName name="__DIV11">[3]RAB!#REF!</definedName>
    <definedName name="__DIV2">'[1]Kuantitas &amp; Harga'!$G$50</definedName>
    <definedName name="__DIV3">'[1]Kuantitas &amp; Harga'!$G$84</definedName>
    <definedName name="__DIV4">'[1]Kuantitas &amp; Harga'!$G$99</definedName>
    <definedName name="__DIV5">'[1]Kuantitas &amp; Harga'!$G$119</definedName>
    <definedName name="__DIV6">'[1]Kuantitas &amp; Harga'!$G$155</definedName>
    <definedName name="__DIV7">'[1]Kuantitas &amp; Harga'!$G$319</definedName>
    <definedName name="__DIV8">'[1]Kuantitas &amp; Harga'!$G$377</definedName>
    <definedName name="__DIV9">'[1]Kuantitas &amp; Harga'!$G$405</definedName>
    <definedName name="__EEE01">[7]Peralatan!$AW$8</definedName>
    <definedName name="__EEE02">[7]Peralatan!$AW$9</definedName>
    <definedName name="__EEE03">[7]Peralatan!$AW$10</definedName>
    <definedName name="__EEE04">[7]Peralatan!$AW$11</definedName>
    <definedName name="__EEE05">[7]Peralatan!$AW$12</definedName>
    <definedName name="__EEE06">[7]Peralatan!$AW$13</definedName>
    <definedName name="__EEE07">[7]Peralatan!$AW$14</definedName>
    <definedName name="__EEE08">[7]Peralatan!$AW$15</definedName>
    <definedName name="__EEE09">[7]Peralatan!$AW$16</definedName>
    <definedName name="__EEE10">[7]Peralatan!$AW$17</definedName>
    <definedName name="__EEE11">[7]Peralatan!$AW$18</definedName>
    <definedName name="__EEE12">[7]Peralatan!$AW$19</definedName>
    <definedName name="__EEE13">[7]Peralatan!$AW$20</definedName>
    <definedName name="__EEE14">[7]Peralatan!$AW$21</definedName>
    <definedName name="__EEE15">[7]Peralatan!$AW$22</definedName>
    <definedName name="__EEE16">[7]Peralatan!$AW$23</definedName>
    <definedName name="__EEE17">[7]Peralatan!$AW$24</definedName>
    <definedName name="__EEE18">[7]Peralatan!$AW$25</definedName>
    <definedName name="__EEE19">[7]Peralatan!$AW$26</definedName>
    <definedName name="__EEE20">[7]Peralatan!$AW$27</definedName>
    <definedName name="__EEE21">[7]Peralatan!$AW$28</definedName>
    <definedName name="__EEE22">[7]Peralatan!$AW$29</definedName>
    <definedName name="__EEE23">[7]Peralatan!$AW$30</definedName>
    <definedName name="__EEE24">[7]Peralatan!$AW$31</definedName>
    <definedName name="__EEE25">[7]Peralatan!$AW$32</definedName>
    <definedName name="__EEE26">[7]Peralatan!$AW$33</definedName>
    <definedName name="__EEE27">[7]Peralatan!$AW$34</definedName>
    <definedName name="__EEE28">[7]Peralatan!$AW$35</definedName>
    <definedName name="__EEE29">[7]Peralatan!$AW$36</definedName>
    <definedName name="__EEE30">[7]Peralatan!$AW$37</definedName>
    <definedName name="__EEE31">[7]Peralatan!$AW$38</definedName>
    <definedName name="__EEE32">[7]Peralatan!$AW$39</definedName>
    <definedName name="__EEE33">[7]Peralatan!$AW$40</definedName>
    <definedName name="__HAL1" localSheetId="21">#REF!</definedName>
    <definedName name="__HAL1" localSheetId="1">#REF!</definedName>
    <definedName name="__HAL1" localSheetId="0">#REF!</definedName>
    <definedName name="__HAL1" localSheetId="5">#REF!</definedName>
    <definedName name="__HAL1" localSheetId="6">#REF!</definedName>
    <definedName name="__HAL1" localSheetId="16">#REF!</definedName>
    <definedName name="__HAL1" localSheetId="7">#REF!</definedName>
    <definedName name="__HAL1">#REF!</definedName>
    <definedName name="__HAL2" localSheetId="21">#REF!</definedName>
    <definedName name="__HAL2" localSheetId="1">#REF!</definedName>
    <definedName name="__HAL2" localSheetId="0">#REF!</definedName>
    <definedName name="__HAL2" localSheetId="5">#REF!</definedName>
    <definedName name="__HAL2" localSheetId="6">#REF!</definedName>
    <definedName name="__HAL2" localSheetId="16">#REF!</definedName>
    <definedName name="__HAL2" localSheetId="7">#REF!</definedName>
    <definedName name="__HAL2">#REF!</definedName>
    <definedName name="__HAL3" localSheetId="21">#REF!</definedName>
    <definedName name="__HAL3" localSheetId="1">#REF!</definedName>
    <definedName name="__HAL3" localSheetId="0">#REF!</definedName>
    <definedName name="__HAL3" localSheetId="5">#REF!</definedName>
    <definedName name="__HAL3" localSheetId="6">#REF!</definedName>
    <definedName name="__HAL3" localSheetId="16">#REF!</definedName>
    <definedName name="__HAL3" localSheetId="7">#REF!</definedName>
    <definedName name="__HAL3">#REF!</definedName>
    <definedName name="__HAL4" localSheetId="21">#REF!</definedName>
    <definedName name="__HAL4" localSheetId="1">#REF!</definedName>
    <definedName name="__HAL4" localSheetId="0">#REF!</definedName>
    <definedName name="__HAL4" localSheetId="5">#REF!</definedName>
    <definedName name="__HAL4" localSheetId="6">#REF!</definedName>
    <definedName name="__HAL4" localSheetId="16">#REF!</definedName>
    <definedName name="__HAL4" localSheetId="7">#REF!</definedName>
    <definedName name="__HAL4">#REF!</definedName>
    <definedName name="__HAL5" localSheetId="21">#REF!</definedName>
    <definedName name="__HAL5" localSheetId="1">#REF!</definedName>
    <definedName name="__HAL5" localSheetId="0">#REF!</definedName>
    <definedName name="__HAL5" localSheetId="5">#REF!</definedName>
    <definedName name="__HAL5" localSheetId="6">#REF!</definedName>
    <definedName name="__HAL5" localSheetId="16">#REF!</definedName>
    <definedName name="__HAL5" localSheetId="7">#REF!</definedName>
    <definedName name="__HAL5">#REF!</definedName>
    <definedName name="__HAL6" localSheetId="21">#REF!</definedName>
    <definedName name="__HAL6" localSheetId="1">#REF!</definedName>
    <definedName name="__HAL6" localSheetId="0">#REF!</definedName>
    <definedName name="__HAL6" localSheetId="5">#REF!</definedName>
    <definedName name="__HAL6" localSheetId="6">#REF!</definedName>
    <definedName name="__HAL6" localSheetId="16">#REF!</definedName>
    <definedName name="__HAL6" localSheetId="7">#REF!</definedName>
    <definedName name="__HAL6">#REF!</definedName>
    <definedName name="__HAL7" localSheetId="21">#REF!</definedName>
    <definedName name="__HAL7" localSheetId="1">#REF!</definedName>
    <definedName name="__HAL7" localSheetId="0">#REF!</definedName>
    <definedName name="__HAL7" localSheetId="5">#REF!</definedName>
    <definedName name="__HAL7" localSheetId="6">#REF!</definedName>
    <definedName name="__HAL7" localSheetId="16">#REF!</definedName>
    <definedName name="__HAL7" localSheetId="7">#REF!</definedName>
    <definedName name="__HAL7">#REF!</definedName>
    <definedName name="__HAL8" localSheetId="21">#REF!</definedName>
    <definedName name="__HAL8" localSheetId="1">#REF!</definedName>
    <definedName name="__HAL8" localSheetId="0">#REF!</definedName>
    <definedName name="__HAL8" localSheetId="5">#REF!</definedName>
    <definedName name="__HAL8" localSheetId="6">#REF!</definedName>
    <definedName name="__HAL8" localSheetId="16">#REF!</definedName>
    <definedName name="__HAL8" localSheetId="7">#REF!</definedName>
    <definedName name="__HAL8">#REF!</definedName>
    <definedName name="__KL12">[6]alat!$AW$18</definedName>
    <definedName name="__LLL01" localSheetId="18">#REF!</definedName>
    <definedName name="__LLL01" localSheetId="21">#REF!</definedName>
    <definedName name="__LLL01" localSheetId="1">#REF!</definedName>
    <definedName name="__LLL01" localSheetId="0">#REF!</definedName>
    <definedName name="__LLL01" localSheetId="5">#REF!</definedName>
    <definedName name="__LLL01" localSheetId="6">#REF!</definedName>
    <definedName name="__LLL01" localSheetId="16">#REF!</definedName>
    <definedName name="__LLL01" localSheetId="7">#REF!</definedName>
    <definedName name="__LLL01">#REF!</definedName>
    <definedName name="__LLL02" localSheetId="18">#REF!</definedName>
    <definedName name="__LLL02" localSheetId="21">#REF!</definedName>
    <definedName name="__LLL02" localSheetId="1">#REF!</definedName>
    <definedName name="__LLL02" localSheetId="0">#REF!</definedName>
    <definedName name="__LLL02" localSheetId="5">#REF!</definedName>
    <definedName name="__LLL02" localSheetId="6">#REF!</definedName>
    <definedName name="__LLL02" localSheetId="16">#REF!</definedName>
    <definedName name="__LLL02" localSheetId="7">#REF!</definedName>
    <definedName name="__LLL02">#REF!</definedName>
    <definedName name="__LLL03" localSheetId="18">#REF!</definedName>
    <definedName name="__LLL03" localSheetId="21">#REF!</definedName>
    <definedName name="__LLL03" localSheetId="1">#REF!</definedName>
    <definedName name="__LLL03" localSheetId="0">#REF!</definedName>
    <definedName name="__LLL03" localSheetId="5">#REF!</definedName>
    <definedName name="__LLL03" localSheetId="6">#REF!</definedName>
    <definedName name="__LLL03" localSheetId="16">#REF!</definedName>
    <definedName name="__LLL03" localSheetId="7">#REF!</definedName>
    <definedName name="__LLL03">#REF!</definedName>
    <definedName name="__LLL04" localSheetId="18">#REF!</definedName>
    <definedName name="__LLL04" localSheetId="21">#REF!</definedName>
    <definedName name="__LLL04" localSheetId="1">#REF!</definedName>
    <definedName name="__LLL04" localSheetId="0">#REF!</definedName>
    <definedName name="__LLL04" localSheetId="5">#REF!</definedName>
    <definedName name="__LLL04" localSheetId="6">#REF!</definedName>
    <definedName name="__LLL04" localSheetId="16">#REF!</definedName>
    <definedName name="__LLL04" localSheetId="7">#REF!</definedName>
    <definedName name="__LLL04">#REF!</definedName>
    <definedName name="__LLL05" localSheetId="18">#REF!</definedName>
    <definedName name="__LLL05" localSheetId="21">#REF!</definedName>
    <definedName name="__LLL05" localSheetId="1">#REF!</definedName>
    <definedName name="__LLL05" localSheetId="0">#REF!</definedName>
    <definedName name="__LLL05" localSheetId="5">#REF!</definedName>
    <definedName name="__LLL05" localSheetId="6">#REF!</definedName>
    <definedName name="__LLL05" localSheetId="16">#REF!</definedName>
    <definedName name="__LLL05" localSheetId="7">#REF!</definedName>
    <definedName name="__LLL05">#REF!</definedName>
    <definedName name="__LLL06" localSheetId="18">#REF!</definedName>
    <definedName name="__LLL06" localSheetId="21">#REF!</definedName>
    <definedName name="__LLL06" localSheetId="1">#REF!</definedName>
    <definedName name="__LLL06" localSheetId="0">#REF!</definedName>
    <definedName name="__LLL06" localSheetId="5">#REF!</definedName>
    <definedName name="__LLL06" localSheetId="6">#REF!</definedName>
    <definedName name="__LLL06" localSheetId="16">#REF!</definedName>
    <definedName name="__LLL06" localSheetId="7">#REF!</definedName>
    <definedName name="__LLL06">#REF!</definedName>
    <definedName name="__LLL07" localSheetId="18">#REF!</definedName>
    <definedName name="__LLL07" localSheetId="21">#REF!</definedName>
    <definedName name="__LLL07" localSheetId="1">#REF!</definedName>
    <definedName name="__LLL07" localSheetId="0">#REF!</definedName>
    <definedName name="__LLL07" localSheetId="5">#REF!</definedName>
    <definedName name="__LLL07" localSheetId="6">#REF!</definedName>
    <definedName name="__LLL07" localSheetId="16">#REF!</definedName>
    <definedName name="__LLL07" localSheetId="7">#REF!</definedName>
    <definedName name="__LLL07">#REF!</definedName>
    <definedName name="__LLL08" localSheetId="18">#REF!</definedName>
    <definedName name="__LLL08" localSheetId="21">#REF!</definedName>
    <definedName name="__LLL08" localSheetId="1">#REF!</definedName>
    <definedName name="__LLL08" localSheetId="0">#REF!</definedName>
    <definedName name="__LLL08" localSheetId="5">#REF!</definedName>
    <definedName name="__LLL08" localSheetId="6">#REF!</definedName>
    <definedName name="__LLL08" localSheetId="16">#REF!</definedName>
    <definedName name="__LLL08" localSheetId="7">#REF!</definedName>
    <definedName name="__LLL08">#REF!</definedName>
    <definedName name="__LLL09" localSheetId="18">#REF!</definedName>
    <definedName name="__LLL09" localSheetId="21">#REF!</definedName>
    <definedName name="__LLL09" localSheetId="1">#REF!</definedName>
    <definedName name="__LLL09" localSheetId="0">#REF!</definedName>
    <definedName name="__LLL09" localSheetId="5">#REF!</definedName>
    <definedName name="__LLL09" localSheetId="6">#REF!</definedName>
    <definedName name="__LLL09" localSheetId="16">#REF!</definedName>
    <definedName name="__LLL09" localSheetId="7">#REF!</definedName>
    <definedName name="__LLL09">#REF!</definedName>
    <definedName name="__LLL10" localSheetId="18">#REF!</definedName>
    <definedName name="__LLL10" localSheetId="21">#REF!</definedName>
    <definedName name="__LLL10" localSheetId="1">#REF!</definedName>
    <definedName name="__LLL10" localSheetId="0">#REF!</definedName>
    <definedName name="__LLL10" localSheetId="5">#REF!</definedName>
    <definedName name="__LLL10" localSheetId="6">#REF!</definedName>
    <definedName name="__LLL10" localSheetId="16">#REF!</definedName>
    <definedName name="__LLL10" localSheetId="7">#REF!</definedName>
    <definedName name="__LLL10">#REF!</definedName>
    <definedName name="__LLL11" localSheetId="18">#REF!</definedName>
    <definedName name="__LLL11" localSheetId="21">#REF!</definedName>
    <definedName name="__LLL11" localSheetId="1">#REF!</definedName>
    <definedName name="__LLL11" localSheetId="0">#REF!</definedName>
    <definedName name="__LLL11" localSheetId="5">#REF!</definedName>
    <definedName name="__LLL11" localSheetId="6">#REF!</definedName>
    <definedName name="__LLL11" localSheetId="16">#REF!</definedName>
    <definedName name="__LLL11" localSheetId="7">#REF!</definedName>
    <definedName name="__LLL11">#REF!</definedName>
    <definedName name="__MMM01" localSheetId="18">#REF!</definedName>
    <definedName name="__MMM01" localSheetId="21">#REF!</definedName>
    <definedName name="__MMM01" localSheetId="1">#REF!</definedName>
    <definedName name="__MMM01" localSheetId="0">#REF!</definedName>
    <definedName name="__MMM01" localSheetId="5">#REF!</definedName>
    <definedName name="__MMM01" localSheetId="6">#REF!</definedName>
    <definedName name="__MMM01" localSheetId="16">#REF!</definedName>
    <definedName name="__MMM01" localSheetId="7">#REF!</definedName>
    <definedName name="__MMM01">#REF!</definedName>
    <definedName name="__MMM02" localSheetId="18">#REF!</definedName>
    <definedName name="__MMM02" localSheetId="21">#REF!</definedName>
    <definedName name="__MMM02" localSheetId="1">#REF!</definedName>
    <definedName name="__MMM02" localSheetId="0">#REF!</definedName>
    <definedName name="__MMM02" localSheetId="5">#REF!</definedName>
    <definedName name="__MMM02" localSheetId="6">#REF!</definedName>
    <definedName name="__MMM02" localSheetId="16">#REF!</definedName>
    <definedName name="__MMM02" localSheetId="7">#REF!</definedName>
    <definedName name="__MMM02">#REF!</definedName>
    <definedName name="__MMM03" localSheetId="18">#REF!</definedName>
    <definedName name="__MMM03" localSheetId="21">#REF!</definedName>
    <definedName name="__MMM03" localSheetId="1">#REF!</definedName>
    <definedName name="__MMM03" localSheetId="0">#REF!</definedName>
    <definedName name="__MMM03" localSheetId="5">#REF!</definedName>
    <definedName name="__MMM03" localSheetId="6">#REF!</definedName>
    <definedName name="__MMM03" localSheetId="16">#REF!</definedName>
    <definedName name="__MMM03" localSheetId="7">#REF!</definedName>
    <definedName name="__MMM03">#REF!</definedName>
    <definedName name="__MMM04" localSheetId="18">#REF!</definedName>
    <definedName name="__MMM04" localSheetId="21">#REF!</definedName>
    <definedName name="__MMM04" localSheetId="1">#REF!</definedName>
    <definedName name="__MMM04" localSheetId="0">#REF!</definedName>
    <definedName name="__MMM04" localSheetId="5">#REF!</definedName>
    <definedName name="__MMM04" localSheetId="6">#REF!</definedName>
    <definedName name="__MMM04" localSheetId="16">#REF!</definedName>
    <definedName name="__MMM04" localSheetId="7">#REF!</definedName>
    <definedName name="__MMM04">#REF!</definedName>
    <definedName name="__MMM05" localSheetId="18">#REF!</definedName>
    <definedName name="__MMM05" localSheetId="21">#REF!</definedName>
    <definedName name="__MMM05" localSheetId="1">#REF!</definedName>
    <definedName name="__MMM05" localSheetId="0">#REF!</definedName>
    <definedName name="__MMM05" localSheetId="5">#REF!</definedName>
    <definedName name="__MMM05" localSheetId="6">#REF!</definedName>
    <definedName name="__MMM05" localSheetId="16">#REF!</definedName>
    <definedName name="__MMM05" localSheetId="7">#REF!</definedName>
    <definedName name="__MMM05">#REF!</definedName>
    <definedName name="__MMM06" localSheetId="18">#REF!</definedName>
    <definedName name="__MMM06" localSheetId="21">#REF!</definedName>
    <definedName name="__MMM06" localSheetId="1">#REF!</definedName>
    <definedName name="__MMM06" localSheetId="0">#REF!</definedName>
    <definedName name="__MMM06" localSheetId="5">#REF!</definedName>
    <definedName name="__MMM06" localSheetId="6">#REF!</definedName>
    <definedName name="__MMM06" localSheetId="16">#REF!</definedName>
    <definedName name="__MMM06" localSheetId="7">#REF!</definedName>
    <definedName name="__MMM06">#REF!</definedName>
    <definedName name="__MMM07" localSheetId="18">#REF!</definedName>
    <definedName name="__MMM07" localSheetId="21">#REF!</definedName>
    <definedName name="__MMM07" localSheetId="1">#REF!</definedName>
    <definedName name="__MMM07" localSheetId="0">#REF!</definedName>
    <definedName name="__MMM07" localSheetId="5">#REF!</definedName>
    <definedName name="__MMM07" localSheetId="6">#REF!</definedName>
    <definedName name="__MMM07" localSheetId="16">#REF!</definedName>
    <definedName name="__MMM07" localSheetId="7">#REF!</definedName>
    <definedName name="__MMM07">#REF!</definedName>
    <definedName name="__MMM08" localSheetId="18">#REF!</definedName>
    <definedName name="__MMM08" localSheetId="21">#REF!</definedName>
    <definedName name="__MMM08" localSheetId="1">#REF!</definedName>
    <definedName name="__MMM08" localSheetId="0">#REF!</definedName>
    <definedName name="__MMM08" localSheetId="5">#REF!</definedName>
    <definedName name="__MMM08" localSheetId="6">#REF!</definedName>
    <definedName name="__MMM08" localSheetId="16">#REF!</definedName>
    <definedName name="__MMM08" localSheetId="7">#REF!</definedName>
    <definedName name="__MMM08">#REF!</definedName>
    <definedName name="__MMM09" localSheetId="18">#REF!</definedName>
    <definedName name="__MMM09" localSheetId="21">#REF!</definedName>
    <definedName name="__MMM09" localSheetId="1">#REF!</definedName>
    <definedName name="__MMM09" localSheetId="0">#REF!</definedName>
    <definedName name="__MMM09" localSheetId="5">#REF!</definedName>
    <definedName name="__MMM09" localSheetId="6">#REF!</definedName>
    <definedName name="__MMM09" localSheetId="16">#REF!</definedName>
    <definedName name="__MMM09" localSheetId="7">#REF!</definedName>
    <definedName name="__MMM09">#REF!</definedName>
    <definedName name="__MMM10" localSheetId="18">#REF!</definedName>
    <definedName name="__MMM10" localSheetId="21">#REF!</definedName>
    <definedName name="__MMM10" localSheetId="1">#REF!</definedName>
    <definedName name="__MMM10" localSheetId="0">#REF!</definedName>
    <definedName name="__MMM10" localSheetId="5">#REF!</definedName>
    <definedName name="__MMM10" localSheetId="6">#REF!</definedName>
    <definedName name="__MMM10" localSheetId="16">#REF!</definedName>
    <definedName name="__MMM10" localSheetId="7">#REF!</definedName>
    <definedName name="__MMM10">#REF!</definedName>
    <definedName name="__MMM11" localSheetId="18">#REF!</definedName>
    <definedName name="__MMM11" localSheetId="21">#REF!</definedName>
    <definedName name="__MMM11" localSheetId="1">#REF!</definedName>
    <definedName name="__MMM11" localSheetId="0">#REF!</definedName>
    <definedName name="__MMM11" localSheetId="5">#REF!</definedName>
    <definedName name="__MMM11" localSheetId="6">#REF!</definedName>
    <definedName name="__MMM11" localSheetId="16">#REF!</definedName>
    <definedName name="__MMM11" localSheetId="7">#REF!</definedName>
    <definedName name="__MMM11">#REF!</definedName>
    <definedName name="__MMM12" localSheetId="18">#REF!</definedName>
    <definedName name="__MMM12" localSheetId="21">#REF!</definedName>
    <definedName name="__MMM12" localSheetId="1">#REF!</definedName>
    <definedName name="__MMM12" localSheetId="0">#REF!</definedName>
    <definedName name="__MMM12" localSheetId="5">#REF!</definedName>
    <definedName name="__MMM12" localSheetId="6">#REF!</definedName>
    <definedName name="__MMM12" localSheetId="16">#REF!</definedName>
    <definedName name="__MMM12" localSheetId="7">#REF!</definedName>
    <definedName name="__MMM12">#REF!</definedName>
    <definedName name="__MMM13" localSheetId="18">#REF!</definedName>
    <definedName name="__MMM13" localSheetId="21">#REF!</definedName>
    <definedName name="__MMM13" localSheetId="1">#REF!</definedName>
    <definedName name="__MMM13" localSheetId="0">#REF!</definedName>
    <definedName name="__MMM13" localSheetId="5">#REF!</definedName>
    <definedName name="__MMM13" localSheetId="6">#REF!</definedName>
    <definedName name="__MMM13" localSheetId="16">#REF!</definedName>
    <definedName name="__MMM13" localSheetId="7">#REF!</definedName>
    <definedName name="__MMM13">#REF!</definedName>
    <definedName name="__MMM14" localSheetId="18">#REF!</definedName>
    <definedName name="__MMM14" localSheetId="21">#REF!</definedName>
    <definedName name="__MMM14" localSheetId="1">#REF!</definedName>
    <definedName name="__MMM14" localSheetId="0">#REF!</definedName>
    <definedName name="__MMM14" localSheetId="5">#REF!</definedName>
    <definedName name="__MMM14" localSheetId="6">#REF!</definedName>
    <definedName name="__MMM14" localSheetId="16">#REF!</definedName>
    <definedName name="__MMM14" localSheetId="7">#REF!</definedName>
    <definedName name="__MMM14">#REF!</definedName>
    <definedName name="__MMM15" localSheetId="18">#REF!</definedName>
    <definedName name="__MMM15" localSheetId="21">#REF!</definedName>
    <definedName name="__MMM15" localSheetId="1">#REF!</definedName>
    <definedName name="__MMM15" localSheetId="0">#REF!</definedName>
    <definedName name="__MMM15" localSheetId="5">#REF!</definedName>
    <definedName name="__MMM15" localSheetId="6">#REF!</definedName>
    <definedName name="__MMM15" localSheetId="16">#REF!</definedName>
    <definedName name="__MMM15" localSheetId="7">#REF!</definedName>
    <definedName name="__MMM15">#REF!</definedName>
    <definedName name="__MMM16" localSheetId="18">#REF!</definedName>
    <definedName name="__MMM16" localSheetId="21">#REF!</definedName>
    <definedName name="__MMM16" localSheetId="1">#REF!</definedName>
    <definedName name="__MMM16" localSheetId="0">#REF!</definedName>
    <definedName name="__MMM16" localSheetId="5">#REF!</definedName>
    <definedName name="__MMM16" localSheetId="6">#REF!</definedName>
    <definedName name="__MMM16" localSheetId="16">#REF!</definedName>
    <definedName name="__MMM16" localSheetId="7">#REF!</definedName>
    <definedName name="__MMM16">#REF!</definedName>
    <definedName name="__MMM17" localSheetId="18">#REF!</definedName>
    <definedName name="__MMM17" localSheetId="21">#REF!</definedName>
    <definedName name="__MMM17" localSheetId="1">#REF!</definedName>
    <definedName name="__MMM17" localSheetId="0">#REF!</definedName>
    <definedName name="__MMM17" localSheetId="5">#REF!</definedName>
    <definedName name="__MMM17" localSheetId="6">#REF!</definedName>
    <definedName name="__MMM17" localSheetId="16">#REF!</definedName>
    <definedName name="__MMM17" localSheetId="7">#REF!</definedName>
    <definedName name="__MMM17">#REF!</definedName>
    <definedName name="__MMM18" localSheetId="18">#REF!</definedName>
    <definedName name="__MMM18" localSheetId="21">#REF!</definedName>
    <definedName name="__MMM18" localSheetId="1">#REF!</definedName>
    <definedName name="__MMM18" localSheetId="0">#REF!</definedName>
    <definedName name="__MMM18" localSheetId="5">#REF!</definedName>
    <definedName name="__MMM18" localSheetId="6">#REF!</definedName>
    <definedName name="__MMM18" localSheetId="16">#REF!</definedName>
    <definedName name="__MMM18" localSheetId="7">#REF!</definedName>
    <definedName name="__MMM18">#REF!</definedName>
    <definedName name="__MMM19" localSheetId="18">#REF!</definedName>
    <definedName name="__MMM19" localSheetId="21">#REF!</definedName>
    <definedName name="__MMM19" localSheetId="1">#REF!</definedName>
    <definedName name="__MMM19" localSheetId="0">#REF!</definedName>
    <definedName name="__MMM19" localSheetId="5">#REF!</definedName>
    <definedName name="__MMM19" localSheetId="6">#REF!</definedName>
    <definedName name="__MMM19" localSheetId="16">#REF!</definedName>
    <definedName name="__MMM19" localSheetId="7">#REF!</definedName>
    <definedName name="__MMM19">#REF!</definedName>
    <definedName name="__MMM20" localSheetId="18">#REF!</definedName>
    <definedName name="__MMM20" localSheetId="21">#REF!</definedName>
    <definedName name="__MMM20" localSheetId="1">#REF!</definedName>
    <definedName name="__MMM20" localSheetId="0">#REF!</definedName>
    <definedName name="__MMM20" localSheetId="5">#REF!</definedName>
    <definedName name="__MMM20" localSheetId="6">#REF!</definedName>
    <definedName name="__MMM20" localSheetId="16">#REF!</definedName>
    <definedName name="__MMM20" localSheetId="7">#REF!</definedName>
    <definedName name="__MMM20">#REF!</definedName>
    <definedName name="__MMM21" localSheetId="18">#REF!</definedName>
    <definedName name="__MMM21" localSheetId="21">#REF!</definedName>
    <definedName name="__MMM21" localSheetId="1">#REF!</definedName>
    <definedName name="__MMM21" localSheetId="0">#REF!</definedName>
    <definedName name="__MMM21" localSheetId="5">#REF!</definedName>
    <definedName name="__MMM21" localSheetId="6">#REF!</definedName>
    <definedName name="__MMM21" localSheetId="16">#REF!</definedName>
    <definedName name="__MMM21" localSheetId="7">#REF!</definedName>
    <definedName name="__MMM21">#REF!</definedName>
    <definedName name="__MMM22" localSheetId="18">#REF!</definedName>
    <definedName name="__MMM22" localSheetId="21">#REF!</definedName>
    <definedName name="__MMM22" localSheetId="1">#REF!</definedName>
    <definedName name="__MMM22" localSheetId="0">#REF!</definedName>
    <definedName name="__MMM22" localSheetId="5">#REF!</definedName>
    <definedName name="__MMM22" localSheetId="6">#REF!</definedName>
    <definedName name="__MMM22" localSheetId="16">#REF!</definedName>
    <definedName name="__MMM22" localSheetId="7">#REF!</definedName>
    <definedName name="__MMM22">#REF!</definedName>
    <definedName name="__MMM23" localSheetId="18">#REF!</definedName>
    <definedName name="__MMM23" localSheetId="21">#REF!</definedName>
    <definedName name="__MMM23" localSheetId="1">#REF!</definedName>
    <definedName name="__MMM23" localSheetId="0">#REF!</definedName>
    <definedName name="__MMM23" localSheetId="5">#REF!</definedName>
    <definedName name="__MMM23" localSheetId="6">#REF!</definedName>
    <definedName name="__MMM23" localSheetId="16">#REF!</definedName>
    <definedName name="__MMM23" localSheetId="7">#REF!</definedName>
    <definedName name="__MMM23">#REF!</definedName>
    <definedName name="__MMM24" localSheetId="18">#REF!</definedName>
    <definedName name="__MMM24" localSheetId="21">#REF!</definedName>
    <definedName name="__MMM24" localSheetId="1">#REF!</definedName>
    <definedName name="__MMM24" localSheetId="0">#REF!</definedName>
    <definedName name="__MMM24" localSheetId="5">#REF!</definedName>
    <definedName name="__MMM24" localSheetId="6">#REF!</definedName>
    <definedName name="__MMM24" localSheetId="16">#REF!</definedName>
    <definedName name="__MMM24" localSheetId="7">#REF!</definedName>
    <definedName name="__MMM24">#REF!</definedName>
    <definedName name="__MMM25" localSheetId="18">#REF!</definedName>
    <definedName name="__MMM25" localSheetId="21">#REF!</definedName>
    <definedName name="__MMM25" localSheetId="1">#REF!</definedName>
    <definedName name="__MMM25" localSheetId="0">#REF!</definedName>
    <definedName name="__MMM25" localSheetId="5">#REF!</definedName>
    <definedName name="__MMM25" localSheetId="6">#REF!</definedName>
    <definedName name="__MMM25" localSheetId="16">#REF!</definedName>
    <definedName name="__MMM25" localSheetId="7">#REF!</definedName>
    <definedName name="__MMM25">#REF!</definedName>
    <definedName name="__MMM26" localSheetId="18">#REF!</definedName>
    <definedName name="__MMM26" localSheetId="21">#REF!</definedName>
    <definedName name="__MMM26" localSheetId="1">#REF!</definedName>
    <definedName name="__MMM26" localSheetId="0">#REF!</definedName>
    <definedName name="__MMM26" localSheetId="5">#REF!</definedName>
    <definedName name="__MMM26" localSheetId="6">#REF!</definedName>
    <definedName name="__MMM26" localSheetId="16">#REF!</definedName>
    <definedName name="__MMM26" localSheetId="7">#REF!</definedName>
    <definedName name="__MMM26">#REF!</definedName>
    <definedName name="__MMM27" localSheetId="18">#REF!</definedName>
    <definedName name="__MMM27" localSheetId="21">#REF!</definedName>
    <definedName name="__MMM27" localSheetId="1">#REF!</definedName>
    <definedName name="__MMM27" localSheetId="0">#REF!</definedName>
    <definedName name="__MMM27" localSheetId="5">#REF!</definedName>
    <definedName name="__MMM27" localSheetId="6">#REF!</definedName>
    <definedName name="__MMM27" localSheetId="16">#REF!</definedName>
    <definedName name="__MMM27" localSheetId="7">#REF!</definedName>
    <definedName name="__MMM27">#REF!</definedName>
    <definedName name="__MMM28" localSheetId="18">#REF!</definedName>
    <definedName name="__MMM28" localSheetId="21">#REF!</definedName>
    <definedName name="__MMM28" localSheetId="1">#REF!</definedName>
    <definedName name="__MMM28" localSheetId="0">#REF!</definedName>
    <definedName name="__MMM28" localSheetId="5">#REF!</definedName>
    <definedName name="__MMM28" localSheetId="6">#REF!</definedName>
    <definedName name="__MMM28" localSheetId="16">#REF!</definedName>
    <definedName name="__MMM28" localSheetId="7">#REF!</definedName>
    <definedName name="__MMM28">#REF!</definedName>
    <definedName name="__MMM29" localSheetId="18">#REF!</definedName>
    <definedName name="__MMM29" localSheetId="21">#REF!</definedName>
    <definedName name="__MMM29" localSheetId="1">#REF!</definedName>
    <definedName name="__MMM29" localSheetId="0">#REF!</definedName>
    <definedName name="__MMM29" localSheetId="5">#REF!</definedName>
    <definedName name="__MMM29" localSheetId="6">#REF!</definedName>
    <definedName name="__MMM29" localSheetId="16">#REF!</definedName>
    <definedName name="__MMM29" localSheetId="7">#REF!</definedName>
    <definedName name="__MMM29">#REF!</definedName>
    <definedName name="__MMM30" localSheetId="18">#REF!</definedName>
    <definedName name="__MMM30" localSheetId="21">#REF!</definedName>
    <definedName name="__MMM30" localSheetId="1">#REF!</definedName>
    <definedName name="__MMM30" localSheetId="0">#REF!</definedName>
    <definedName name="__MMM30" localSheetId="5">#REF!</definedName>
    <definedName name="__MMM30" localSheetId="6">#REF!</definedName>
    <definedName name="__MMM30" localSheetId="16">#REF!</definedName>
    <definedName name="__MMM30" localSheetId="7">#REF!</definedName>
    <definedName name="__MMM30">#REF!</definedName>
    <definedName name="__MMM31" localSheetId="18">#REF!</definedName>
    <definedName name="__MMM31" localSheetId="21">#REF!</definedName>
    <definedName name="__MMM31" localSheetId="1">#REF!</definedName>
    <definedName name="__MMM31" localSheetId="0">#REF!</definedName>
    <definedName name="__MMM31" localSheetId="5">#REF!</definedName>
    <definedName name="__MMM31" localSheetId="6">#REF!</definedName>
    <definedName name="__MMM31" localSheetId="16">#REF!</definedName>
    <definedName name="__MMM31" localSheetId="7">#REF!</definedName>
    <definedName name="__MMM31">#REF!</definedName>
    <definedName name="__MMM32" localSheetId="18">#REF!</definedName>
    <definedName name="__MMM32" localSheetId="21">#REF!</definedName>
    <definedName name="__MMM32" localSheetId="1">#REF!</definedName>
    <definedName name="__MMM32" localSheetId="0">#REF!</definedName>
    <definedName name="__MMM32" localSheetId="5">#REF!</definedName>
    <definedName name="__MMM32" localSheetId="6">#REF!</definedName>
    <definedName name="__MMM32" localSheetId="16">#REF!</definedName>
    <definedName name="__MMM32" localSheetId="7">#REF!</definedName>
    <definedName name="__MMM32">#REF!</definedName>
    <definedName name="__MMM33" localSheetId="18">#REF!</definedName>
    <definedName name="__MMM33" localSheetId="21">#REF!</definedName>
    <definedName name="__MMM33" localSheetId="1">#REF!</definedName>
    <definedName name="__MMM33" localSheetId="0">#REF!</definedName>
    <definedName name="__MMM33" localSheetId="5">#REF!</definedName>
    <definedName name="__MMM33" localSheetId="6">#REF!</definedName>
    <definedName name="__MMM33" localSheetId="16">#REF!</definedName>
    <definedName name="__MMM33" localSheetId="7">#REF!</definedName>
    <definedName name="__MMM33">#REF!</definedName>
    <definedName name="__MMM34" localSheetId="18">#REF!</definedName>
    <definedName name="__MMM34" localSheetId="21">#REF!</definedName>
    <definedName name="__MMM34" localSheetId="1">#REF!</definedName>
    <definedName name="__MMM34" localSheetId="0">#REF!</definedName>
    <definedName name="__MMM34" localSheetId="5">#REF!</definedName>
    <definedName name="__MMM34" localSheetId="6">#REF!</definedName>
    <definedName name="__MMM34" localSheetId="16">#REF!</definedName>
    <definedName name="__MMM34" localSheetId="7">#REF!</definedName>
    <definedName name="__MMM34">#REF!</definedName>
    <definedName name="__MMM35" localSheetId="18">#REF!</definedName>
    <definedName name="__MMM35" localSheetId="21">#REF!</definedName>
    <definedName name="__MMM35" localSheetId="1">#REF!</definedName>
    <definedName name="__MMM35" localSheetId="0">#REF!</definedName>
    <definedName name="__MMM35" localSheetId="5">#REF!</definedName>
    <definedName name="__MMM35" localSheetId="6">#REF!</definedName>
    <definedName name="__MMM35" localSheetId="16">#REF!</definedName>
    <definedName name="__MMM35" localSheetId="7">#REF!</definedName>
    <definedName name="__MMM35">#REF!</definedName>
    <definedName name="__MMM36" localSheetId="18">#REF!</definedName>
    <definedName name="__MMM36" localSheetId="21">#REF!</definedName>
    <definedName name="__MMM36" localSheetId="1">#REF!</definedName>
    <definedName name="__MMM36" localSheetId="0">#REF!</definedName>
    <definedName name="__MMM36" localSheetId="5">#REF!</definedName>
    <definedName name="__MMM36" localSheetId="6">#REF!</definedName>
    <definedName name="__MMM36" localSheetId="16">#REF!</definedName>
    <definedName name="__MMM36" localSheetId="7">#REF!</definedName>
    <definedName name="__MMM36">#REF!</definedName>
    <definedName name="__MMM37" localSheetId="18">#REF!</definedName>
    <definedName name="__MMM37" localSheetId="21">#REF!</definedName>
    <definedName name="__MMM37" localSheetId="1">#REF!</definedName>
    <definedName name="__MMM37" localSheetId="0">#REF!</definedName>
    <definedName name="__MMM37" localSheetId="5">#REF!</definedName>
    <definedName name="__MMM37" localSheetId="6">#REF!</definedName>
    <definedName name="__MMM37" localSheetId="16">#REF!</definedName>
    <definedName name="__MMM37" localSheetId="7">#REF!</definedName>
    <definedName name="__MMM37">#REF!</definedName>
    <definedName name="__MMM38" localSheetId="18">#REF!</definedName>
    <definedName name="__MMM38" localSheetId="21">#REF!</definedName>
    <definedName name="__MMM38" localSheetId="1">#REF!</definedName>
    <definedName name="__MMM38" localSheetId="0">#REF!</definedName>
    <definedName name="__MMM38" localSheetId="5">#REF!</definedName>
    <definedName name="__MMM38" localSheetId="6">#REF!</definedName>
    <definedName name="__MMM38" localSheetId="16">#REF!</definedName>
    <definedName name="__MMM38" localSheetId="7">#REF!</definedName>
    <definedName name="__MMM38">#REF!</definedName>
    <definedName name="__MMM39" localSheetId="18">#REF!</definedName>
    <definedName name="__MMM39" localSheetId="21">#REF!</definedName>
    <definedName name="__MMM39" localSheetId="1">#REF!</definedName>
    <definedName name="__MMM39" localSheetId="0">#REF!</definedName>
    <definedName name="__MMM39" localSheetId="5">#REF!</definedName>
    <definedName name="__MMM39" localSheetId="6">#REF!</definedName>
    <definedName name="__MMM39" localSheetId="16">#REF!</definedName>
    <definedName name="__MMM39" localSheetId="7">#REF!</definedName>
    <definedName name="__MMM39">#REF!</definedName>
    <definedName name="__MMM40" localSheetId="18">#REF!</definedName>
    <definedName name="__MMM40" localSheetId="21">#REF!</definedName>
    <definedName name="__MMM40" localSheetId="1">#REF!</definedName>
    <definedName name="__MMM40" localSheetId="0">#REF!</definedName>
    <definedName name="__MMM40" localSheetId="5">#REF!</definedName>
    <definedName name="__MMM40" localSheetId="6">#REF!</definedName>
    <definedName name="__MMM40" localSheetId="16">#REF!</definedName>
    <definedName name="__MMM40" localSheetId="7">#REF!</definedName>
    <definedName name="__MMM40">#REF!</definedName>
    <definedName name="__MMM41" localSheetId="18">#REF!</definedName>
    <definedName name="__MMM41" localSheetId="21">#REF!</definedName>
    <definedName name="__MMM41" localSheetId="1">#REF!</definedName>
    <definedName name="__MMM41" localSheetId="0">#REF!</definedName>
    <definedName name="__MMM41" localSheetId="5">#REF!</definedName>
    <definedName name="__MMM41" localSheetId="6">#REF!</definedName>
    <definedName name="__MMM41" localSheetId="16">#REF!</definedName>
    <definedName name="__MMM41" localSheetId="7">#REF!</definedName>
    <definedName name="__MMM41">#REF!</definedName>
    <definedName name="__MMM411" localSheetId="18">#REF!</definedName>
    <definedName name="__MMM411" localSheetId="21">#REF!</definedName>
    <definedName name="__MMM411" localSheetId="1">#REF!</definedName>
    <definedName name="__MMM411" localSheetId="0">#REF!</definedName>
    <definedName name="__MMM411" localSheetId="5">#REF!</definedName>
    <definedName name="__MMM411" localSheetId="6">#REF!</definedName>
    <definedName name="__MMM411" localSheetId="16">#REF!</definedName>
    <definedName name="__MMM411" localSheetId="7">#REF!</definedName>
    <definedName name="__MMM411">#REF!</definedName>
    <definedName name="__MMM42" localSheetId="18">#REF!</definedName>
    <definedName name="__MMM42" localSheetId="21">#REF!</definedName>
    <definedName name="__MMM42" localSheetId="1">#REF!</definedName>
    <definedName name="__MMM42" localSheetId="0">#REF!</definedName>
    <definedName name="__MMM42" localSheetId="5">#REF!</definedName>
    <definedName name="__MMM42" localSheetId="6">#REF!</definedName>
    <definedName name="__MMM42" localSheetId="16">#REF!</definedName>
    <definedName name="__MMM42" localSheetId="7">#REF!</definedName>
    <definedName name="__MMM42">#REF!</definedName>
    <definedName name="__MMM43" localSheetId="18">#REF!</definedName>
    <definedName name="__MMM43" localSheetId="21">#REF!</definedName>
    <definedName name="__MMM43" localSheetId="1">#REF!</definedName>
    <definedName name="__MMM43" localSheetId="0">#REF!</definedName>
    <definedName name="__MMM43" localSheetId="5">#REF!</definedName>
    <definedName name="__MMM43" localSheetId="6">#REF!</definedName>
    <definedName name="__MMM43" localSheetId="16">#REF!</definedName>
    <definedName name="__MMM43" localSheetId="7">#REF!</definedName>
    <definedName name="__MMM43">#REF!</definedName>
    <definedName name="__MMM44" localSheetId="18">#REF!</definedName>
    <definedName name="__MMM44" localSheetId="21">#REF!</definedName>
    <definedName name="__MMM44" localSheetId="1">#REF!</definedName>
    <definedName name="__MMM44" localSheetId="0">#REF!</definedName>
    <definedName name="__MMM44" localSheetId="5">#REF!</definedName>
    <definedName name="__MMM44" localSheetId="6">#REF!</definedName>
    <definedName name="__MMM44" localSheetId="16">#REF!</definedName>
    <definedName name="__MMM44" localSheetId="7">#REF!</definedName>
    <definedName name="__MMM44">#REF!</definedName>
    <definedName name="__MMM45" localSheetId="18">#REF!</definedName>
    <definedName name="__MMM45" localSheetId="21">#REF!</definedName>
    <definedName name="__MMM45" localSheetId="1">#REF!</definedName>
    <definedName name="__MMM45" localSheetId="0">#REF!</definedName>
    <definedName name="__MMM45" localSheetId="5">#REF!</definedName>
    <definedName name="__MMM45" localSheetId="6">#REF!</definedName>
    <definedName name="__MMM45" localSheetId="16">#REF!</definedName>
    <definedName name="__MMM45" localSheetId="7">#REF!</definedName>
    <definedName name="__MMM45">#REF!</definedName>
    <definedName name="__MMM46" localSheetId="18">#REF!</definedName>
    <definedName name="__MMM46" localSheetId="21">#REF!</definedName>
    <definedName name="__MMM46" localSheetId="1">#REF!</definedName>
    <definedName name="__MMM46" localSheetId="0">#REF!</definedName>
    <definedName name="__MMM46" localSheetId="5">#REF!</definedName>
    <definedName name="__MMM46" localSheetId="6">#REF!</definedName>
    <definedName name="__MMM46" localSheetId="16">#REF!</definedName>
    <definedName name="__MMM46" localSheetId="7">#REF!</definedName>
    <definedName name="__MMM46">#REF!</definedName>
    <definedName name="__MMM47" localSheetId="18">#REF!</definedName>
    <definedName name="__MMM47" localSheetId="21">#REF!</definedName>
    <definedName name="__MMM47" localSheetId="1">#REF!</definedName>
    <definedName name="__MMM47" localSheetId="0">#REF!</definedName>
    <definedName name="__MMM47" localSheetId="5">#REF!</definedName>
    <definedName name="__MMM47" localSheetId="6">#REF!</definedName>
    <definedName name="__MMM47" localSheetId="16">#REF!</definedName>
    <definedName name="__MMM47" localSheetId="7">#REF!</definedName>
    <definedName name="__MMM47">#REF!</definedName>
    <definedName name="__MMM48" localSheetId="18">#REF!</definedName>
    <definedName name="__MMM48" localSheetId="21">#REF!</definedName>
    <definedName name="__MMM48" localSheetId="1">#REF!</definedName>
    <definedName name="__MMM48" localSheetId="0">#REF!</definedName>
    <definedName name="__MMM48" localSheetId="5">#REF!</definedName>
    <definedName name="__MMM48" localSheetId="6">#REF!</definedName>
    <definedName name="__MMM48" localSheetId="16">#REF!</definedName>
    <definedName name="__MMM48" localSheetId="7">#REF!</definedName>
    <definedName name="__MMM48">#REF!</definedName>
    <definedName name="__MMM49" localSheetId="18">#REF!</definedName>
    <definedName name="__MMM49" localSheetId="21">#REF!</definedName>
    <definedName name="__MMM49" localSheetId="1">#REF!</definedName>
    <definedName name="__MMM49" localSheetId="0">#REF!</definedName>
    <definedName name="__MMM49" localSheetId="5">#REF!</definedName>
    <definedName name="__MMM49" localSheetId="6">#REF!</definedName>
    <definedName name="__MMM49" localSheetId="16">#REF!</definedName>
    <definedName name="__MMM49" localSheetId="7">#REF!</definedName>
    <definedName name="__MMM49">#REF!</definedName>
    <definedName name="__MMM50" localSheetId="18">#REF!</definedName>
    <definedName name="__MMM50" localSheetId="21">#REF!</definedName>
    <definedName name="__MMM50" localSheetId="1">#REF!</definedName>
    <definedName name="__MMM50" localSheetId="0">#REF!</definedName>
    <definedName name="__MMM50" localSheetId="5">#REF!</definedName>
    <definedName name="__MMM50" localSheetId="6">#REF!</definedName>
    <definedName name="__MMM50" localSheetId="16">#REF!</definedName>
    <definedName name="__MMM50" localSheetId="7">#REF!</definedName>
    <definedName name="__MMM50">#REF!</definedName>
    <definedName name="__MMM51" localSheetId="18">#REF!</definedName>
    <definedName name="__MMM51" localSheetId="21">#REF!</definedName>
    <definedName name="__MMM51" localSheetId="1">#REF!</definedName>
    <definedName name="__MMM51" localSheetId="0">#REF!</definedName>
    <definedName name="__MMM51" localSheetId="5">#REF!</definedName>
    <definedName name="__MMM51" localSheetId="6">#REF!</definedName>
    <definedName name="__MMM51" localSheetId="16">#REF!</definedName>
    <definedName name="__MMM51" localSheetId="7">#REF!</definedName>
    <definedName name="__MMM51">#REF!</definedName>
    <definedName name="__MMM52" localSheetId="18">#REF!</definedName>
    <definedName name="__MMM52" localSheetId="21">#REF!</definedName>
    <definedName name="__MMM52" localSheetId="1">#REF!</definedName>
    <definedName name="__MMM52" localSheetId="0">#REF!</definedName>
    <definedName name="__MMM52" localSheetId="5">#REF!</definedName>
    <definedName name="__MMM52" localSheetId="6">#REF!</definedName>
    <definedName name="__MMM52" localSheetId="16">#REF!</definedName>
    <definedName name="__MMM52" localSheetId="7">#REF!</definedName>
    <definedName name="__MMM52">#REF!</definedName>
    <definedName name="__MMM53" localSheetId="18">#REF!</definedName>
    <definedName name="__MMM53" localSheetId="21">#REF!</definedName>
    <definedName name="__MMM53" localSheetId="1">#REF!</definedName>
    <definedName name="__MMM53" localSheetId="0">#REF!</definedName>
    <definedName name="__MMM53" localSheetId="5">#REF!</definedName>
    <definedName name="__MMM53" localSheetId="6">#REF!</definedName>
    <definedName name="__MMM53" localSheetId="16">#REF!</definedName>
    <definedName name="__MMM53" localSheetId="7">#REF!</definedName>
    <definedName name="__MMM53">#REF!</definedName>
    <definedName name="__MMM54" localSheetId="18">#REF!</definedName>
    <definedName name="__MMM54" localSheetId="21">#REF!</definedName>
    <definedName name="__MMM54" localSheetId="1">#REF!</definedName>
    <definedName name="__MMM54" localSheetId="0">#REF!</definedName>
    <definedName name="__MMM54" localSheetId="5">#REF!</definedName>
    <definedName name="__MMM54" localSheetId="6">#REF!</definedName>
    <definedName name="__MMM54" localSheetId="16">#REF!</definedName>
    <definedName name="__MMM54" localSheetId="7">#REF!</definedName>
    <definedName name="__MMM54">#REF!</definedName>
    <definedName name="_12_Anl._F.27" localSheetId="18">#REF!</definedName>
    <definedName name="_12_Anl._F.27" localSheetId="21">#REF!</definedName>
    <definedName name="_12_Anl._F.27" localSheetId="1">#REF!</definedName>
    <definedName name="_12_Anl._F.27" localSheetId="0">#REF!</definedName>
    <definedName name="_12_Anl._F.27" localSheetId="5">#REF!</definedName>
    <definedName name="_12_Anl._F.27" localSheetId="6">#REF!</definedName>
    <definedName name="_12_Anl._F.27" localSheetId="16">#REF!</definedName>
    <definedName name="_12_Anl._F.27" localSheetId="7">#REF!</definedName>
    <definedName name="_12_Anl._F.27">#REF!</definedName>
    <definedName name="_818FA" localSheetId="18">#REF!</definedName>
    <definedName name="_818FA" localSheetId="21">#REF!</definedName>
    <definedName name="_818FA" localSheetId="1">#REF!</definedName>
    <definedName name="_818FA" localSheetId="0">#REF!</definedName>
    <definedName name="_818FA" localSheetId="5">#REF!</definedName>
    <definedName name="_818FA" localSheetId="6">#REF!</definedName>
    <definedName name="_818FA" localSheetId="16">#REF!</definedName>
    <definedName name="_818FA" localSheetId="7">#REF!</definedName>
    <definedName name="_818FA">#REF!</definedName>
    <definedName name="_818PK" localSheetId="18">#REF!</definedName>
    <definedName name="_818PK" localSheetId="21">#REF!</definedName>
    <definedName name="_818PK" localSheetId="1">#REF!</definedName>
    <definedName name="_818PK" localSheetId="0">#REF!</definedName>
    <definedName name="_818PK" localSheetId="5">#REF!</definedName>
    <definedName name="_818PK" localSheetId="6">#REF!</definedName>
    <definedName name="_818PK" localSheetId="16">#REF!</definedName>
    <definedName name="_818PK" localSheetId="7">#REF!</definedName>
    <definedName name="_818PK">#REF!</definedName>
    <definedName name="_agt3" localSheetId="21">[8]uRAIAN!#REF!</definedName>
    <definedName name="_agt3" localSheetId="1">[8]uRAIAN!#REF!</definedName>
    <definedName name="_agt3" localSheetId="0">[8]uRAIAN!#REF!</definedName>
    <definedName name="_agt3" localSheetId="5">[8]uRAIAN!#REF!</definedName>
    <definedName name="_agt3" localSheetId="6">[8]uRAIAN!#REF!</definedName>
    <definedName name="_agt3" localSheetId="16">[8]uRAIAN!#REF!</definedName>
    <definedName name="_agt3" localSheetId="7">[8]uRAIAN!#REF!</definedName>
    <definedName name="_agt3">[8]uRAIAN!#REF!</definedName>
    <definedName name="_agt4" localSheetId="21">[8]uRAIAN!#REF!</definedName>
    <definedName name="_agt4" localSheetId="1">[8]uRAIAN!#REF!</definedName>
    <definedName name="_agt4" localSheetId="0">[8]uRAIAN!#REF!</definedName>
    <definedName name="_agt4" localSheetId="5">[8]uRAIAN!#REF!</definedName>
    <definedName name="_agt4" localSheetId="6">[8]uRAIAN!#REF!</definedName>
    <definedName name="_agt4" localSheetId="16">[8]uRAIAN!#REF!</definedName>
    <definedName name="_agt4" localSheetId="7">[8]uRAIAN!#REF!</definedName>
    <definedName name="_agt4">[8]uRAIAN!#REF!</definedName>
    <definedName name="_agt5" localSheetId="21">[8]uRAIAN!#REF!</definedName>
    <definedName name="_agt5" localSheetId="1">[8]uRAIAN!#REF!</definedName>
    <definedName name="_agt5" localSheetId="0">[8]uRAIAN!#REF!</definedName>
    <definedName name="_agt5" localSheetId="5">[8]uRAIAN!#REF!</definedName>
    <definedName name="_agt5" localSheetId="6">[8]uRAIAN!#REF!</definedName>
    <definedName name="_agt5" localSheetId="16">[8]uRAIAN!#REF!</definedName>
    <definedName name="_agt5" localSheetId="7">[8]uRAIAN!#REF!</definedName>
    <definedName name="_agt5">[8]uRAIAN!#REF!</definedName>
    <definedName name="_AMD5">'[9]6th'!$O$13:$O$528</definedName>
    <definedName name="_Bet123" localSheetId="21">[10]HSP!#REF!</definedName>
    <definedName name="_Bet123" localSheetId="1">[10]HSP!#REF!</definedName>
    <definedName name="_Bet123" localSheetId="0">[10]HSP!#REF!</definedName>
    <definedName name="_Bet123" localSheetId="5">[10]HSP!#REF!</definedName>
    <definedName name="_Bet123" localSheetId="6">[10]HSP!#REF!</definedName>
    <definedName name="_Bet123" localSheetId="16">[10]HSP!#REF!</definedName>
    <definedName name="_Bet123" localSheetId="7">[10]HSP!#REF!</definedName>
    <definedName name="_Bet123">[10]HSP!#REF!</definedName>
    <definedName name="_DIV1">'[11]Kuantitas &amp; Harga'!$G$24</definedName>
    <definedName name="_DIV10">'[11]Kuantitas &amp; Harga'!$G$393</definedName>
    <definedName name="_DIV11" localSheetId="18">'[12]Kuantitas &amp; Harga'!#REF!</definedName>
    <definedName name="_DIV11" localSheetId="11">'[12]Kuantitas &amp; Harga'!#REF!</definedName>
    <definedName name="_DIV11" localSheetId="10">'[12]Kuantitas &amp; Harga'!#REF!</definedName>
    <definedName name="_DIV11" localSheetId="21">'[12]Kuantitas &amp; Harga'!#REF!</definedName>
    <definedName name="_DIV11" localSheetId="12">'[12]Kuantitas &amp; Harga'!#REF!</definedName>
    <definedName name="_DIV11" localSheetId="1">'[12]Kuantitas &amp; Harga'!#REF!</definedName>
    <definedName name="_DIV11" localSheetId="0">'[12]Kuantitas &amp; Harga'!#REF!</definedName>
    <definedName name="_DIV11" localSheetId="14">'[12]Kuantitas &amp; Harga'!#REF!</definedName>
    <definedName name="_DIV11" localSheetId="5">'[12]Kuantitas &amp; Harga'!#REF!</definedName>
    <definedName name="_DIV11" localSheetId="6">'[12]Kuantitas &amp; Harga'!#REF!</definedName>
    <definedName name="_DIV11" localSheetId="16">'[12]Kuantitas &amp; Harga'!#REF!</definedName>
    <definedName name="_DIV11" localSheetId="7">'[12]Kuantitas &amp; Harga'!#REF!</definedName>
    <definedName name="_DIV11">'[12]Kuantitas &amp; Harga'!#REF!</definedName>
    <definedName name="_DIV2">'[11]Kuantitas &amp; Harga'!$G$46</definedName>
    <definedName name="_DIV3">'[11]Kuantitas &amp; Harga'!$G$80</definedName>
    <definedName name="_DIV4">'[11]Kuantitas &amp; Harga'!$G$95</definedName>
    <definedName name="_DIV5">'[11]Kuantitas &amp; Harga'!$G$115</definedName>
    <definedName name="_DIV6">'[11]Kuantitas &amp; Harga'!$G$150</definedName>
    <definedName name="_DIV7">'[11]Kuantitas &amp; Harga'!$G$298</definedName>
    <definedName name="_DIV8">'[11]Kuantitas &amp; Harga'!$G$350</definedName>
    <definedName name="_DIV9">'[11]Kuantitas &amp; Harga'!$G$380</definedName>
    <definedName name="_E019">'[13]Upah&amp;Bahan'!$U$261</definedName>
    <definedName name="_e039">'[13]Upah&amp;Bahan'!$U$317</definedName>
    <definedName name="_e100">'[13]Upah&amp;Bahan'!$U$1045</definedName>
    <definedName name="_e101">'[13]Upah&amp;Bahan'!$U$1101</definedName>
    <definedName name="_e102">'[13]Upah&amp;Bahan'!$U$1157</definedName>
    <definedName name="_e103">'[13]Upah&amp;Bahan'!$U$1213</definedName>
    <definedName name="_e104">'[13]Upah&amp;Bahan'!$U$1612</definedName>
    <definedName name="_EEE01" localSheetId="18">#REF!</definedName>
    <definedName name="_EEE01" localSheetId="10">#REF!</definedName>
    <definedName name="_EEE01" localSheetId="21">#REF!</definedName>
    <definedName name="_EEE01" localSheetId="1">#REF!</definedName>
    <definedName name="_EEE01" localSheetId="0">#REF!</definedName>
    <definedName name="_EEE01" localSheetId="5">#REF!</definedName>
    <definedName name="_EEE01" localSheetId="6">#REF!</definedName>
    <definedName name="_EEE01" localSheetId="16">#REF!</definedName>
    <definedName name="_EEE01" localSheetId="7">#REF!</definedName>
    <definedName name="_EEE01">#REF!</definedName>
    <definedName name="_EEE02" localSheetId="18">#REF!</definedName>
    <definedName name="_EEE02" localSheetId="10">#REF!</definedName>
    <definedName name="_EEE02" localSheetId="21">#REF!</definedName>
    <definedName name="_EEE02" localSheetId="1">#REF!</definedName>
    <definedName name="_EEE02" localSheetId="0">#REF!</definedName>
    <definedName name="_EEE02" localSheetId="5">#REF!</definedName>
    <definedName name="_EEE02" localSheetId="6">#REF!</definedName>
    <definedName name="_EEE02" localSheetId="16">#REF!</definedName>
    <definedName name="_EEE02" localSheetId="7">#REF!</definedName>
    <definedName name="_EEE02">#REF!</definedName>
    <definedName name="_EEE03" localSheetId="18">#REF!</definedName>
    <definedName name="_EEE03" localSheetId="10">#REF!</definedName>
    <definedName name="_EEE03" localSheetId="21">#REF!</definedName>
    <definedName name="_EEE03" localSheetId="1">#REF!</definedName>
    <definedName name="_EEE03" localSheetId="0">#REF!</definedName>
    <definedName name="_EEE03" localSheetId="5">#REF!</definedName>
    <definedName name="_EEE03" localSheetId="6">#REF!</definedName>
    <definedName name="_EEE03" localSheetId="16">#REF!</definedName>
    <definedName name="_EEE03" localSheetId="7">#REF!</definedName>
    <definedName name="_EEE03">#REF!</definedName>
    <definedName name="_EEE04" localSheetId="18">#REF!</definedName>
    <definedName name="_EEE04" localSheetId="10">#REF!</definedName>
    <definedName name="_EEE04" localSheetId="21">#REF!</definedName>
    <definedName name="_EEE04" localSheetId="1">#REF!</definedName>
    <definedName name="_EEE04" localSheetId="0">#REF!</definedName>
    <definedName name="_EEE04" localSheetId="5">#REF!</definedName>
    <definedName name="_EEE04" localSheetId="6">#REF!</definedName>
    <definedName name="_EEE04" localSheetId="16">#REF!</definedName>
    <definedName name="_EEE04" localSheetId="7">#REF!</definedName>
    <definedName name="_EEE04">#REF!</definedName>
    <definedName name="_EEE05" localSheetId="18">#REF!</definedName>
    <definedName name="_EEE05" localSheetId="10">#REF!</definedName>
    <definedName name="_EEE05" localSheetId="21">#REF!</definedName>
    <definedName name="_EEE05" localSheetId="1">#REF!</definedName>
    <definedName name="_EEE05" localSheetId="0">#REF!</definedName>
    <definedName name="_EEE05" localSheetId="5">#REF!</definedName>
    <definedName name="_EEE05" localSheetId="6">#REF!</definedName>
    <definedName name="_EEE05" localSheetId="16">#REF!</definedName>
    <definedName name="_EEE05" localSheetId="7">#REF!</definedName>
    <definedName name="_EEE05">#REF!</definedName>
    <definedName name="_EEE06" localSheetId="18">#REF!</definedName>
    <definedName name="_EEE06" localSheetId="10">#REF!</definedName>
    <definedName name="_EEE06" localSheetId="21">#REF!</definedName>
    <definedName name="_EEE06" localSheetId="1">#REF!</definedName>
    <definedName name="_EEE06" localSheetId="0">#REF!</definedName>
    <definedName name="_EEE06" localSheetId="5">#REF!</definedName>
    <definedName name="_EEE06" localSheetId="6">#REF!</definedName>
    <definedName name="_EEE06" localSheetId="16">#REF!</definedName>
    <definedName name="_EEE06" localSheetId="7">#REF!</definedName>
    <definedName name="_EEE06">#REF!</definedName>
    <definedName name="_EEE07" localSheetId="18">#REF!</definedName>
    <definedName name="_EEE07" localSheetId="10">#REF!</definedName>
    <definedName name="_EEE07" localSheetId="21">#REF!</definedName>
    <definedName name="_EEE07" localSheetId="1">#REF!</definedName>
    <definedName name="_EEE07" localSheetId="0">#REF!</definedName>
    <definedName name="_EEE07" localSheetId="5">#REF!</definedName>
    <definedName name="_EEE07" localSheetId="6">#REF!</definedName>
    <definedName name="_EEE07" localSheetId="16">#REF!</definedName>
    <definedName name="_EEE07" localSheetId="7">#REF!</definedName>
    <definedName name="_EEE07">#REF!</definedName>
    <definedName name="_EEE08" localSheetId="18">#REF!</definedName>
    <definedName name="_EEE08" localSheetId="10">#REF!</definedName>
    <definedName name="_EEE08" localSheetId="21">#REF!</definedName>
    <definedName name="_EEE08" localSheetId="1">#REF!</definedName>
    <definedName name="_EEE08" localSheetId="0">#REF!</definedName>
    <definedName name="_EEE08" localSheetId="5">#REF!</definedName>
    <definedName name="_EEE08" localSheetId="6">#REF!</definedName>
    <definedName name="_EEE08" localSheetId="16">#REF!</definedName>
    <definedName name="_EEE08" localSheetId="7">#REF!</definedName>
    <definedName name="_EEE08">#REF!</definedName>
    <definedName name="_EEE09" localSheetId="18">#REF!</definedName>
    <definedName name="_EEE09" localSheetId="10">#REF!</definedName>
    <definedName name="_EEE09" localSheetId="21">#REF!</definedName>
    <definedName name="_EEE09" localSheetId="1">#REF!</definedName>
    <definedName name="_EEE09" localSheetId="0">#REF!</definedName>
    <definedName name="_EEE09" localSheetId="5">#REF!</definedName>
    <definedName name="_EEE09" localSheetId="6">#REF!</definedName>
    <definedName name="_EEE09" localSheetId="16">#REF!</definedName>
    <definedName name="_EEE09" localSheetId="7">#REF!</definedName>
    <definedName name="_EEE09">#REF!</definedName>
    <definedName name="_EEE10" localSheetId="18">#REF!</definedName>
    <definedName name="_EEE10" localSheetId="10">#REF!</definedName>
    <definedName name="_EEE10" localSheetId="21">#REF!</definedName>
    <definedName name="_EEE10" localSheetId="1">#REF!</definedName>
    <definedName name="_EEE10" localSheetId="0">#REF!</definedName>
    <definedName name="_EEE10" localSheetId="5">#REF!</definedName>
    <definedName name="_EEE10" localSheetId="6">#REF!</definedName>
    <definedName name="_EEE10" localSheetId="16">#REF!</definedName>
    <definedName name="_EEE10" localSheetId="7">#REF!</definedName>
    <definedName name="_EEE10">#REF!</definedName>
    <definedName name="_EEE11" localSheetId="18">#REF!</definedName>
    <definedName name="_EEE11" localSheetId="10">#REF!</definedName>
    <definedName name="_EEE11" localSheetId="21">#REF!</definedName>
    <definedName name="_EEE11" localSheetId="1">#REF!</definedName>
    <definedName name="_EEE11" localSheetId="0">#REF!</definedName>
    <definedName name="_EEE11" localSheetId="5">#REF!</definedName>
    <definedName name="_EEE11" localSheetId="6">#REF!</definedName>
    <definedName name="_EEE11" localSheetId="16">#REF!</definedName>
    <definedName name="_EEE11" localSheetId="7">#REF!</definedName>
    <definedName name="_EEE11">#REF!</definedName>
    <definedName name="_EEE12" localSheetId="18">#REF!</definedName>
    <definedName name="_EEE12" localSheetId="10">#REF!</definedName>
    <definedName name="_EEE12" localSheetId="21">#REF!</definedName>
    <definedName name="_EEE12" localSheetId="1">#REF!</definedName>
    <definedName name="_EEE12" localSheetId="0">#REF!</definedName>
    <definedName name="_EEE12" localSheetId="5">#REF!</definedName>
    <definedName name="_EEE12" localSheetId="6">#REF!</definedName>
    <definedName name="_EEE12" localSheetId="16">#REF!</definedName>
    <definedName name="_EEE12" localSheetId="7">#REF!</definedName>
    <definedName name="_EEE12">#REF!</definedName>
    <definedName name="_EEE13" localSheetId="18">#REF!</definedName>
    <definedName name="_EEE13" localSheetId="10">#REF!</definedName>
    <definedName name="_EEE13" localSheetId="21">#REF!</definedName>
    <definedName name="_EEE13" localSheetId="1">#REF!</definedName>
    <definedName name="_EEE13" localSheetId="0">#REF!</definedName>
    <definedName name="_EEE13" localSheetId="5">#REF!</definedName>
    <definedName name="_EEE13" localSheetId="6">#REF!</definedName>
    <definedName name="_EEE13" localSheetId="16">#REF!</definedName>
    <definedName name="_EEE13" localSheetId="7">#REF!</definedName>
    <definedName name="_EEE13">#REF!</definedName>
    <definedName name="_EEE14" localSheetId="18">#REF!</definedName>
    <definedName name="_EEE14" localSheetId="10">#REF!</definedName>
    <definedName name="_EEE14" localSheetId="21">#REF!</definedName>
    <definedName name="_EEE14" localSheetId="1">#REF!</definedName>
    <definedName name="_EEE14" localSheetId="0">#REF!</definedName>
    <definedName name="_EEE14" localSheetId="5">#REF!</definedName>
    <definedName name="_EEE14" localSheetId="6">#REF!</definedName>
    <definedName name="_EEE14" localSheetId="16">#REF!</definedName>
    <definedName name="_EEE14" localSheetId="7">#REF!</definedName>
    <definedName name="_EEE14">#REF!</definedName>
    <definedName name="_EEE15" localSheetId="18">#REF!</definedName>
    <definedName name="_EEE15" localSheetId="10">#REF!</definedName>
    <definedName name="_EEE15" localSheetId="21">#REF!</definedName>
    <definedName name="_EEE15" localSheetId="1">#REF!</definedName>
    <definedName name="_EEE15" localSheetId="0">#REF!</definedName>
    <definedName name="_EEE15" localSheetId="5">#REF!</definedName>
    <definedName name="_EEE15" localSheetId="6">#REF!</definedName>
    <definedName name="_EEE15" localSheetId="16">#REF!</definedName>
    <definedName name="_EEE15" localSheetId="7">#REF!</definedName>
    <definedName name="_EEE15">#REF!</definedName>
    <definedName name="_EEE16" localSheetId="18">#REF!</definedName>
    <definedName name="_EEE16" localSheetId="10">#REF!</definedName>
    <definedName name="_EEE16" localSheetId="21">#REF!</definedName>
    <definedName name="_EEE16" localSheetId="1">#REF!</definedName>
    <definedName name="_EEE16" localSheetId="0">#REF!</definedName>
    <definedName name="_EEE16" localSheetId="5">#REF!</definedName>
    <definedName name="_EEE16" localSheetId="6">#REF!</definedName>
    <definedName name="_EEE16" localSheetId="16">#REF!</definedName>
    <definedName name="_EEE16" localSheetId="7">#REF!</definedName>
    <definedName name="_EEE16">#REF!</definedName>
    <definedName name="_EEE17" localSheetId="18">#REF!</definedName>
    <definedName name="_EEE17" localSheetId="10">#REF!</definedName>
    <definedName name="_EEE17" localSheetId="21">#REF!</definedName>
    <definedName name="_EEE17" localSheetId="1">#REF!</definedName>
    <definedName name="_EEE17" localSheetId="0">#REF!</definedName>
    <definedName name="_EEE17" localSheetId="5">#REF!</definedName>
    <definedName name="_EEE17" localSheetId="6">#REF!</definedName>
    <definedName name="_EEE17" localSheetId="16">#REF!</definedName>
    <definedName name="_EEE17" localSheetId="7">#REF!</definedName>
    <definedName name="_EEE17">#REF!</definedName>
    <definedName name="_EEE18" localSheetId="18">#REF!</definedName>
    <definedName name="_EEE18" localSheetId="10">#REF!</definedName>
    <definedName name="_EEE18" localSheetId="21">#REF!</definedName>
    <definedName name="_EEE18" localSheetId="1">#REF!</definedName>
    <definedName name="_EEE18" localSheetId="0">#REF!</definedName>
    <definedName name="_EEE18" localSheetId="5">#REF!</definedName>
    <definedName name="_EEE18" localSheetId="6">#REF!</definedName>
    <definedName name="_EEE18" localSheetId="16">#REF!</definedName>
    <definedName name="_EEE18" localSheetId="7">#REF!</definedName>
    <definedName name="_EEE18">#REF!</definedName>
    <definedName name="_EEE19" localSheetId="18">#REF!</definedName>
    <definedName name="_EEE19" localSheetId="10">#REF!</definedName>
    <definedName name="_EEE19" localSheetId="21">#REF!</definedName>
    <definedName name="_EEE19" localSheetId="1">#REF!</definedName>
    <definedName name="_EEE19" localSheetId="0">#REF!</definedName>
    <definedName name="_EEE19" localSheetId="5">#REF!</definedName>
    <definedName name="_EEE19" localSheetId="6">#REF!</definedName>
    <definedName name="_EEE19" localSheetId="16">#REF!</definedName>
    <definedName name="_EEE19" localSheetId="7">#REF!</definedName>
    <definedName name="_EEE19">#REF!</definedName>
    <definedName name="_EEE20" localSheetId="18">#REF!</definedName>
    <definedName name="_EEE20" localSheetId="10">#REF!</definedName>
    <definedName name="_EEE20" localSheetId="21">#REF!</definedName>
    <definedName name="_EEE20" localSheetId="1">#REF!</definedName>
    <definedName name="_EEE20" localSheetId="0">#REF!</definedName>
    <definedName name="_EEE20" localSheetId="5">#REF!</definedName>
    <definedName name="_EEE20" localSheetId="6">#REF!</definedName>
    <definedName name="_EEE20" localSheetId="16">#REF!</definedName>
    <definedName name="_EEE20" localSheetId="7">#REF!</definedName>
    <definedName name="_EEE20">#REF!</definedName>
    <definedName name="_EEE21" localSheetId="18">#REF!</definedName>
    <definedName name="_EEE21" localSheetId="10">#REF!</definedName>
    <definedName name="_EEE21" localSheetId="21">#REF!</definedName>
    <definedName name="_EEE21" localSheetId="1">#REF!</definedName>
    <definedName name="_EEE21" localSheetId="0">#REF!</definedName>
    <definedName name="_EEE21" localSheetId="5">#REF!</definedName>
    <definedName name="_EEE21" localSheetId="6">#REF!</definedName>
    <definedName name="_EEE21" localSheetId="16">#REF!</definedName>
    <definedName name="_EEE21" localSheetId="7">#REF!</definedName>
    <definedName name="_EEE21">#REF!</definedName>
    <definedName name="_EEE22" localSheetId="18">#REF!</definedName>
    <definedName name="_EEE22" localSheetId="10">#REF!</definedName>
    <definedName name="_EEE22" localSheetId="21">#REF!</definedName>
    <definedName name="_EEE22" localSheetId="1">#REF!</definedName>
    <definedName name="_EEE22" localSheetId="0">#REF!</definedName>
    <definedName name="_EEE22" localSheetId="5">#REF!</definedName>
    <definedName name="_EEE22" localSheetId="6">#REF!</definedName>
    <definedName name="_EEE22" localSheetId="16">#REF!</definedName>
    <definedName name="_EEE22" localSheetId="7">#REF!</definedName>
    <definedName name="_EEE22">#REF!</definedName>
    <definedName name="_EEE23" localSheetId="18">#REF!</definedName>
    <definedName name="_EEE23" localSheetId="10">#REF!</definedName>
    <definedName name="_EEE23" localSheetId="21">#REF!</definedName>
    <definedName name="_EEE23" localSheetId="1">#REF!</definedName>
    <definedName name="_EEE23" localSheetId="0">#REF!</definedName>
    <definedName name="_EEE23" localSheetId="5">#REF!</definedName>
    <definedName name="_EEE23" localSheetId="6">#REF!</definedName>
    <definedName name="_EEE23" localSheetId="16">#REF!</definedName>
    <definedName name="_EEE23" localSheetId="7">#REF!</definedName>
    <definedName name="_EEE23">#REF!</definedName>
    <definedName name="_EEE24" localSheetId="18">#REF!</definedName>
    <definedName name="_EEE24" localSheetId="10">#REF!</definedName>
    <definedName name="_EEE24" localSheetId="21">#REF!</definedName>
    <definedName name="_EEE24" localSheetId="1">#REF!</definedName>
    <definedName name="_EEE24" localSheetId="0">#REF!</definedName>
    <definedName name="_EEE24" localSheetId="5">#REF!</definedName>
    <definedName name="_EEE24" localSheetId="6">#REF!</definedName>
    <definedName name="_EEE24" localSheetId="16">#REF!</definedName>
    <definedName name="_EEE24" localSheetId="7">#REF!</definedName>
    <definedName name="_EEE24">#REF!</definedName>
    <definedName name="_EEE25" localSheetId="18">#REF!</definedName>
    <definedName name="_EEE25" localSheetId="10">#REF!</definedName>
    <definedName name="_EEE25" localSheetId="21">#REF!</definedName>
    <definedName name="_EEE25" localSheetId="1">#REF!</definedName>
    <definedName name="_EEE25" localSheetId="0">#REF!</definedName>
    <definedName name="_EEE25" localSheetId="5">#REF!</definedName>
    <definedName name="_EEE25" localSheetId="6">#REF!</definedName>
    <definedName name="_EEE25" localSheetId="16">#REF!</definedName>
    <definedName name="_EEE25" localSheetId="7">#REF!</definedName>
    <definedName name="_EEE25">#REF!</definedName>
    <definedName name="_EEE26" localSheetId="18">#REF!</definedName>
    <definedName name="_EEE26" localSheetId="10">#REF!</definedName>
    <definedName name="_EEE26" localSheetId="21">#REF!</definedName>
    <definedName name="_EEE26" localSheetId="1">#REF!</definedName>
    <definedName name="_EEE26" localSheetId="0">#REF!</definedName>
    <definedName name="_EEE26" localSheetId="5">#REF!</definedName>
    <definedName name="_EEE26" localSheetId="6">#REF!</definedName>
    <definedName name="_EEE26" localSheetId="16">#REF!</definedName>
    <definedName name="_EEE26" localSheetId="7">#REF!</definedName>
    <definedName name="_EEE26">#REF!</definedName>
    <definedName name="_EEE27" localSheetId="18">#REF!</definedName>
    <definedName name="_EEE27" localSheetId="10">#REF!</definedName>
    <definedName name="_EEE27" localSheetId="21">#REF!</definedName>
    <definedName name="_EEE27" localSheetId="1">#REF!</definedName>
    <definedName name="_EEE27" localSheetId="0">#REF!</definedName>
    <definedName name="_EEE27" localSheetId="5">#REF!</definedName>
    <definedName name="_EEE27" localSheetId="6">#REF!</definedName>
    <definedName name="_EEE27" localSheetId="16">#REF!</definedName>
    <definedName name="_EEE27" localSheetId="7">#REF!</definedName>
    <definedName name="_EEE27">#REF!</definedName>
    <definedName name="_EEE28" localSheetId="18">#REF!</definedName>
    <definedName name="_EEE28" localSheetId="10">#REF!</definedName>
    <definedName name="_EEE28" localSheetId="21">#REF!</definedName>
    <definedName name="_EEE28" localSheetId="1">#REF!</definedName>
    <definedName name="_EEE28" localSheetId="0">#REF!</definedName>
    <definedName name="_EEE28" localSheetId="5">#REF!</definedName>
    <definedName name="_EEE28" localSheetId="6">#REF!</definedName>
    <definedName name="_EEE28" localSheetId="16">#REF!</definedName>
    <definedName name="_EEE28" localSheetId="7">#REF!</definedName>
    <definedName name="_EEE28">#REF!</definedName>
    <definedName name="_EEE29" localSheetId="18">#REF!</definedName>
    <definedName name="_EEE29" localSheetId="10">#REF!</definedName>
    <definedName name="_EEE29" localSheetId="21">#REF!</definedName>
    <definedName name="_EEE29" localSheetId="1">#REF!</definedName>
    <definedName name="_EEE29" localSheetId="0">#REF!</definedName>
    <definedName name="_EEE29" localSheetId="5">#REF!</definedName>
    <definedName name="_EEE29" localSheetId="6">#REF!</definedName>
    <definedName name="_EEE29" localSheetId="16">#REF!</definedName>
    <definedName name="_EEE29" localSheetId="7">#REF!</definedName>
    <definedName name="_EEE29">#REF!</definedName>
    <definedName name="_EEE30" localSheetId="18">#REF!</definedName>
    <definedName name="_EEE30" localSheetId="10">#REF!</definedName>
    <definedName name="_EEE30" localSheetId="21">#REF!</definedName>
    <definedName name="_EEE30" localSheetId="1">#REF!</definedName>
    <definedName name="_EEE30" localSheetId="0">#REF!</definedName>
    <definedName name="_EEE30" localSheetId="5">#REF!</definedName>
    <definedName name="_EEE30" localSheetId="6">#REF!</definedName>
    <definedName name="_EEE30" localSheetId="16">#REF!</definedName>
    <definedName name="_EEE30" localSheetId="7">#REF!</definedName>
    <definedName name="_EEE30">#REF!</definedName>
    <definedName name="_EEE31" localSheetId="18">#REF!</definedName>
    <definedName name="_EEE31" localSheetId="10">#REF!</definedName>
    <definedName name="_EEE31" localSheetId="21">#REF!</definedName>
    <definedName name="_EEE31" localSheetId="1">#REF!</definedName>
    <definedName name="_EEE31" localSheetId="0">#REF!</definedName>
    <definedName name="_EEE31" localSheetId="5">#REF!</definedName>
    <definedName name="_EEE31" localSheetId="6">#REF!</definedName>
    <definedName name="_EEE31" localSheetId="16">#REF!</definedName>
    <definedName name="_EEE31" localSheetId="7">#REF!</definedName>
    <definedName name="_EEE31">#REF!</definedName>
    <definedName name="_EEE32" localSheetId="18">#REF!</definedName>
    <definedName name="_EEE32" localSheetId="10">#REF!</definedName>
    <definedName name="_EEE32" localSheetId="21">#REF!</definedName>
    <definedName name="_EEE32" localSheetId="1">#REF!</definedName>
    <definedName name="_EEE32" localSheetId="0">#REF!</definedName>
    <definedName name="_EEE32" localSheetId="5">#REF!</definedName>
    <definedName name="_EEE32" localSheetId="6">#REF!</definedName>
    <definedName name="_EEE32" localSheetId="16">#REF!</definedName>
    <definedName name="_EEE32" localSheetId="7">#REF!</definedName>
    <definedName name="_EEE32">#REF!</definedName>
    <definedName name="_EEE33" localSheetId="18">#REF!</definedName>
    <definedName name="_EEE33" localSheetId="10">#REF!</definedName>
    <definedName name="_EEE33" localSheetId="21">#REF!</definedName>
    <definedName name="_EEE33" localSheetId="1">#REF!</definedName>
    <definedName name="_EEE33" localSheetId="0">#REF!</definedName>
    <definedName name="_EEE33" localSheetId="5">#REF!</definedName>
    <definedName name="_EEE33" localSheetId="6">#REF!</definedName>
    <definedName name="_EEE33" localSheetId="16">#REF!</definedName>
    <definedName name="_EEE33" localSheetId="7">#REF!</definedName>
    <definedName name="_EEE33">#REF!</definedName>
    <definedName name="_Exc1">'[14]Analisa AB'!$H$63</definedName>
    <definedName name="_Exc2">'[14]Analisa AB'!$H$64</definedName>
    <definedName name="_Fill" localSheetId="18" hidden="1">#REF!</definedName>
    <definedName name="_Fill" localSheetId="11" hidden="1">#REF!</definedName>
    <definedName name="_Fill" localSheetId="10" hidden="1">#REF!</definedName>
    <definedName name="_Fill" localSheetId="21" hidden="1">#REF!</definedName>
    <definedName name="_Fill" localSheetId="12" hidden="1">#REF!</definedName>
    <definedName name="_Fill" localSheetId="1" hidden="1">#REF!</definedName>
    <definedName name="_Fill" localSheetId="0" hidden="1">#REF!</definedName>
    <definedName name="_Fill" localSheetId="14" hidden="1">#REF!</definedName>
    <definedName name="_Fill" localSheetId="5" hidden="1">#REF!</definedName>
    <definedName name="_Fill" localSheetId="6" hidden="1">#REF!</definedName>
    <definedName name="_Fill" localSheetId="16" hidden="1">#REF!</definedName>
    <definedName name="_Fill" localSheetId="7" hidden="1">#REF!</definedName>
    <definedName name="_Fill" hidden="1">#REF!</definedName>
    <definedName name="_xlnm._FilterDatabase" localSheetId="18" hidden="1">#REF!</definedName>
    <definedName name="_xlnm._FilterDatabase" localSheetId="21" hidden="1">#REF!</definedName>
    <definedName name="_xlnm._FilterDatabase" localSheetId="1" hidden="1">#REF!</definedName>
    <definedName name="_xlnm._FilterDatabase" localSheetId="0" hidden="1">#REF!</definedName>
    <definedName name="_xlnm._FilterDatabase" localSheetId="5" hidden="1">#REF!</definedName>
    <definedName name="_xlnm._FilterDatabase" localSheetId="6" hidden="1">#REF!</definedName>
    <definedName name="_xlnm._FilterDatabase" localSheetId="16" hidden="1">#REF!</definedName>
    <definedName name="_xlnm._FilterDatabase" localSheetId="7" hidden="1">#REF!</definedName>
    <definedName name="_xlnm._FilterDatabase" hidden="1">#REF!</definedName>
    <definedName name="_HAL1" localSheetId="18">#REF!</definedName>
    <definedName name="_HAL1" localSheetId="11">#REF!</definedName>
    <definedName name="_HAL1" localSheetId="10">#REF!</definedName>
    <definedName name="_HAL1" localSheetId="21">#REF!</definedName>
    <definedName name="_HAL1" localSheetId="12">#REF!</definedName>
    <definedName name="_HAL1" localSheetId="1">#REF!</definedName>
    <definedName name="_HAL1" localSheetId="0">#REF!</definedName>
    <definedName name="_HAL1" localSheetId="14">#REF!</definedName>
    <definedName name="_HAL1" localSheetId="5">#REF!</definedName>
    <definedName name="_HAL1" localSheetId="6">#REF!</definedName>
    <definedName name="_HAL1" localSheetId="16">#REF!</definedName>
    <definedName name="_HAL1" localSheetId="7">#REF!</definedName>
    <definedName name="_HAL1">#REF!</definedName>
    <definedName name="_HAL2" localSheetId="11">'[12]Kuantitas &amp; Harga'!#REF!</definedName>
    <definedName name="_HAL2" localSheetId="10">'[12]Kuantitas &amp; Harga'!#REF!</definedName>
    <definedName name="_HAL2" localSheetId="21">'[12]Kuantitas &amp; Harga'!#REF!</definedName>
    <definedName name="_HAL2" localSheetId="12">'[12]Kuantitas &amp; Harga'!#REF!</definedName>
    <definedName name="_HAL2" localSheetId="1">'[12]Kuantitas &amp; Harga'!#REF!</definedName>
    <definedName name="_HAL2" localSheetId="0">'[12]Kuantitas &amp; Harga'!#REF!</definedName>
    <definedName name="_HAL2" localSheetId="14">'[12]Kuantitas &amp; Harga'!#REF!</definedName>
    <definedName name="_HAL2" localSheetId="5">'[12]Kuantitas &amp; Harga'!#REF!</definedName>
    <definedName name="_HAL2" localSheetId="6">'[12]Kuantitas &amp; Harga'!#REF!</definedName>
    <definedName name="_HAL2" localSheetId="16">'[12]Kuantitas &amp; Harga'!#REF!</definedName>
    <definedName name="_HAL2" localSheetId="7">'[12]Kuantitas &amp; Harga'!#REF!</definedName>
    <definedName name="_HAL2">'[12]Kuantitas &amp; Harga'!#REF!</definedName>
    <definedName name="_HAL3" localSheetId="11">'[12]Kuantitas &amp; Harga'!#REF!</definedName>
    <definedName name="_HAL3" localSheetId="10">'[12]Kuantitas &amp; Harga'!#REF!</definedName>
    <definedName name="_HAL3" localSheetId="21">'[12]Kuantitas &amp; Harga'!#REF!</definedName>
    <definedName name="_HAL3" localSheetId="12">'[12]Kuantitas &amp; Harga'!#REF!</definedName>
    <definedName name="_HAL3" localSheetId="1">'[12]Kuantitas &amp; Harga'!#REF!</definedName>
    <definedName name="_HAL3" localSheetId="0">'[12]Kuantitas &amp; Harga'!#REF!</definedName>
    <definedName name="_HAL3" localSheetId="14">'[12]Kuantitas &amp; Harga'!#REF!</definedName>
    <definedName name="_HAL3" localSheetId="5">'[12]Kuantitas &amp; Harga'!#REF!</definedName>
    <definedName name="_HAL3" localSheetId="6">'[12]Kuantitas &amp; Harga'!#REF!</definedName>
    <definedName name="_HAL3" localSheetId="16">'[12]Kuantitas &amp; Harga'!#REF!</definedName>
    <definedName name="_HAL3" localSheetId="7">'[12]Kuantitas &amp; Harga'!#REF!</definedName>
    <definedName name="_HAL3">'[12]Kuantitas &amp; Harga'!#REF!</definedName>
    <definedName name="_HAL4" localSheetId="11">'[12]Kuantitas &amp; Harga'!#REF!</definedName>
    <definedName name="_HAL4" localSheetId="10">'[12]Kuantitas &amp; Harga'!#REF!</definedName>
    <definedName name="_HAL4" localSheetId="21">'[12]Kuantitas &amp; Harga'!#REF!</definedName>
    <definedName name="_HAL4" localSheetId="12">'[12]Kuantitas &amp; Harga'!#REF!</definedName>
    <definedName name="_HAL4" localSheetId="1">'[12]Kuantitas &amp; Harga'!#REF!</definedName>
    <definedName name="_HAL4" localSheetId="0">'[12]Kuantitas &amp; Harga'!#REF!</definedName>
    <definedName name="_HAL4" localSheetId="14">'[12]Kuantitas &amp; Harga'!#REF!</definedName>
    <definedName name="_HAL4" localSheetId="5">'[12]Kuantitas &amp; Harga'!#REF!</definedName>
    <definedName name="_HAL4" localSheetId="6">'[12]Kuantitas &amp; Harga'!#REF!</definedName>
    <definedName name="_HAL4" localSheetId="16">'[12]Kuantitas &amp; Harga'!#REF!</definedName>
    <definedName name="_HAL4" localSheetId="7">'[12]Kuantitas &amp; Harga'!#REF!</definedName>
    <definedName name="_HAL4">'[12]Kuantitas &amp; Harga'!#REF!</definedName>
    <definedName name="_HAL5" localSheetId="11">'[12]Kuantitas &amp; Harga'!#REF!</definedName>
    <definedName name="_HAL5" localSheetId="10">'[12]Kuantitas &amp; Harga'!#REF!</definedName>
    <definedName name="_HAL5" localSheetId="21">'[12]Kuantitas &amp; Harga'!#REF!</definedName>
    <definedName name="_HAL5" localSheetId="12">'[12]Kuantitas &amp; Harga'!#REF!</definedName>
    <definedName name="_HAL5" localSheetId="1">'[12]Kuantitas &amp; Harga'!#REF!</definedName>
    <definedName name="_HAL5" localSheetId="0">'[12]Kuantitas &amp; Harga'!#REF!</definedName>
    <definedName name="_HAL5" localSheetId="14">'[12]Kuantitas &amp; Harga'!#REF!</definedName>
    <definedName name="_HAL5" localSheetId="5">'[12]Kuantitas &amp; Harga'!#REF!</definedName>
    <definedName name="_HAL5" localSheetId="6">'[12]Kuantitas &amp; Harga'!#REF!</definedName>
    <definedName name="_HAL5" localSheetId="16">'[12]Kuantitas &amp; Harga'!#REF!</definedName>
    <definedName name="_HAL5" localSheetId="7">'[12]Kuantitas &amp; Harga'!#REF!</definedName>
    <definedName name="_HAL5">'[12]Kuantitas &amp; Harga'!#REF!</definedName>
    <definedName name="_HAL6" localSheetId="11">'[12]Kuantitas &amp; Harga'!#REF!</definedName>
    <definedName name="_HAL6" localSheetId="10">'[12]Kuantitas &amp; Harga'!#REF!</definedName>
    <definedName name="_HAL6" localSheetId="21">'[12]Kuantitas &amp; Harga'!#REF!</definedName>
    <definedName name="_HAL6" localSheetId="12">'[12]Kuantitas &amp; Harga'!#REF!</definedName>
    <definedName name="_HAL6" localSheetId="1">'[12]Kuantitas &amp; Harga'!#REF!</definedName>
    <definedName name="_HAL6" localSheetId="0">'[12]Kuantitas &amp; Harga'!#REF!</definedName>
    <definedName name="_HAL6" localSheetId="14">'[12]Kuantitas &amp; Harga'!#REF!</definedName>
    <definedName name="_HAL6" localSheetId="5">'[12]Kuantitas &amp; Harga'!#REF!</definedName>
    <definedName name="_HAL6" localSheetId="6">'[12]Kuantitas &amp; Harga'!#REF!</definedName>
    <definedName name="_HAL6" localSheetId="16">'[12]Kuantitas &amp; Harga'!#REF!</definedName>
    <definedName name="_HAL6" localSheetId="7">'[12]Kuantitas &amp; Harga'!#REF!</definedName>
    <definedName name="_HAL6">'[12]Kuantitas &amp; Harga'!#REF!</definedName>
    <definedName name="_HAL7" localSheetId="11">'[12]Kuantitas &amp; Harga'!#REF!</definedName>
    <definedName name="_HAL7" localSheetId="10">'[12]Kuantitas &amp; Harga'!#REF!</definedName>
    <definedName name="_HAL7" localSheetId="21">'[12]Kuantitas &amp; Harga'!#REF!</definedName>
    <definedName name="_HAL7" localSheetId="12">'[12]Kuantitas &amp; Harga'!#REF!</definedName>
    <definedName name="_HAL7" localSheetId="1">'[12]Kuantitas &amp; Harga'!#REF!</definedName>
    <definedName name="_HAL7" localSheetId="0">'[12]Kuantitas &amp; Harga'!#REF!</definedName>
    <definedName name="_HAL7" localSheetId="14">'[12]Kuantitas &amp; Harga'!#REF!</definedName>
    <definedName name="_HAL7" localSheetId="5">'[12]Kuantitas &amp; Harga'!#REF!</definedName>
    <definedName name="_HAL7" localSheetId="6">'[12]Kuantitas &amp; Harga'!#REF!</definedName>
    <definedName name="_HAL7" localSheetId="16">'[12]Kuantitas &amp; Harga'!#REF!</definedName>
    <definedName name="_HAL7" localSheetId="7">'[12]Kuantitas &amp; Harga'!#REF!</definedName>
    <definedName name="_HAL7">'[12]Kuantitas &amp; Harga'!#REF!</definedName>
    <definedName name="_HAL8" localSheetId="18">#REF!</definedName>
    <definedName name="_HAL8" localSheetId="11">#REF!</definedName>
    <definedName name="_HAL8" localSheetId="10">#REF!</definedName>
    <definedName name="_HAL8" localSheetId="21">#REF!</definedName>
    <definedName name="_HAL8" localSheetId="12">#REF!</definedName>
    <definedName name="_HAL8" localSheetId="1">#REF!</definedName>
    <definedName name="_HAL8" localSheetId="0">#REF!</definedName>
    <definedName name="_HAL8" localSheetId="14">#REF!</definedName>
    <definedName name="_HAL8" localSheetId="5">#REF!</definedName>
    <definedName name="_HAL8" localSheetId="6">#REF!</definedName>
    <definedName name="_HAL8" localSheetId="16">#REF!</definedName>
    <definedName name="_HAL8" localSheetId="7">#REF!</definedName>
    <definedName name="_HAL8">#REF!</definedName>
    <definedName name="_Ibr1" localSheetId="18">#REF!</definedName>
    <definedName name="_Ibr1" localSheetId="11">#REF!</definedName>
    <definedName name="_Ibr1" localSheetId="10">#REF!</definedName>
    <definedName name="_Ibr1" localSheetId="21">#REF!</definedName>
    <definedName name="_Ibr1" localSheetId="12">#REF!</definedName>
    <definedName name="_Ibr1" localSheetId="1">#REF!</definedName>
    <definedName name="_Ibr1" localSheetId="0">#REF!</definedName>
    <definedName name="_Ibr1" localSheetId="14">#REF!</definedName>
    <definedName name="_Ibr1" localSheetId="5">#REF!</definedName>
    <definedName name="_Ibr1" localSheetId="6">#REF!</definedName>
    <definedName name="_Ibr1" localSheetId="16">#REF!</definedName>
    <definedName name="_Ibr1" localSheetId="7">#REF!</definedName>
    <definedName name="_Ibr1">#REF!</definedName>
    <definedName name="_KL12">[5]alat!$AW$18</definedName>
    <definedName name="_Kom1">'[14]Analisa AB'!$X$112</definedName>
    <definedName name="_Kom2">'[14]Analisa AB'!$X$113</definedName>
    <definedName name="_kon2" localSheetId="21">'[15]R-MP2-98'!#REF!</definedName>
    <definedName name="_kon2" localSheetId="1">'[15]R-MP2-98'!#REF!</definedName>
    <definedName name="_kon2" localSheetId="0">'[15]R-MP2-98'!#REF!</definedName>
    <definedName name="_kon2" localSheetId="5">'[15]R-MP2-98'!#REF!</definedName>
    <definedName name="_kon2" localSheetId="6">'[15]R-MP2-98'!#REF!</definedName>
    <definedName name="_kon2" localSheetId="16">'[15]R-MP2-98'!#REF!</definedName>
    <definedName name="_kon2" localSheetId="7">'[15]R-MP2-98'!#REF!</definedName>
    <definedName name="_kon2">'[15]R-MP2-98'!#REF!</definedName>
    <definedName name="_kon3" localSheetId="21">'[15]R-MP2-98'!#REF!</definedName>
    <definedName name="_kon3" localSheetId="1">'[15]R-MP2-98'!#REF!</definedName>
    <definedName name="_kon3" localSheetId="0">'[15]R-MP2-98'!#REF!</definedName>
    <definedName name="_kon3" localSheetId="5">'[15]R-MP2-98'!#REF!</definedName>
    <definedName name="_kon3" localSheetId="6">'[15]R-MP2-98'!#REF!</definedName>
    <definedName name="_kon3" localSheetId="16">'[15]R-MP2-98'!#REF!</definedName>
    <definedName name="_kon3" localSheetId="7">'[15]R-MP2-98'!#REF!</definedName>
    <definedName name="_kon3">'[15]R-MP2-98'!#REF!</definedName>
    <definedName name="_kon4" localSheetId="21">'[15]R-MP2-98'!#REF!</definedName>
    <definedName name="_kon4" localSheetId="1">'[15]R-MP2-98'!#REF!</definedName>
    <definedName name="_kon4" localSheetId="0">'[15]R-MP2-98'!#REF!</definedName>
    <definedName name="_kon4" localSheetId="5">'[15]R-MP2-98'!#REF!</definedName>
    <definedName name="_kon4" localSheetId="6">'[15]R-MP2-98'!#REF!</definedName>
    <definedName name="_kon4" localSheetId="16">'[15]R-MP2-98'!#REF!</definedName>
    <definedName name="_kon4" localSheetId="7">'[15]R-MP2-98'!#REF!</definedName>
    <definedName name="_kon4">'[15]R-MP2-98'!#REF!</definedName>
    <definedName name="_kon5" localSheetId="21">'[16]R-MP'!#REF!</definedName>
    <definedName name="_kon5" localSheetId="1">'[16]R-MP'!#REF!</definedName>
    <definedName name="_kon5" localSheetId="0">'[16]R-MP'!#REF!</definedName>
    <definedName name="_kon5" localSheetId="5">'[16]R-MP'!#REF!</definedName>
    <definedName name="_kon5" localSheetId="6">'[16]R-MP'!#REF!</definedName>
    <definedName name="_kon5" localSheetId="16">'[16]R-MP'!#REF!</definedName>
    <definedName name="_kon5" localSheetId="7">'[16]R-MP'!#REF!</definedName>
    <definedName name="_kon5">'[16]R-MP'!#REF!</definedName>
    <definedName name="_LLL01" localSheetId="18">#REF!</definedName>
    <definedName name="_LLL01" localSheetId="10">#REF!</definedName>
    <definedName name="_LLL01" localSheetId="21">#REF!</definedName>
    <definedName name="_LLL01" localSheetId="1">#REF!</definedName>
    <definedName name="_LLL01" localSheetId="0">#REF!</definedName>
    <definedName name="_LLL01" localSheetId="5">#REF!</definedName>
    <definedName name="_LLL01" localSheetId="6">#REF!</definedName>
    <definedName name="_LLL01" localSheetId="16">#REF!</definedName>
    <definedName name="_LLL01" localSheetId="7">#REF!</definedName>
    <definedName name="_LLL01">#REF!</definedName>
    <definedName name="_LLL02" localSheetId="18">#REF!</definedName>
    <definedName name="_LLL02" localSheetId="10">#REF!</definedName>
    <definedName name="_LLL02" localSheetId="21">#REF!</definedName>
    <definedName name="_LLL02" localSheetId="1">#REF!</definedName>
    <definedName name="_LLL02" localSheetId="0">#REF!</definedName>
    <definedName name="_LLL02" localSheetId="5">#REF!</definedName>
    <definedName name="_LLL02" localSheetId="6">#REF!</definedName>
    <definedName name="_LLL02" localSheetId="16">#REF!</definedName>
    <definedName name="_LLL02" localSheetId="7">#REF!</definedName>
    <definedName name="_LLL02">#REF!</definedName>
    <definedName name="_LLL03" localSheetId="18">#REF!</definedName>
    <definedName name="_LLL03" localSheetId="10">#REF!</definedName>
    <definedName name="_LLL03" localSheetId="21">#REF!</definedName>
    <definedName name="_LLL03" localSheetId="1">#REF!</definedName>
    <definedName name="_LLL03" localSheetId="0">#REF!</definedName>
    <definedName name="_LLL03" localSheetId="5">#REF!</definedName>
    <definedName name="_LLL03" localSheetId="6">#REF!</definedName>
    <definedName name="_LLL03" localSheetId="16">#REF!</definedName>
    <definedName name="_LLL03" localSheetId="7">#REF!</definedName>
    <definedName name="_LLL03">#REF!</definedName>
    <definedName name="_LLL04" localSheetId="18">#REF!</definedName>
    <definedName name="_LLL04" localSheetId="10">#REF!</definedName>
    <definedName name="_LLL04" localSheetId="21">#REF!</definedName>
    <definedName name="_LLL04" localSheetId="1">#REF!</definedName>
    <definedName name="_LLL04" localSheetId="0">#REF!</definedName>
    <definedName name="_LLL04" localSheetId="5">#REF!</definedName>
    <definedName name="_LLL04" localSheetId="6">#REF!</definedName>
    <definedName name="_LLL04" localSheetId="16">#REF!</definedName>
    <definedName name="_LLL04" localSheetId="7">#REF!</definedName>
    <definedName name="_LLL04">#REF!</definedName>
    <definedName name="_LLL05" localSheetId="18">#REF!</definedName>
    <definedName name="_LLL05" localSheetId="10">#REF!</definedName>
    <definedName name="_LLL05" localSheetId="21">#REF!</definedName>
    <definedName name="_LLL05" localSheetId="1">#REF!</definedName>
    <definedName name="_LLL05" localSheetId="0">#REF!</definedName>
    <definedName name="_LLL05" localSheetId="5">#REF!</definedName>
    <definedName name="_LLL05" localSheetId="6">#REF!</definedName>
    <definedName name="_LLL05" localSheetId="16">#REF!</definedName>
    <definedName name="_LLL05" localSheetId="7">#REF!</definedName>
    <definedName name="_LLL05">#REF!</definedName>
    <definedName name="_LLL06" localSheetId="18">#REF!</definedName>
    <definedName name="_LLL06" localSheetId="10">#REF!</definedName>
    <definedName name="_LLL06" localSheetId="21">#REF!</definedName>
    <definedName name="_LLL06" localSheetId="1">#REF!</definedName>
    <definedName name="_LLL06" localSheetId="0">#REF!</definedName>
    <definedName name="_LLL06" localSheetId="5">#REF!</definedName>
    <definedName name="_LLL06" localSheetId="6">#REF!</definedName>
    <definedName name="_LLL06" localSheetId="16">#REF!</definedName>
    <definedName name="_LLL06" localSheetId="7">#REF!</definedName>
    <definedName name="_LLL06">#REF!</definedName>
    <definedName name="_LLL07" localSheetId="18">#REF!</definedName>
    <definedName name="_LLL07" localSheetId="10">#REF!</definedName>
    <definedName name="_LLL07" localSheetId="21">#REF!</definedName>
    <definedName name="_LLL07" localSheetId="1">#REF!</definedName>
    <definedName name="_LLL07" localSheetId="0">#REF!</definedName>
    <definedName name="_LLL07" localSheetId="5">#REF!</definedName>
    <definedName name="_LLL07" localSheetId="6">#REF!</definedName>
    <definedName name="_LLL07" localSheetId="16">#REF!</definedName>
    <definedName name="_LLL07" localSheetId="7">#REF!</definedName>
    <definedName name="_LLL07">#REF!</definedName>
    <definedName name="_LLL08" localSheetId="18">#REF!</definedName>
    <definedName name="_LLL08" localSheetId="10">#REF!</definedName>
    <definedName name="_LLL08" localSheetId="21">#REF!</definedName>
    <definedName name="_LLL08" localSheetId="1">#REF!</definedName>
    <definedName name="_LLL08" localSheetId="0">#REF!</definedName>
    <definedName name="_LLL08" localSheetId="5">#REF!</definedName>
    <definedName name="_LLL08" localSheetId="6">#REF!</definedName>
    <definedName name="_LLL08" localSheetId="16">#REF!</definedName>
    <definedName name="_LLL08" localSheetId="7">#REF!</definedName>
    <definedName name="_LLL08">#REF!</definedName>
    <definedName name="_LLL09" localSheetId="18">#REF!</definedName>
    <definedName name="_LLL09" localSheetId="10">#REF!</definedName>
    <definedName name="_LLL09" localSheetId="21">#REF!</definedName>
    <definedName name="_LLL09" localSheetId="1">#REF!</definedName>
    <definedName name="_LLL09" localSheetId="0">#REF!</definedName>
    <definedName name="_LLL09" localSheetId="5">#REF!</definedName>
    <definedName name="_LLL09" localSheetId="6">#REF!</definedName>
    <definedName name="_LLL09" localSheetId="16">#REF!</definedName>
    <definedName name="_LLL09" localSheetId="7">#REF!</definedName>
    <definedName name="_LLL09">#REF!</definedName>
    <definedName name="_LLL10" localSheetId="18">#REF!</definedName>
    <definedName name="_LLL10" localSheetId="10">#REF!</definedName>
    <definedName name="_LLL10" localSheetId="21">#REF!</definedName>
    <definedName name="_LLL10" localSheetId="1">#REF!</definedName>
    <definedName name="_LLL10" localSheetId="0">#REF!</definedName>
    <definedName name="_LLL10" localSheetId="5">#REF!</definedName>
    <definedName name="_LLL10" localSheetId="6">#REF!</definedName>
    <definedName name="_LLL10" localSheetId="16">#REF!</definedName>
    <definedName name="_LLL10" localSheetId="7">#REF!</definedName>
    <definedName name="_LLL10">#REF!</definedName>
    <definedName name="_LLL11" localSheetId="18">#REF!</definedName>
    <definedName name="_LLL11" localSheetId="10">#REF!</definedName>
    <definedName name="_LLL11" localSheetId="21">#REF!</definedName>
    <definedName name="_LLL11" localSheetId="1">#REF!</definedName>
    <definedName name="_LLL11" localSheetId="0">#REF!</definedName>
    <definedName name="_LLL11" localSheetId="5">#REF!</definedName>
    <definedName name="_LLL11" localSheetId="6">#REF!</definedName>
    <definedName name="_LLL11" localSheetId="16">#REF!</definedName>
    <definedName name="_LLL11" localSheetId="7">#REF!</definedName>
    <definedName name="_LLL11">#REF!</definedName>
    <definedName name="_lmb1" localSheetId="18">#REF!</definedName>
    <definedName name="_lmb1" localSheetId="11">#REF!</definedName>
    <definedName name="_lmb1" localSheetId="10">#REF!</definedName>
    <definedName name="_lmb1" localSheetId="21">#REF!</definedName>
    <definedName name="_lmb1" localSheetId="12">#REF!</definedName>
    <definedName name="_lmb1" localSheetId="1">#REF!</definedName>
    <definedName name="_lmb1" localSheetId="0">#REF!</definedName>
    <definedName name="_lmb1" localSheetId="14">#REF!</definedName>
    <definedName name="_lmb1" localSheetId="5">#REF!</definedName>
    <definedName name="_lmb1" localSheetId="6">#REF!</definedName>
    <definedName name="_lmb1" localSheetId="16">#REF!</definedName>
    <definedName name="_lmb1" localSheetId="7">#REF!</definedName>
    <definedName name="_lmb1">#REF!</definedName>
    <definedName name="_MA18">'[17]ANALISA (2)'!$Q$1336</definedName>
    <definedName name="_MDE01" localSheetId="21">#REF!</definedName>
    <definedName name="_MDE01" localSheetId="1">#REF!</definedName>
    <definedName name="_MDE01" localSheetId="0">#REF!</definedName>
    <definedName name="_MDE01" localSheetId="5">#REF!</definedName>
    <definedName name="_MDE01" localSheetId="6">#REF!</definedName>
    <definedName name="_MDE01" localSheetId="16">#REF!</definedName>
    <definedName name="_MDE01" localSheetId="7">#REF!</definedName>
    <definedName name="_MDE01">#REF!</definedName>
    <definedName name="_MDE02" localSheetId="21">#REF!</definedName>
    <definedName name="_MDE02" localSheetId="1">#REF!</definedName>
    <definedName name="_MDE02" localSheetId="0">#REF!</definedName>
    <definedName name="_MDE02" localSheetId="5">#REF!</definedName>
    <definedName name="_MDE02" localSheetId="6">#REF!</definedName>
    <definedName name="_MDE02" localSheetId="16">#REF!</definedName>
    <definedName name="_MDE02" localSheetId="7">#REF!</definedName>
    <definedName name="_MDE02">#REF!</definedName>
    <definedName name="_MDE03" localSheetId="21">#REF!</definedName>
    <definedName name="_MDE03" localSheetId="1">#REF!</definedName>
    <definedName name="_MDE03" localSheetId="0">#REF!</definedName>
    <definedName name="_MDE03" localSheetId="5">#REF!</definedName>
    <definedName name="_MDE03" localSheetId="6">#REF!</definedName>
    <definedName name="_MDE03" localSheetId="16">#REF!</definedName>
    <definedName name="_MDE03" localSheetId="7">#REF!</definedName>
    <definedName name="_MDE03">#REF!</definedName>
    <definedName name="_MDE04" localSheetId="21">#REF!</definedName>
    <definedName name="_MDE04" localSheetId="1">#REF!</definedName>
    <definedName name="_MDE04" localSheetId="0">#REF!</definedName>
    <definedName name="_MDE04" localSheetId="5">#REF!</definedName>
    <definedName name="_MDE04" localSheetId="6">#REF!</definedName>
    <definedName name="_MDE04" localSheetId="16">#REF!</definedName>
    <definedName name="_MDE04" localSheetId="7">#REF!</definedName>
    <definedName name="_MDE04">#REF!</definedName>
    <definedName name="_MDE05" localSheetId="21">#REF!</definedName>
    <definedName name="_MDE05" localSheetId="1">#REF!</definedName>
    <definedName name="_MDE05" localSheetId="0">#REF!</definedName>
    <definedName name="_MDE05" localSheetId="5">#REF!</definedName>
    <definedName name="_MDE05" localSheetId="6">#REF!</definedName>
    <definedName name="_MDE05" localSheetId="16">#REF!</definedName>
    <definedName name="_MDE05" localSheetId="7">#REF!</definedName>
    <definedName name="_MDE05">#REF!</definedName>
    <definedName name="_MDE06" localSheetId="21">#REF!</definedName>
    <definedName name="_MDE06" localSheetId="1">#REF!</definedName>
    <definedName name="_MDE06" localSheetId="0">#REF!</definedName>
    <definedName name="_MDE06" localSheetId="5">#REF!</definedName>
    <definedName name="_MDE06" localSheetId="6">#REF!</definedName>
    <definedName name="_MDE06" localSheetId="16">#REF!</definedName>
    <definedName name="_MDE06" localSheetId="7">#REF!</definedName>
    <definedName name="_MDE06">#REF!</definedName>
    <definedName name="_MDE07" localSheetId="21">#REF!</definedName>
    <definedName name="_MDE07" localSheetId="1">#REF!</definedName>
    <definedName name="_MDE07" localSheetId="0">#REF!</definedName>
    <definedName name="_MDE07" localSheetId="5">#REF!</definedName>
    <definedName name="_MDE07" localSheetId="6">#REF!</definedName>
    <definedName name="_MDE07" localSheetId="16">#REF!</definedName>
    <definedName name="_MDE07" localSheetId="7">#REF!</definedName>
    <definedName name="_MDE07">#REF!</definedName>
    <definedName name="_MDE08" localSheetId="21">#REF!</definedName>
    <definedName name="_MDE08" localSheetId="1">#REF!</definedName>
    <definedName name="_MDE08" localSheetId="0">#REF!</definedName>
    <definedName name="_MDE08" localSheetId="5">#REF!</definedName>
    <definedName name="_MDE08" localSheetId="6">#REF!</definedName>
    <definedName name="_MDE08" localSheetId="16">#REF!</definedName>
    <definedName name="_MDE08" localSheetId="7">#REF!</definedName>
    <definedName name="_MDE08">#REF!</definedName>
    <definedName name="_MDE09" localSheetId="21">#REF!</definedName>
    <definedName name="_MDE09" localSheetId="1">#REF!</definedName>
    <definedName name="_MDE09" localSheetId="0">#REF!</definedName>
    <definedName name="_MDE09" localSheetId="5">#REF!</definedName>
    <definedName name="_MDE09" localSheetId="6">#REF!</definedName>
    <definedName name="_MDE09" localSheetId="16">#REF!</definedName>
    <definedName name="_MDE09" localSheetId="7">#REF!</definedName>
    <definedName name="_MDE09">#REF!</definedName>
    <definedName name="_MDE10" localSheetId="21">#REF!</definedName>
    <definedName name="_MDE10" localSheetId="1">#REF!</definedName>
    <definedName name="_MDE10" localSheetId="0">#REF!</definedName>
    <definedName name="_MDE10" localSheetId="5">#REF!</definedName>
    <definedName name="_MDE10" localSheetId="6">#REF!</definedName>
    <definedName name="_MDE10" localSheetId="16">#REF!</definedName>
    <definedName name="_MDE10" localSheetId="7">#REF!</definedName>
    <definedName name="_MDE10">#REF!</definedName>
    <definedName name="_MDE11" localSheetId="21">#REF!</definedName>
    <definedName name="_MDE11" localSheetId="1">#REF!</definedName>
    <definedName name="_MDE11" localSheetId="0">#REF!</definedName>
    <definedName name="_MDE11" localSheetId="5">#REF!</definedName>
    <definedName name="_MDE11" localSheetId="6">#REF!</definedName>
    <definedName name="_MDE11" localSheetId="16">#REF!</definedName>
    <definedName name="_MDE11" localSheetId="7">#REF!</definedName>
    <definedName name="_MDE11">#REF!</definedName>
    <definedName name="_MDE12" localSheetId="21">#REF!</definedName>
    <definedName name="_MDE12" localSheetId="1">#REF!</definedName>
    <definedName name="_MDE12" localSheetId="0">#REF!</definedName>
    <definedName name="_MDE12" localSheetId="5">#REF!</definedName>
    <definedName name="_MDE12" localSheetId="6">#REF!</definedName>
    <definedName name="_MDE12" localSheetId="16">#REF!</definedName>
    <definedName name="_MDE12" localSheetId="7">#REF!</definedName>
    <definedName name="_MDE12">#REF!</definedName>
    <definedName name="_MDE13" localSheetId="21">#REF!</definedName>
    <definedName name="_MDE13" localSheetId="1">#REF!</definedName>
    <definedName name="_MDE13" localSheetId="0">#REF!</definedName>
    <definedName name="_MDE13" localSheetId="5">#REF!</definedName>
    <definedName name="_MDE13" localSheetId="6">#REF!</definedName>
    <definedName name="_MDE13" localSheetId="16">#REF!</definedName>
    <definedName name="_MDE13" localSheetId="7">#REF!</definedName>
    <definedName name="_MDE13">#REF!</definedName>
    <definedName name="_MDE14" localSheetId="21">#REF!</definedName>
    <definedName name="_MDE14" localSheetId="1">#REF!</definedName>
    <definedName name="_MDE14" localSheetId="0">#REF!</definedName>
    <definedName name="_MDE14" localSheetId="5">#REF!</definedName>
    <definedName name="_MDE14" localSheetId="6">#REF!</definedName>
    <definedName name="_MDE14" localSheetId="16">#REF!</definedName>
    <definedName name="_MDE14" localSheetId="7">#REF!</definedName>
    <definedName name="_MDE14">#REF!</definedName>
    <definedName name="_MDE15" localSheetId="21">#REF!</definedName>
    <definedName name="_MDE15" localSheetId="1">#REF!</definedName>
    <definedName name="_MDE15" localSheetId="0">#REF!</definedName>
    <definedName name="_MDE15" localSheetId="5">#REF!</definedName>
    <definedName name="_MDE15" localSheetId="6">#REF!</definedName>
    <definedName name="_MDE15" localSheetId="16">#REF!</definedName>
    <definedName name="_MDE15" localSheetId="7">#REF!</definedName>
    <definedName name="_MDE15">#REF!</definedName>
    <definedName name="_MDE16" localSheetId="21">#REF!</definedName>
    <definedName name="_MDE16" localSheetId="1">#REF!</definedName>
    <definedName name="_MDE16" localSheetId="0">#REF!</definedName>
    <definedName name="_MDE16" localSheetId="5">#REF!</definedName>
    <definedName name="_MDE16" localSheetId="6">#REF!</definedName>
    <definedName name="_MDE16" localSheetId="16">#REF!</definedName>
    <definedName name="_MDE16" localSheetId="7">#REF!</definedName>
    <definedName name="_MDE16">#REF!</definedName>
    <definedName name="_MDE17" localSheetId="21">#REF!</definedName>
    <definedName name="_MDE17" localSheetId="1">#REF!</definedName>
    <definedName name="_MDE17" localSheetId="0">#REF!</definedName>
    <definedName name="_MDE17" localSheetId="5">#REF!</definedName>
    <definedName name="_MDE17" localSheetId="6">#REF!</definedName>
    <definedName name="_MDE17" localSheetId="16">#REF!</definedName>
    <definedName name="_MDE17" localSheetId="7">#REF!</definedName>
    <definedName name="_MDE17">#REF!</definedName>
    <definedName name="_MDE18" localSheetId="21">#REF!</definedName>
    <definedName name="_MDE18" localSheetId="1">#REF!</definedName>
    <definedName name="_MDE18" localSheetId="0">#REF!</definedName>
    <definedName name="_MDE18" localSheetId="5">#REF!</definedName>
    <definedName name="_MDE18" localSheetId="6">#REF!</definedName>
    <definedName name="_MDE18" localSheetId="16">#REF!</definedName>
    <definedName name="_MDE18" localSheetId="7">#REF!</definedName>
    <definedName name="_MDE18">#REF!</definedName>
    <definedName name="_MDE19" localSheetId="21">#REF!</definedName>
    <definedName name="_MDE19" localSheetId="1">#REF!</definedName>
    <definedName name="_MDE19" localSheetId="0">#REF!</definedName>
    <definedName name="_MDE19" localSheetId="5">#REF!</definedName>
    <definedName name="_MDE19" localSheetId="6">#REF!</definedName>
    <definedName name="_MDE19" localSheetId="16">#REF!</definedName>
    <definedName name="_MDE19" localSheetId="7">#REF!</definedName>
    <definedName name="_MDE19">#REF!</definedName>
    <definedName name="_MDE20" localSheetId="21">#REF!</definedName>
    <definedName name="_MDE20" localSheetId="1">#REF!</definedName>
    <definedName name="_MDE20" localSheetId="0">#REF!</definedName>
    <definedName name="_MDE20" localSheetId="5">#REF!</definedName>
    <definedName name="_MDE20" localSheetId="6">#REF!</definedName>
    <definedName name="_MDE20" localSheetId="16">#REF!</definedName>
    <definedName name="_MDE20" localSheetId="7">#REF!</definedName>
    <definedName name="_MDE20">#REF!</definedName>
    <definedName name="_MDE21" localSheetId="21">#REF!</definedName>
    <definedName name="_MDE21" localSheetId="1">#REF!</definedName>
    <definedName name="_MDE21" localSheetId="0">#REF!</definedName>
    <definedName name="_MDE21" localSheetId="5">#REF!</definedName>
    <definedName name="_MDE21" localSheetId="6">#REF!</definedName>
    <definedName name="_MDE21" localSheetId="16">#REF!</definedName>
    <definedName name="_MDE21" localSheetId="7">#REF!</definedName>
    <definedName name="_MDE21">#REF!</definedName>
    <definedName name="_MDE22" localSheetId="21">#REF!</definedName>
    <definedName name="_MDE22" localSheetId="1">#REF!</definedName>
    <definedName name="_MDE22" localSheetId="0">#REF!</definedName>
    <definedName name="_MDE22" localSheetId="5">#REF!</definedName>
    <definedName name="_MDE22" localSheetId="6">#REF!</definedName>
    <definedName name="_MDE22" localSheetId="16">#REF!</definedName>
    <definedName name="_MDE22" localSheetId="7">#REF!</definedName>
    <definedName name="_MDE22">#REF!</definedName>
    <definedName name="_MDE23" localSheetId="21">#REF!</definedName>
    <definedName name="_MDE23" localSheetId="1">#REF!</definedName>
    <definedName name="_MDE23" localSheetId="0">#REF!</definedName>
    <definedName name="_MDE23" localSheetId="5">#REF!</definedName>
    <definedName name="_MDE23" localSheetId="6">#REF!</definedName>
    <definedName name="_MDE23" localSheetId="16">#REF!</definedName>
    <definedName name="_MDE23" localSheetId="7">#REF!</definedName>
    <definedName name="_MDE23">#REF!</definedName>
    <definedName name="_MDE24" localSheetId="21">#REF!</definedName>
    <definedName name="_MDE24" localSheetId="1">#REF!</definedName>
    <definedName name="_MDE24" localSheetId="0">#REF!</definedName>
    <definedName name="_MDE24" localSheetId="5">#REF!</definedName>
    <definedName name="_MDE24" localSheetId="6">#REF!</definedName>
    <definedName name="_MDE24" localSheetId="16">#REF!</definedName>
    <definedName name="_MDE24" localSheetId="7">#REF!</definedName>
    <definedName name="_MDE24">#REF!</definedName>
    <definedName name="_MDE25" localSheetId="21">#REF!</definedName>
    <definedName name="_MDE25" localSheetId="1">#REF!</definedName>
    <definedName name="_MDE25" localSheetId="0">#REF!</definedName>
    <definedName name="_MDE25" localSheetId="5">#REF!</definedName>
    <definedName name="_MDE25" localSheetId="6">#REF!</definedName>
    <definedName name="_MDE25" localSheetId="16">#REF!</definedName>
    <definedName name="_MDE25" localSheetId="7">#REF!</definedName>
    <definedName name="_MDE25">#REF!</definedName>
    <definedName name="_MDE26" localSheetId="21">#REF!</definedName>
    <definedName name="_MDE26" localSheetId="1">#REF!</definedName>
    <definedName name="_MDE26" localSheetId="0">#REF!</definedName>
    <definedName name="_MDE26" localSheetId="5">#REF!</definedName>
    <definedName name="_MDE26" localSheetId="6">#REF!</definedName>
    <definedName name="_MDE26" localSheetId="16">#REF!</definedName>
    <definedName name="_MDE26" localSheetId="7">#REF!</definedName>
    <definedName name="_MDE26">#REF!</definedName>
    <definedName name="_MDE27" localSheetId="21">#REF!</definedName>
    <definedName name="_MDE27" localSheetId="1">#REF!</definedName>
    <definedName name="_MDE27" localSheetId="0">#REF!</definedName>
    <definedName name="_MDE27" localSheetId="5">#REF!</definedName>
    <definedName name="_MDE27" localSheetId="6">#REF!</definedName>
    <definedName name="_MDE27" localSheetId="16">#REF!</definedName>
    <definedName name="_MDE27" localSheetId="7">#REF!</definedName>
    <definedName name="_MDE27">#REF!</definedName>
    <definedName name="_MDE28" localSheetId="21">#REF!</definedName>
    <definedName name="_MDE28" localSheetId="1">#REF!</definedName>
    <definedName name="_MDE28" localSheetId="0">#REF!</definedName>
    <definedName name="_MDE28" localSheetId="5">#REF!</definedName>
    <definedName name="_MDE28" localSheetId="6">#REF!</definedName>
    <definedName name="_MDE28" localSheetId="16">#REF!</definedName>
    <definedName name="_MDE28" localSheetId="7">#REF!</definedName>
    <definedName name="_MDE28">#REF!</definedName>
    <definedName name="_MDE29" localSheetId="21">#REF!</definedName>
    <definedName name="_MDE29" localSheetId="1">#REF!</definedName>
    <definedName name="_MDE29" localSheetId="0">#REF!</definedName>
    <definedName name="_MDE29" localSheetId="5">#REF!</definedName>
    <definedName name="_MDE29" localSheetId="6">#REF!</definedName>
    <definedName name="_MDE29" localSheetId="16">#REF!</definedName>
    <definedName name="_MDE29" localSheetId="7">#REF!</definedName>
    <definedName name="_MDE29">#REF!</definedName>
    <definedName name="_MDE30" localSheetId="21">#REF!</definedName>
    <definedName name="_MDE30" localSheetId="1">#REF!</definedName>
    <definedName name="_MDE30" localSheetId="0">#REF!</definedName>
    <definedName name="_MDE30" localSheetId="5">#REF!</definedName>
    <definedName name="_MDE30" localSheetId="6">#REF!</definedName>
    <definedName name="_MDE30" localSheetId="16">#REF!</definedName>
    <definedName name="_MDE30" localSheetId="7">#REF!</definedName>
    <definedName name="_MDE30">#REF!</definedName>
    <definedName name="_MDE31" localSheetId="21">#REF!</definedName>
    <definedName name="_MDE31" localSheetId="1">#REF!</definedName>
    <definedName name="_MDE31" localSheetId="0">#REF!</definedName>
    <definedName name="_MDE31" localSheetId="5">#REF!</definedName>
    <definedName name="_MDE31" localSheetId="6">#REF!</definedName>
    <definedName name="_MDE31" localSheetId="16">#REF!</definedName>
    <definedName name="_MDE31" localSheetId="7">#REF!</definedName>
    <definedName name="_MDE31">#REF!</definedName>
    <definedName name="_MDE32" localSheetId="21">#REF!</definedName>
    <definedName name="_MDE32" localSheetId="1">#REF!</definedName>
    <definedName name="_MDE32" localSheetId="0">#REF!</definedName>
    <definedName name="_MDE32" localSheetId="5">#REF!</definedName>
    <definedName name="_MDE32" localSheetId="6">#REF!</definedName>
    <definedName name="_MDE32" localSheetId="16">#REF!</definedName>
    <definedName name="_MDE32" localSheetId="7">#REF!</definedName>
    <definedName name="_MDE32">#REF!</definedName>
    <definedName name="_MDE33" localSheetId="21">#REF!</definedName>
    <definedName name="_MDE33" localSheetId="1">#REF!</definedName>
    <definedName name="_MDE33" localSheetId="0">#REF!</definedName>
    <definedName name="_MDE33" localSheetId="5">#REF!</definedName>
    <definedName name="_MDE33" localSheetId="6">#REF!</definedName>
    <definedName name="_MDE33" localSheetId="16">#REF!</definedName>
    <definedName name="_MDE33" localSheetId="7">#REF!</definedName>
    <definedName name="_MDE33">#REF!</definedName>
    <definedName name="_MDE34" localSheetId="21">#REF!</definedName>
    <definedName name="_MDE34" localSheetId="1">#REF!</definedName>
    <definedName name="_MDE34" localSheetId="0">#REF!</definedName>
    <definedName name="_MDE34" localSheetId="5">#REF!</definedName>
    <definedName name="_MDE34" localSheetId="6">#REF!</definedName>
    <definedName name="_MDE34" localSheetId="16">#REF!</definedName>
    <definedName name="_MDE34" localSheetId="7">#REF!</definedName>
    <definedName name="_MDE34">#REF!</definedName>
    <definedName name="_MDE35" localSheetId="21">#REF!</definedName>
    <definedName name="_MDE35" localSheetId="1">#REF!</definedName>
    <definedName name="_MDE35" localSheetId="0">#REF!</definedName>
    <definedName name="_MDE35" localSheetId="5">#REF!</definedName>
    <definedName name="_MDE35" localSheetId="6">#REF!</definedName>
    <definedName name="_MDE35" localSheetId="16">#REF!</definedName>
    <definedName name="_MDE35" localSheetId="7">#REF!</definedName>
    <definedName name="_MDE35">#REF!</definedName>
    <definedName name="_MDE36" localSheetId="21">#REF!</definedName>
    <definedName name="_MDE36" localSheetId="1">#REF!</definedName>
    <definedName name="_MDE36" localSheetId="0">#REF!</definedName>
    <definedName name="_MDE36" localSheetId="5">#REF!</definedName>
    <definedName name="_MDE36" localSheetId="6">#REF!</definedName>
    <definedName name="_MDE36" localSheetId="16">#REF!</definedName>
    <definedName name="_MDE36" localSheetId="7">#REF!</definedName>
    <definedName name="_MDE36">#REF!</definedName>
    <definedName name="_MDE37" localSheetId="21">#REF!</definedName>
    <definedName name="_MDE37" localSheetId="1">#REF!</definedName>
    <definedName name="_MDE37" localSheetId="0">#REF!</definedName>
    <definedName name="_MDE37" localSheetId="5">#REF!</definedName>
    <definedName name="_MDE37" localSheetId="6">#REF!</definedName>
    <definedName name="_MDE37" localSheetId="16">#REF!</definedName>
    <definedName name="_MDE37" localSheetId="7">#REF!</definedName>
    <definedName name="_MDE37">#REF!</definedName>
    <definedName name="_MDE38" localSheetId="21">#REF!</definedName>
    <definedName name="_MDE38" localSheetId="1">#REF!</definedName>
    <definedName name="_MDE38" localSheetId="0">#REF!</definedName>
    <definedName name="_MDE38" localSheetId="5">#REF!</definedName>
    <definedName name="_MDE38" localSheetId="6">#REF!</definedName>
    <definedName name="_MDE38" localSheetId="16">#REF!</definedName>
    <definedName name="_MDE38" localSheetId="7">#REF!</definedName>
    <definedName name="_MDE38">#REF!</definedName>
    <definedName name="_MDE39" localSheetId="21">#REF!</definedName>
    <definedName name="_MDE39" localSheetId="1">#REF!</definedName>
    <definedName name="_MDE39" localSheetId="0">#REF!</definedName>
    <definedName name="_MDE39" localSheetId="5">#REF!</definedName>
    <definedName name="_MDE39" localSheetId="6">#REF!</definedName>
    <definedName name="_MDE39" localSheetId="16">#REF!</definedName>
    <definedName name="_MDE39" localSheetId="7">#REF!</definedName>
    <definedName name="_MDE39">#REF!</definedName>
    <definedName name="_MDE40" localSheetId="21">#REF!</definedName>
    <definedName name="_MDE40" localSheetId="1">#REF!</definedName>
    <definedName name="_MDE40" localSheetId="0">#REF!</definedName>
    <definedName name="_MDE40" localSheetId="5">#REF!</definedName>
    <definedName name="_MDE40" localSheetId="6">#REF!</definedName>
    <definedName name="_MDE40" localSheetId="16">#REF!</definedName>
    <definedName name="_MDE40" localSheetId="7">#REF!</definedName>
    <definedName name="_MDE40">#REF!</definedName>
    <definedName name="_MDE41" localSheetId="21">#REF!</definedName>
    <definedName name="_MDE41" localSheetId="1">#REF!</definedName>
    <definedName name="_MDE41" localSheetId="0">#REF!</definedName>
    <definedName name="_MDE41" localSheetId="5">#REF!</definedName>
    <definedName name="_MDE41" localSheetId="6">#REF!</definedName>
    <definedName name="_MDE41" localSheetId="16">#REF!</definedName>
    <definedName name="_MDE41" localSheetId="7">#REF!</definedName>
    <definedName name="_MDE41">#REF!</definedName>
    <definedName name="_MDE42" localSheetId="21">#REF!</definedName>
    <definedName name="_MDE42" localSheetId="1">#REF!</definedName>
    <definedName name="_MDE42" localSheetId="0">#REF!</definedName>
    <definedName name="_MDE42" localSheetId="5">#REF!</definedName>
    <definedName name="_MDE42" localSheetId="6">#REF!</definedName>
    <definedName name="_MDE42" localSheetId="16">#REF!</definedName>
    <definedName name="_MDE42" localSheetId="7">#REF!</definedName>
    <definedName name="_MDE42">#REF!</definedName>
    <definedName name="_MDE43" localSheetId="21">#REF!</definedName>
    <definedName name="_MDE43" localSheetId="1">#REF!</definedName>
    <definedName name="_MDE43" localSheetId="0">#REF!</definedName>
    <definedName name="_MDE43" localSheetId="5">#REF!</definedName>
    <definedName name="_MDE43" localSheetId="6">#REF!</definedName>
    <definedName name="_MDE43" localSheetId="16">#REF!</definedName>
    <definedName name="_MDE43" localSheetId="7">#REF!</definedName>
    <definedName name="_MDE43">#REF!</definedName>
    <definedName name="_MDE44" localSheetId="21">#REF!</definedName>
    <definedName name="_MDE44" localSheetId="1">#REF!</definedName>
    <definedName name="_MDE44" localSheetId="0">#REF!</definedName>
    <definedName name="_MDE44" localSheetId="5">#REF!</definedName>
    <definedName name="_MDE44" localSheetId="6">#REF!</definedName>
    <definedName name="_MDE44" localSheetId="16">#REF!</definedName>
    <definedName name="_MDE44" localSheetId="7">#REF!</definedName>
    <definedName name="_MDE44">#REF!</definedName>
    <definedName name="_MDE45" localSheetId="21">#REF!</definedName>
    <definedName name="_MDE45" localSheetId="1">#REF!</definedName>
    <definedName name="_MDE45" localSheetId="0">#REF!</definedName>
    <definedName name="_MDE45" localSheetId="5">#REF!</definedName>
    <definedName name="_MDE45" localSheetId="6">#REF!</definedName>
    <definedName name="_MDE45" localSheetId="16">#REF!</definedName>
    <definedName name="_MDE45" localSheetId="7">#REF!</definedName>
    <definedName name="_MDE45">#REF!</definedName>
    <definedName name="_MDE46" localSheetId="21">#REF!</definedName>
    <definedName name="_MDE46" localSheetId="1">#REF!</definedName>
    <definedName name="_MDE46" localSheetId="0">#REF!</definedName>
    <definedName name="_MDE46" localSheetId="5">#REF!</definedName>
    <definedName name="_MDE46" localSheetId="6">#REF!</definedName>
    <definedName name="_MDE46" localSheetId="16">#REF!</definedName>
    <definedName name="_MDE46" localSheetId="7">#REF!</definedName>
    <definedName name="_MDE46">#REF!</definedName>
    <definedName name="_MDE47" localSheetId="21">#REF!</definedName>
    <definedName name="_MDE47" localSheetId="1">#REF!</definedName>
    <definedName name="_MDE47" localSheetId="0">#REF!</definedName>
    <definedName name="_MDE47" localSheetId="5">#REF!</definedName>
    <definedName name="_MDE47" localSheetId="6">#REF!</definedName>
    <definedName name="_MDE47" localSheetId="16">#REF!</definedName>
    <definedName name="_MDE47" localSheetId="7">#REF!</definedName>
    <definedName name="_MDE47">#REF!</definedName>
    <definedName name="_MDE48" localSheetId="21">#REF!</definedName>
    <definedName name="_MDE48" localSheetId="1">#REF!</definedName>
    <definedName name="_MDE48" localSheetId="0">#REF!</definedName>
    <definedName name="_MDE48" localSheetId="5">#REF!</definedName>
    <definedName name="_MDE48" localSheetId="6">#REF!</definedName>
    <definedName name="_MDE48" localSheetId="16">#REF!</definedName>
    <definedName name="_MDE48" localSheetId="7">#REF!</definedName>
    <definedName name="_MDE48">#REF!</definedName>
    <definedName name="_MDE49" localSheetId="21">#REF!</definedName>
    <definedName name="_MDE49" localSheetId="1">#REF!</definedName>
    <definedName name="_MDE49" localSheetId="0">#REF!</definedName>
    <definedName name="_MDE49" localSheetId="5">#REF!</definedName>
    <definedName name="_MDE49" localSheetId="6">#REF!</definedName>
    <definedName name="_MDE49" localSheetId="16">#REF!</definedName>
    <definedName name="_MDE49" localSheetId="7">#REF!</definedName>
    <definedName name="_MDE49">#REF!</definedName>
    <definedName name="_MDE50" localSheetId="21">#REF!</definedName>
    <definedName name="_MDE50" localSheetId="1">#REF!</definedName>
    <definedName name="_MDE50" localSheetId="0">#REF!</definedName>
    <definedName name="_MDE50" localSheetId="5">#REF!</definedName>
    <definedName name="_MDE50" localSheetId="6">#REF!</definedName>
    <definedName name="_MDE50" localSheetId="16">#REF!</definedName>
    <definedName name="_MDE50" localSheetId="7">#REF!</definedName>
    <definedName name="_MDE50">#REF!</definedName>
    <definedName name="_MDE51" localSheetId="21">#REF!</definedName>
    <definedName name="_MDE51" localSheetId="1">#REF!</definedName>
    <definedName name="_MDE51" localSheetId="0">#REF!</definedName>
    <definedName name="_MDE51" localSheetId="5">#REF!</definedName>
    <definedName name="_MDE51" localSheetId="6">#REF!</definedName>
    <definedName name="_MDE51" localSheetId="16">#REF!</definedName>
    <definedName name="_MDE51" localSheetId="7">#REF!</definedName>
    <definedName name="_MDE51">#REF!</definedName>
    <definedName name="_MDE52" localSheetId="21">#REF!</definedName>
    <definedName name="_MDE52" localSheetId="1">#REF!</definedName>
    <definedName name="_MDE52" localSheetId="0">#REF!</definedName>
    <definedName name="_MDE52" localSheetId="5">#REF!</definedName>
    <definedName name="_MDE52" localSheetId="6">#REF!</definedName>
    <definedName name="_MDE52" localSheetId="16">#REF!</definedName>
    <definedName name="_MDE52" localSheetId="7">#REF!</definedName>
    <definedName name="_MDE52">#REF!</definedName>
    <definedName name="_MDE53" localSheetId="21">#REF!</definedName>
    <definedName name="_MDE53" localSheetId="1">#REF!</definedName>
    <definedName name="_MDE53" localSheetId="0">#REF!</definedName>
    <definedName name="_MDE53" localSheetId="5">#REF!</definedName>
    <definedName name="_MDE53" localSheetId="6">#REF!</definedName>
    <definedName name="_MDE53" localSheetId="16">#REF!</definedName>
    <definedName name="_MDE53" localSheetId="7">#REF!</definedName>
    <definedName name="_MDE53">#REF!</definedName>
    <definedName name="_MDE54" localSheetId="21">#REF!</definedName>
    <definedName name="_MDE54" localSheetId="1">#REF!</definedName>
    <definedName name="_MDE54" localSheetId="0">#REF!</definedName>
    <definedName name="_MDE54" localSheetId="5">#REF!</definedName>
    <definedName name="_MDE54" localSheetId="6">#REF!</definedName>
    <definedName name="_MDE54" localSheetId="16">#REF!</definedName>
    <definedName name="_MDE54" localSheetId="7">#REF!</definedName>
    <definedName name="_MDE54">#REF!</definedName>
    <definedName name="_MDE55" localSheetId="21">#REF!</definedName>
    <definedName name="_MDE55" localSheetId="1">#REF!</definedName>
    <definedName name="_MDE55" localSheetId="0">#REF!</definedName>
    <definedName name="_MDE55" localSheetId="5">#REF!</definedName>
    <definedName name="_MDE55" localSheetId="6">#REF!</definedName>
    <definedName name="_MDE55" localSheetId="16">#REF!</definedName>
    <definedName name="_MDE55" localSheetId="7">#REF!</definedName>
    <definedName name="_MDE55">#REF!</definedName>
    <definedName name="_MDE56" localSheetId="21">#REF!</definedName>
    <definedName name="_MDE56" localSheetId="1">#REF!</definedName>
    <definedName name="_MDE56" localSheetId="0">#REF!</definedName>
    <definedName name="_MDE56" localSheetId="5">#REF!</definedName>
    <definedName name="_MDE56" localSheetId="6">#REF!</definedName>
    <definedName name="_MDE56" localSheetId="16">#REF!</definedName>
    <definedName name="_MDE56" localSheetId="7">#REF!</definedName>
    <definedName name="_MDE56">#REF!</definedName>
    <definedName name="_MDE57" localSheetId="21">#REF!</definedName>
    <definedName name="_MDE57" localSheetId="1">#REF!</definedName>
    <definedName name="_MDE57" localSheetId="0">#REF!</definedName>
    <definedName name="_MDE57" localSheetId="5">#REF!</definedName>
    <definedName name="_MDE57" localSheetId="6">#REF!</definedName>
    <definedName name="_MDE57" localSheetId="16">#REF!</definedName>
    <definedName name="_MDE57" localSheetId="7">#REF!</definedName>
    <definedName name="_MDE57">#REF!</definedName>
    <definedName name="_MDE58" localSheetId="21">#REF!</definedName>
    <definedName name="_MDE58" localSheetId="1">#REF!</definedName>
    <definedName name="_MDE58" localSheetId="0">#REF!</definedName>
    <definedName name="_MDE58" localSheetId="5">#REF!</definedName>
    <definedName name="_MDE58" localSheetId="6">#REF!</definedName>
    <definedName name="_MDE58" localSheetId="16">#REF!</definedName>
    <definedName name="_MDE58" localSheetId="7">#REF!</definedName>
    <definedName name="_MDE58">#REF!</definedName>
    <definedName name="_MDE59" localSheetId="21">#REF!</definedName>
    <definedName name="_MDE59" localSheetId="1">#REF!</definedName>
    <definedName name="_MDE59" localSheetId="0">#REF!</definedName>
    <definedName name="_MDE59" localSheetId="5">#REF!</definedName>
    <definedName name="_MDE59" localSheetId="6">#REF!</definedName>
    <definedName name="_MDE59" localSheetId="16">#REF!</definedName>
    <definedName name="_MDE59" localSheetId="7">#REF!</definedName>
    <definedName name="_MDE59">#REF!</definedName>
    <definedName name="_MDE60" localSheetId="21">#REF!</definedName>
    <definedName name="_MDE60" localSheetId="1">#REF!</definedName>
    <definedName name="_MDE60" localSheetId="0">#REF!</definedName>
    <definedName name="_MDE60" localSheetId="5">#REF!</definedName>
    <definedName name="_MDE60" localSheetId="6">#REF!</definedName>
    <definedName name="_MDE60" localSheetId="16">#REF!</definedName>
    <definedName name="_MDE60" localSheetId="7">#REF!</definedName>
    <definedName name="_MDE60">#REF!</definedName>
    <definedName name="_MDE61" localSheetId="21">#REF!</definedName>
    <definedName name="_MDE61" localSheetId="1">#REF!</definedName>
    <definedName name="_MDE61" localSheetId="0">#REF!</definedName>
    <definedName name="_MDE61" localSheetId="5">#REF!</definedName>
    <definedName name="_MDE61" localSheetId="6">#REF!</definedName>
    <definedName name="_MDE61" localSheetId="16">#REF!</definedName>
    <definedName name="_MDE61" localSheetId="7">#REF!</definedName>
    <definedName name="_MDE61">#REF!</definedName>
    <definedName name="_MDE62" localSheetId="21">#REF!</definedName>
    <definedName name="_MDE62" localSheetId="1">#REF!</definedName>
    <definedName name="_MDE62" localSheetId="0">#REF!</definedName>
    <definedName name="_MDE62" localSheetId="5">#REF!</definedName>
    <definedName name="_MDE62" localSheetId="6">#REF!</definedName>
    <definedName name="_MDE62" localSheetId="16">#REF!</definedName>
    <definedName name="_MDE62" localSheetId="7">#REF!</definedName>
    <definedName name="_MDE62">#REF!</definedName>
    <definedName name="_MDE63" localSheetId="21">#REF!</definedName>
    <definedName name="_MDE63" localSheetId="1">#REF!</definedName>
    <definedName name="_MDE63" localSheetId="0">#REF!</definedName>
    <definedName name="_MDE63" localSheetId="5">#REF!</definedName>
    <definedName name="_MDE63" localSheetId="6">#REF!</definedName>
    <definedName name="_MDE63" localSheetId="16">#REF!</definedName>
    <definedName name="_MDE63" localSheetId="7">#REF!</definedName>
    <definedName name="_MDE63">#REF!</definedName>
    <definedName name="_MDE64" localSheetId="21">#REF!</definedName>
    <definedName name="_MDE64" localSheetId="1">#REF!</definedName>
    <definedName name="_MDE64" localSheetId="0">#REF!</definedName>
    <definedName name="_MDE64" localSheetId="5">#REF!</definedName>
    <definedName name="_MDE64" localSheetId="6">#REF!</definedName>
    <definedName name="_MDE64" localSheetId="16">#REF!</definedName>
    <definedName name="_MDE64" localSheetId="7">#REF!</definedName>
    <definedName name="_MDE64">#REF!</definedName>
    <definedName name="_MDE65" localSheetId="21">#REF!</definedName>
    <definedName name="_MDE65" localSheetId="1">#REF!</definedName>
    <definedName name="_MDE65" localSheetId="0">#REF!</definedName>
    <definedName name="_MDE65" localSheetId="5">#REF!</definedName>
    <definedName name="_MDE65" localSheetId="6">#REF!</definedName>
    <definedName name="_MDE65" localSheetId="16">#REF!</definedName>
    <definedName name="_MDE65" localSheetId="7">#REF!</definedName>
    <definedName name="_MDE65">#REF!</definedName>
    <definedName name="_MDE66" localSheetId="21">#REF!</definedName>
    <definedName name="_MDE66" localSheetId="1">#REF!</definedName>
    <definedName name="_MDE66" localSheetId="0">#REF!</definedName>
    <definedName name="_MDE66" localSheetId="5">#REF!</definedName>
    <definedName name="_MDE66" localSheetId="6">#REF!</definedName>
    <definedName name="_MDE66" localSheetId="16">#REF!</definedName>
    <definedName name="_MDE66" localSheetId="7">#REF!</definedName>
    <definedName name="_MDE66">#REF!</definedName>
    <definedName name="_MDE67" localSheetId="21">#REF!</definedName>
    <definedName name="_MDE67" localSheetId="1">#REF!</definedName>
    <definedName name="_MDE67" localSheetId="0">#REF!</definedName>
    <definedName name="_MDE67" localSheetId="5">#REF!</definedName>
    <definedName name="_MDE67" localSheetId="6">#REF!</definedName>
    <definedName name="_MDE67" localSheetId="16">#REF!</definedName>
    <definedName name="_MDE67" localSheetId="7">#REF!</definedName>
    <definedName name="_MDE67">#REF!</definedName>
    <definedName name="_MDE68" localSheetId="21">#REF!</definedName>
    <definedName name="_MDE68" localSheetId="1">#REF!</definedName>
    <definedName name="_MDE68" localSheetId="0">#REF!</definedName>
    <definedName name="_MDE68" localSheetId="5">#REF!</definedName>
    <definedName name="_MDE68" localSheetId="6">#REF!</definedName>
    <definedName name="_MDE68" localSheetId="16">#REF!</definedName>
    <definedName name="_MDE68" localSheetId="7">#REF!</definedName>
    <definedName name="_MDE68">#REF!</definedName>
    <definedName name="_ME01" localSheetId="21">#REF!</definedName>
    <definedName name="_ME01" localSheetId="1">#REF!</definedName>
    <definedName name="_ME01" localSheetId="0">#REF!</definedName>
    <definedName name="_ME01" localSheetId="5">#REF!</definedName>
    <definedName name="_ME01" localSheetId="6">#REF!</definedName>
    <definedName name="_ME01" localSheetId="16">#REF!</definedName>
    <definedName name="_ME01" localSheetId="7">#REF!</definedName>
    <definedName name="_ME01">#REF!</definedName>
    <definedName name="_ME02" localSheetId="21">#REF!</definedName>
    <definedName name="_ME02" localSheetId="1">#REF!</definedName>
    <definedName name="_ME02" localSheetId="0">#REF!</definedName>
    <definedName name="_ME02" localSheetId="5">#REF!</definedName>
    <definedName name="_ME02" localSheetId="6">#REF!</definedName>
    <definedName name="_ME02" localSheetId="16">#REF!</definedName>
    <definedName name="_ME02" localSheetId="7">#REF!</definedName>
    <definedName name="_ME02">#REF!</definedName>
    <definedName name="_ME03" localSheetId="21">#REF!</definedName>
    <definedName name="_ME03" localSheetId="1">#REF!</definedName>
    <definedName name="_ME03" localSheetId="0">#REF!</definedName>
    <definedName name="_ME03" localSheetId="5">#REF!</definedName>
    <definedName name="_ME03" localSheetId="6">#REF!</definedName>
    <definedName name="_ME03" localSheetId="16">#REF!</definedName>
    <definedName name="_ME03" localSheetId="7">#REF!</definedName>
    <definedName name="_ME03">#REF!</definedName>
    <definedName name="_ME04" localSheetId="21">#REF!</definedName>
    <definedName name="_ME04" localSheetId="1">#REF!</definedName>
    <definedName name="_ME04" localSheetId="0">#REF!</definedName>
    <definedName name="_ME04" localSheetId="5">#REF!</definedName>
    <definedName name="_ME04" localSheetId="6">#REF!</definedName>
    <definedName name="_ME04" localSheetId="16">#REF!</definedName>
    <definedName name="_ME04" localSheetId="7">#REF!</definedName>
    <definedName name="_ME04">#REF!</definedName>
    <definedName name="_ME05" localSheetId="21">#REF!</definedName>
    <definedName name="_ME05" localSheetId="1">#REF!</definedName>
    <definedName name="_ME05" localSheetId="0">#REF!</definedName>
    <definedName name="_ME05" localSheetId="5">#REF!</definedName>
    <definedName name="_ME05" localSheetId="6">#REF!</definedName>
    <definedName name="_ME05" localSheetId="16">#REF!</definedName>
    <definedName name="_ME05" localSheetId="7">#REF!</definedName>
    <definedName name="_ME05">#REF!</definedName>
    <definedName name="_ME06" localSheetId="21">#REF!</definedName>
    <definedName name="_ME06" localSheetId="1">#REF!</definedName>
    <definedName name="_ME06" localSheetId="0">#REF!</definedName>
    <definedName name="_ME06" localSheetId="5">#REF!</definedName>
    <definedName name="_ME06" localSheetId="6">#REF!</definedName>
    <definedName name="_ME06" localSheetId="16">#REF!</definedName>
    <definedName name="_ME06" localSheetId="7">#REF!</definedName>
    <definedName name="_ME06">#REF!</definedName>
    <definedName name="_ME07" localSheetId="21">#REF!</definedName>
    <definedName name="_ME07" localSheetId="1">#REF!</definedName>
    <definedName name="_ME07" localSheetId="0">#REF!</definedName>
    <definedName name="_ME07" localSheetId="5">#REF!</definedName>
    <definedName name="_ME07" localSheetId="6">#REF!</definedName>
    <definedName name="_ME07" localSheetId="16">#REF!</definedName>
    <definedName name="_ME07" localSheetId="7">#REF!</definedName>
    <definedName name="_ME07">#REF!</definedName>
    <definedName name="_ME08" localSheetId="21">#REF!</definedName>
    <definedName name="_ME08" localSheetId="1">#REF!</definedName>
    <definedName name="_ME08" localSheetId="0">#REF!</definedName>
    <definedName name="_ME08" localSheetId="5">#REF!</definedName>
    <definedName name="_ME08" localSheetId="6">#REF!</definedName>
    <definedName name="_ME08" localSheetId="16">#REF!</definedName>
    <definedName name="_ME08" localSheetId="7">#REF!</definedName>
    <definedName name="_ME08">#REF!</definedName>
    <definedName name="_ME09" localSheetId="21">#REF!</definedName>
    <definedName name="_ME09" localSheetId="1">#REF!</definedName>
    <definedName name="_ME09" localSheetId="0">#REF!</definedName>
    <definedName name="_ME09" localSheetId="5">#REF!</definedName>
    <definedName name="_ME09" localSheetId="6">#REF!</definedName>
    <definedName name="_ME09" localSheetId="16">#REF!</definedName>
    <definedName name="_ME09" localSheetId="7">#REF!</definedName>
    <definedName name="_ME09">#REF!</definedName>
    <definedName name="_ME10" localSheetId="21">#REF!</definedName>
    <definedName name="_ME10" localSheetId="1">#REF!</definedName>
    <definedName name="_ME10" localSheetId="0">#REF!</definedName>
    <definedName name="_ME10" localSheetId="5">#REF!</definedName>
    <definedName name="_ME10" localSheetId="6">#REF!</definedName>
    <definedName name="_ME10" localSheetId="16">#REF!</definedName>
    <definedName name="_ME10" localSheetId="7">#REF!</definedName>
    <definedName name="_ME10">#REF!</definedName>
    <definedName name="_ME11" localSheetId="21">#REF!</definedName>
    <definedName name="_ME11" localSheetId="1">#REF!</definedName>
    <definedName name="_ME11" localSheetId="0">#REF!</definedName>
    <definedName name="_ME11" localSheetId="5">#REF!</definedName>
    <definedName name="_ME11" localSheetId="6">#REF!</definedName>
    <definedName name="_ME11" localSheetId="16">#REF!</definedName>
    <definedName name="_ME11" localSheetId="7">#REF!</definedName>
    <definedName name="_ME11">#REF!</definedName>
    <definedName name="_ME12" localSheetId="21">#REF!</definedName>
    <definedName name="_ME12" localSheetId="1">#REF!</definedName>
    <definedName name="_ME12" localSheetId="0">#REF!</definedName>
    <definedName name="_ME12" localSheetId="5">#REF!</definedName>
    <definedName name="_ME12" localSheetId="6">#REF!</definedName>
    <definedName name="_ME12" localSheetId="16">#REF!</definedName>
    <definedName name="_ME12" localSheetId="7">#REF!</definedName>
    <definedName name="_ME12">#REF!</definedName>
    <definedName name="_ME13" localSheetId="21">#REF!</definedName>
    <definedName name="_ME13" localSheetId="1">#REF!</definedName>
    <definedName name="_ME13" localSheetId="0">#REF!</definedName>
    <definedName name="_ME13" localSheetId="5">#REF!</definedName>
    <definedName name="_ME13" localSheetId="6">#REF!</definedName>
    <definedName name="_ME13" localSheetId="16">#REF!</definedName>
    <definedName name="_ME13" localSheetId="7">#REF!</definedName>
    <definedName name="_ME13">#REF!</definedName>
    <definedName name="_ME14" localSheetId="21">#REF!</definedName>
    <definedName name="_ME14" localSheetId="1">#REF!</definedName>
    <definedName name="_ME14" localSheetId="0">#REF!</definedName>
    <definedName name="_ME14" localSheetId="5">#REF!</definedName>
    <definedName name="_ME14" localSheetId="6">#REF!</definedName>
    <definedName name="_ME14" localSheetId="16">#REF!</definedName>
    <definedName name="_ME14" localSheetId="7">#REF!</definedName>
    <definedName name="_ME14">#REF!</definedName>
    <definedName name="_ME15" localSheetId="21">#REF!</definedName>
    <definedName name="_ME15" localSheetId="1">#REF!</definedName>
    <definedName name="_ME15" localSheetId="0">#REF!</definedName>
    <definedName name="_ME15" localSheetId="5">#REF!</definedName>
    <definedName name="_ME15" localSheetId="6">#REF!</definedName>
    <definedName name="_ME15" localSheetId="16">#REF!</definedName>
    <definedName name="_ME15" localSheetId="7">#REF!</definedName>
    <definedName name="_ME15">#REF!</definedName>
    <definedName name="_ME16" localSheetId="21">#REF!</definedName>
    <definedName name="_ME16" localSheetId="1">#REF!</definedName>
    <definedName name="_ME16" localSheetId="0">#REF!</definedName>
    <definedName name="_ME16" localSheetId="5">#REF!</definedName>
    <definedName name="_ME16" localSheetId="6">#REF!</definedName>
    <definedName name="_ME16" localSheetId="16">#REF!</definedName>
    <definedName name="_ME16" localSheetId="7">#REF!</definedName>
    <definedName name="_ME16">#REF!</definedName>
    <definedName name="_ME17" localSheetId="21">#REF!</definedName>
    <definedName name="_ME17" localSheetId="1">#REF!</definedName>
    <definedName name="_ME17" localSheetId="0">#REF!</definedName>
    <definedName name="_ME17" localSheetId="5">#REF!</definedName>
    <definedName name="_ME17" localSheetId="6">#REF!</definedName>
    <definedName name="_ME17" localSheetId="16">#REF!</definedName>
    <definedName name="_ME17" localSheetId="7">#REF!</definedName>
    <definedName name="_ME17">#REF!</definedName>
    <definedName name="_ME18" localSheetId="21">#REF!</definedName>
    <definedName name="_ME18" localSheetId="1">#REF!</definedName>
    <definedName name="_ME18" localSheetId="0">#REF!</definedName>
    <definedName name="_ME18" localSheetId="5">#REF!</definedName>
    <definedName name="_ME18" localSheetId="6">#REF!</definedName>
    <definedName name="_ME18" localSheetId="16">#REF!</definedName>
    <definedName name="_ME18" localSheetId="7">#REF!</definedName>
    <definedName name="_ME18">#REF!</definedName>
    <definedName name="_ME19" localSheetId="21">#REF!</definedName>
    <definedName name="_ME19" localSheetId="1">#REF!</definedName>
    <definedName name="_ME19" localSheetId="0">#REF!</definedName>
    <definedName name="_ME19" localSheetId="5">#REF!</definedName>
    <definedName name="_ME19" localSheetId="6">#REF!</definedName>
    <definedName name="_ME19" localSheetId="16">#REF!</definedName>
    <definedName name="_ME19" localSheetId="7">#REF!</definedName>
    <definedName name="_ME19">#REF!</definedName>
    <definedName name="_ME20" localSheetId="21">#REF!</definedName>
    <definedName name="_ME20" localSheetId="1">#REF!</definedName>
    <definedName name="_ME20" localSheetId="0">#REF!</definedName>
    <definedName name="_ME20" localSheetId="5">#REF!</definedName>
    <definedName name="_ME20" localSheetId="6">#REF!</definedName>
    <definedName name="_ME20" localSheetId="16">#REF!</definedName>
    <definedName name="_ME20" localSheetId="7">#REF!</definedName>
    <definedName name="_ME20">#REF!</definedName>
    <definedName name="_ME21" localSheetId="21">#REF!</definedName>
    <definedName name="_ME21" localSheetId="1">#REF!</definedName>
    <definedName name="_ME21" localSheetId="0">#REF!</definedName>
    <definedName name="_ME21" localSheetId="5">#REF!</definedName>
    <definedName name="_ME21" localSheetId="6">#REF!</definedName>
    <definedName name="_ME21" localSheetId="16">#REF!</definedName>
    <definedName name="_ME21" localSheetId="7">#REF!</definedName>
    <definedName name="_ME21">#REF!</definedName>
    <definedName name="_ME22" localSheetId="21">#REF!</definedName>
    <definedName name="_ME22" localSheetId="1">#REF!</definedName>
    <definedName name="_ME22" localSheetId="0">#REF!</definedName>
    <definedName name="_ME22" localSheetId="5">#REF!</definedName>
    <definedName name="_ME22" localSheetId="6">#REF!</definedName>
    <definedName name="_ME22" localSheetId="16">#REF!</definedName>
    <definedName name="_ME22" localSheetId="7">#REF!</definedName>
    <definedName name="_ME22">#REF!</definedName>
    <definedName name="_ME23" localSheetId="21">#REF!</definedName>
    <definedName name="_ME23" localSheetId="1">#REF!</definedName>
    <definedName name="_ME23" localSheetId="0">#REF!</definedName>
    <definedName name="_ME23" localSheetId="5">#REF!</definedName>
    <definedName name="_ME23" localSheetId="6">#REF!</definedName>
    <definedName name="_ME23" localSheetId="16">#REF!</definedName>
    <definedName name="_ME23" localSheetId="7">#REF!</definedName>
    <definedName name="_ME23">#REF!</definedName>
    <definedName name="_ME24" localSheetId="21">#REF!</definedName>
    <definedName name="_ME24" localSheetId="1">#REF!</definedName>
    <definedName name="_ME24" localSheetId="0">#REF!</definedName>
    <definedName name="_ME24" localSheetId="5">#REF!</definedName>
    <definedName name="_ME24" localSheetId="6">#REF!</definedName>
    <definedName name="_ME24" localSheetId="16">#REF!</definedName>
    <definedName name="_ME24" localSheetId="7">#REF!</definedName>
    <definedName name="_ME24">#REF!</definedName>
    <definedName name="_ME25" localSheetId="21">#REF!</definedName>
    <definedName name="_ME25" localSheetId="1">#REF!</definedName>
    <definedName name="_ME25" localSheetId="0">#REF!</definedName>
    <definedName name="_ME25" localSheetId="5">#REF!</definedName>
    <definedName name="_ME25" localSheetId="6">#REF!</definedName>
    <definedName name="_ME25" localSheetId="16">#REF!</definedName>
    <definedName name="_ME25" localSheetId="7">#REF!</definedName>
    <definedName name="_ME25">#REF!</definedName>
    <definedName name="_ME26" localSheetId="21">#REF!</definedName>
    <definedName name="_ME26" localSheetId="1">#REF!</definedName>
    <definedName name="_ME26" localSheetId="0">#REF!</definedName>
    <definedName name="_ME26" localSheetId="5">#REF!</definedName>
    <definedName name="_ME26" localSheetId="6">#REF!</definedName>
    <definedName name="_ME26" localSheetId="16">#REF!</definedName>
    <definedName name="_ME26" localSheetId="7">#REF!</definedName>
    <definedName name="_ME26">#REF!</definedName>
    <definedName name="_ME27" localSheetId="21">#REF!</definedName>
    <definedName name="_ME27" localSheetId="1">#REF!</definedName>
    <definedName name="_ME27" localSheetId="0">#REF!</definedName>
    <definedName name="_ME27" localSheetId="5">#REF!</definedName>
    <definedName name="_ME27" localSheetId="6">#REF!</definedName>
    <definedName name="_ME27" localSheetId="16">#REF!</definedName>
    <definedName name="_ME27" localSheetId="7">#REF!</definedName>
    <definedName name="_ME27">#REF!</definedName>
    <definedName name="_ME28" localSheetId="21">#REF!</definedName>
    <definedName name="_ME28" localSheetId="1">#REF!</definedName>
    <definedName name="_ME28" localSheetId="0">#REF!</definedName>
    <definedName name="_ME28" localSheetId="5">#REF!</definedName>
    <definedName name="_ME28" localSheetId="6">#REF!</definedName>
    <definedName name="_ME28" localSheetId="16">#REF!</definedName>
    <definedName name="_ME28" localSheetId="7">#REF!</definedName>
    <definedName name="_ME28">#REF!</definedName>
    <definedName name="_ME29" localSheetId="21">#REF!</definedName>
    <definedName name="_ME29" localSheetId="1">#REF!</definedName>
    <definedName name="_ME29" localSheetId="0">#REF!</definedName>
    <definedName name="_ME29" localSheetId="5">#REF!</definedName>
    <definedName name="_ME29" localSheetId="6">#REF!</definedName>
    <definedName name="_ME29" localSheetId="16">#REF!</definedName>
    <definedName name="_ME29" localSheetId="7">#REF!</definedName>
    <definedName name="_ME29">#REF!</definedName>
    <definedName name="_ME30" localSheetId="21">#REF!</definedName>
    <definedName name="_ME30" localSheetId="1">#REF!</definedName>
    <definedName name="_ME30" localSheetId="0">#REF!</definedName>
    <definedName name="_ME30" localSheetId="5">#REF!</definedName>
    <definedName name="_ME30" localSheetId="6">#REF!</definedName>
    <definedName name="_ME30" localSheetId="16">#REF!</definedName>
    <definedName name="_ME30" localSheetId="7">#REF!</definedName>
    <definedName name="_ME30">#REF!</definedName>
    <definedName name="_ME31" localSheetId="21">#REF!</definedName>
    <definedName name="_ME31" localSheetId="1">#REF!</definedName>
    <definedName name="_ME31" localSheetId="0">#REF!</definedName>
    <definedName name="_ME31" localSheetId="5">#REF!</definedName>
    <definedName name="_ME31" localSheetId="6">#REF!</definedName>
    <definedName name="_ME31" localSheetId="16">#REF!</definedName>
    <definedName name="_ME31" localSheetId="7">#REF!</definedName>
    <definedName name="_ME31">#REF!</definedName>
    <definedName name="_ME32" localSheetId="21">#REF!</definedName>
    <definedName name="_ME32" localSheetId="1">#REF!</definedName>
    <definedName name="_ME32" localSheetId="0">#REF!</definedName>
    <definedName name="_ME32" localSheetId="5">#REF!</definedName>
    <definedName name="_ME32" localSheetId="6">#REF!</definedName>
    <definedName name="_ME32" localSheetId="16">#REF!</definedName>
    <definedName name="_ME32" localSheetId="7">#REF!</definedName>
    <definedName name="_ME32">#REF!</definedName>
    <definedName name="_ME33" localSheetId="21">#REF!</definedName>
    <definedName name="_ME33" localSheetId="1">#REF!</definedName>
    <definedName name="_ME33" localSheetId="0">#REF!</definedName>
    <definedName name="_ME33" localSheetId="5">#REF!</definedName>
    <definedName name="_ME33" localSheetId="6">#REF!</definedName>
    <definedName name="_ME33" localSheetId="16">#REF!</definedName>
    <definedName name="_ME33" localSheetId="7">#REF!</definedName>
    <definedName name="_ME33">#REF!</definedName>
    <definedName name="_ME34" localSheetId="21">#REF!</definedName>
    <definedName name="_ME34" localSheetId="1">#REF!</definedName>
    <definedName name="_ME34" localSheetId="0">#REF!</definedName>
    <definedName name="_ME34" localSheetId="5">#REF!</definedName>
    <definedName name="_ME34" localSheetId="6">#REF!</definedName>
    <definedName name="_ME34" localSheetId="16">#REF!</definedName>
    <definedName name="_ME34" localSheetId="7">#REF!</definedName>
    <definedName name="_ME34">#REF!</definedName>
    <definedName name="_ME35" localSheetId="21">#REF!</definedName>
    <definedName name="_ME35" localSheetId="1">#REF!</definedName>
    <definedName name="_ME35" localSheetId="0">#REF!</definedName>
    <definedName name="_ME35" localSheetId="5">#REF!</definedName>
    <definedName name="_ME35" localSheetId="6">#REF!</definedName>
    <definedName name="_ME35" localSheetId="16">#REF!</definedName>
    <definedName name="_ME35" localSheetId="7">#REF!</definedName>
    <definedName name="_ME35">#REF!</definedName>
    <definedName name="_ME36" localSheetId="21">#REF!</definedName>
    <definedName name="_ME36" localSheetId="1">#REF!</definedName>
    <definedName name="_ME36" localSheetId="0">#REF!</definedName>
    <definedName name="_ME36" localSheetId="5">#REF!</definedName>
    <definedName name="_ME36" localSheetId="6">#REF!</definedName>
    <definedName name="_ME36" localSheetId="16">#REF!</definedName>
    <definedName name="_ME36" localSheetId="7">#REF!</definedName>
    <definedName name="_ME36">#REF!</definedName>
    <definedName name="_ME37" localSheetId="21">#REF!</definedName>
    <definedName name="_ME37" localSheetId="1">#REF!</definedName>
    <definedName name="_ME37" localSheetId="0">#REF!</definedName>
    <definedName name="_ME37" localSheetId="5">#REF!</definedName>
    <definedName name="_ME37" localSheetId="6">#REF!</definedName>
    <definedName name="_ME37" localSheetId="16">#REF!</definedName>
    <definedName name="_ME37" localSheetId="7">#REF!</definedName>
    <definedName name="_ME37">#REF!</definedName>
    <definedName name="_ME38" localSheetId="21">#REF!</definedName>
    <definedName name="_ME38" localSheetId="1">#REF!</definedName>
    <definedName name="_ME38" localSheetId="0">#REF!</definedName>
    <definedName name="_ME38" localSheetId="5">#REF!</definedName>
    <definedName name="_ME38" localSheetId="6">#REF!</definedName>
    <definedName name="_ME38" localSheetId="16">#REF!</definedName>
    <definedName name="_ME38" localSheetId="7">#REF!</definedName>
    <definedName name="_ME38">#REF!</definedName>
    <definedName name="_ME39" localSheetId="21">#REF!</definedName>
    <definedName name="_ME39" localSheetId="1">#REF!</definedName>
    <definedName name="_ME39" localSheetId="0">#REF!</definedName>
    <definedName name="_ME39" localSheetId="5">#REF!</definedName>
    <definedName name="_ME39" localSheetId="6">#REF!</definedName>
    <definedName name="_ME39" localSheetId="16">#REF!</definedName>
    <definedName name="_ME39" localSheetId="7">#REF!</definedName>
    <definedName name="_ME39">#REF!</definedName>
    <definedName name="_ME40" localSheetId="21">#REF!</definedName>
    <definedName name="_ME40" localSheetId="1">#REF!</definedName>
    <definedName name="_ME40" localSheetId="0">#REF!</definedName>
    <definedName name="_ME40" localSheetId="5">#REF!</definedName>
    <definedName name="_ME40" localSheetId="6">#REF!</definedName>
    <definedName name="_ME40" localSheetId="16">#REF!</definedName>
    <definedName name="_ME40" localSheetId="7">#REF!</definedName>
    <definedName name="_ME40">#REF!</definedName>
    <definedName name="_ME41" localSheetId="21">#REF!</definedName>
    <definedName name="_ME41" localSheetId="1">#REF!</definedName>
    <definedName name="_ME41" localSheetId="0">#REF!</definedName>
    <definedName name="_ME41" localSheetId="5">#REF!</definedName>
    <definedName name="_ME41" localSheetId="6">#REF!</definedName>
    <definedName name="_ME41" localSheetId="16">#REF!</definedName>
    <definedName name="_ME41" localSheetId="7">#REF!</definedName>
    <definedName name="_ME41">#REF!</definedName>
    <definedName name="_ME42" localSheetId="21">#REF!</definedName>
    <definedName name="_ME42" localSheetId="1">#REF!</definedName>
    <definedName name="_ME42" localSheetId="0">#REF!</definedName>
    <definedName name="_ME42" localSheetId="5">#REF!</definedName>
    <definedName name="_ME42" localSheetId="6">#REF!</definedName>
    <definedName name="_ME42" localSheetId="16">#REF!</definedName>
    <definedName name="_ME42" localSheetId="7">#REF!</definedName>
    <definedName name="_ME42">#REF!</definedName>
    <definedName name="_ME43" localSheetId="21">#REF!</definedName>
    <definedName name="_ME43" localSheetId="1">#REF!</definedName>
    <definedName name="_ME43" localSheetId="0">#REF!</definedName>
    <definedName name="_ME43" localSheetId="5">#REF!</definedName>
    <definedName name="_ME43" localSheetId="6">#REF!</definedName>
    <definedName name="_ME43" localSheetId="16">#REF!</definedName>
    <definedName name="_ME43" localSheetId="7">#REF!</definedName>
    <definedName name="_ME43">#REF!</definedName>
    <definedName name="_ME44" localSheetId="21">#REF!</definedName>
    <definedName name="_ME44" localSheetId="1">#REF!</definedName>
    <definedName name="_ME44" localSheetId="0">#REF!</definedName>
    <definedName name="_ME44" localSheetId="5">#REF!</definedName>
    <definedName name="_ME44" localSheetId="6">#REF!</definedName>
    <definedName name="_ME44" localSheetId="16">#REF!</definedName>
    <definedName name="_ME44" localSheetId="7">#REF!</definedName>
    <definedName name="_ME44">#REF!</definedName>
    <definedName name="_ME45" localSheetId="21">#REF!</definedName>
    <definedName name="_ME45" localSheetId="1">#REF!</definedName>
    <definedName name="_ME45" localSheetId="0">#REF!</definedName>
    <definedName name="_ME45" localSheetId="5">#REF!</definedName>
    <definedName name="_ME45" localSheetId="6">#REF!</definedName>
    <definedName name="_ME45" localSheetId="16">#REF!</definedName>
    <definedName name="_ME45" localSheetId="7">#REF!</definedName>
    <definedName name="_ME45">#REF!</definedName>
    <definedName name="_ME46" localSheetId="21">#REF!</definedName>
    <definedName name="_ME46" localSheetId="1">#REF!</definedName>
    <definedName name="_ME46" localSheetId="0">#REF!</definedName>
    <definedName name="_ME46" localSheetId="5">#REF!</definedName>
    <definedName name="_ME46" localSheetId="6">#REF!</definedName>
    <definedName name="_ME46" localSheetId="16">#REF!</definedName>
    <definedName name="_ME46" localSheetId="7">#REF!</definedName>
    <definedName name="_ME46">#REF!</definedName>
    <definedName name="_ME47" localSheetId="21">#REF!</definedName>
    <definedName name="_ME47" localSheetId="1">#REF!</definedName>
    <definedName name="_ME47" localSheetId="0">#REF!</definedName>
    <definedName name="_ME47" localSheetId="5">#REF!</definedName>
    <definedName name="_ME47" localSheetId="6">#REF!</definedName>
    <definedName name="_ME47" localSheetId="16">#REF!</definedName>
    <definedName name="_ME47" localSheetId="7">#REF!</definedName>
    <definedName name="_ME47">#REF!</definedName>
    <definedName name="_ME48" localSheetId="21">#REF!</definedName>
    <definedName name="_ME48" localSheetId="1">#REF!</definedName>
    <definedName name="_ME48" localSheetId="0">#REF!</definedName>
    <definedName name="_ME48" localSheetId="5">#REF!</definedName>
    <definedName name="_ME48" localSheetId="6">#REF!</definedName>
    <definedName name="_ME48" localSheetId="16">#REF!</definedName>
    <definedName name="_ME48" localSheetId="7">#REF!</definedName>
    <definedName name="_ME48">#REF!</definedName>
    <definedName name="_ME49" localSheetId="21">#REF!</definedName>
    <definedName name="_ME49" localSheetId="1">#REF!</definedName>
    <definedName name="_ME49" localSheetId="0">#REF!</definedName>
    <definedName name="_ME49" localSheetId="5">#REF!</definedName>
    <definedName name="_ME49" localSheetId="6">#REF!</definedName>
    <definedName name="_ME49" localSheetId="16">#REF!</definedName>
    <definedName name="_ME49" localSheetId="7">#REF!</definedName>
    <definedName name="_ME49">#REF!</definedName>
    <definedName name="_ME50" localSheetId="21">#REF!</definedName>
    <definedName name="_ME50" localSheetId="1">#REF!</definedName>
    <definedName name="_ME50" localSheetId="0">#REF!</definedName>
    <definedName name="_ME50" localSheetId="5">#REF!</definedName>
    <definedName name="_ME50" localSheetId="6">#REF!</definedName>
    <definedName name="_ME50" localSheetId="16">#REF!</definedName>
    <definedName name="_ME50" localSheetId="7">#REF!</definedName>
    <definedName name="_ME50">#REF!</definedName>
    <definedName name="_ME51" localSheetId="21">#REF!</definedName>
    <definedName name="_ME51" localSheetId="1">#REF!</definedName>
    <definedName name="_ME51" localSheetId="0">#REF!</definedName>
    <definedName name="_ME51" localSheetId="5">#REF!</definedName>
    <definedName name="_ME51" localSheetId="6">#REF!</definedName>
    <definedName name="_ME51" localSheetId="16">#REF!</definedName>
    <definedName name="_ME51" localSheetId="7">#REF!</definedName>
    <definedName name="_ME51">#REF!</definedName>
    <definedName name="_ME52" localSheetId="21">#REF!</definedName>
    <definedName name="_ME52" localSheetId="1">#REF!</definedName>
    <definedName name="_ME52" localSheetId="0">#REF!</definedName>
    <definedName name="_ME52" localSheetId="5">#REF!</definedName>
    <definedName name="_ME52" localSheetId="6">#REF!</definedName>
    <definedName name="_ME52" localSheetId="16">#REF!</definedName>
    <definedName name="_ME52" localSheetId="7">#REF!</definedName>
    <definedName name="_ME52">#REF!</definedName>
    <definedName name="_ME53" localSheetId="21">#REF!</definedName>
    <definedName name="_ME53" localSheetId="1">#REF!</definedName>
    <definedName name="_ME53" localSheetId="0">#REF!</definedName>
    <definedName name="_ME53" localSheetId="5">#REF!</definedName>
    <definedName name="_ME53" localSheetId="6">#REF!</definedName>
    <definedName name="_ME53" localSheetId="16">#REF!</definedName>
    <definedName name="_ME53" localSheetId="7">#REF!</definedName>
    <definedName name="_ME53">#REF!</definedName>
    <definedName name="_ME54" localSheetId="21">#REF!</definedName>
    <definedName name="_ME54" localSheetId="1">#REF!</definedName>
    <definedName name="_ME54" localSheetId="0">#REF!</definedName>
    <definedName name="_ME54" localSheetId="5">#REF!</definedName>
    <definedName name="_ME54" localSheetId="6">#REF!</definedName>
    <definedName name="_ME54" localSheetId="16">#REF!</definedName>
    <definedName name="_ME54" localSheetId="7">#REF!</definedName>
    <definedName name="_ME54">#REF!</definedName>
    <definedName name="_ME55" localSheetId="21">#REF!</definedName>
    <definedName name="_ME55" localSheetId="1">#REF!</definedName>
    <definedName name="_ME55" localSheetId="0">#REF!</definedName>
    <definedName name="_ME55" localSheetId="5">#REF!</definedName>
    <definedName name="_ME55" localSheetId="6">#REF!</definedName>
    <definedName name="_ME55" localSheetId="16">#REF!</definedName>
    <definedName name="_ME55" localSheetId="7">#REF!</definedName>
    <definedName name="_ME55">#REF!</definedName>
    <definedName name="_ME56" localSheetId="21">#REF!</definedName>
    <definedName name="_ME56" localSheetId="1">#REF!</definedName>
    <definedName name="_ME56" localSheetId="0">#REF!</definedName>
    <definedName name="_ME56" localSheetId="5">#REF!</definedName>
    <definedName name="_ME56" localSheetId="6">#REF!</definedName>
    <definedName name="_ME56" localSheetId="16">#REF!</definedName>
    <definedName name="_ME56" localSheetId="7">#REF!</definedName>
    <definedName name="_ME56">#REF!</definedName>
    <definedName name="_ME57" localSheetId="21">#REF!</definedName>
    <definedName name="_ME57" localSheetId="1">#REF!</definedName>
    <definedName name="_ME57" localSheetId="0">#REF!</definedName>
    <definedName name="_ME57" localSheetId="5">#REF!</definedName>
    <definedName name="_ME57" localSheetId="6">#REF!</definedName>
    <definedName name="_ME57" localSheetId="16">#REF!</definedName>
    <definedName name="_ME57" localSheetId="7">#REF!</definedName>
    <definedName name="_ME57">#REF!</definedName>
    <definedName name="_ME58" localSheetId="21">#REF!</definedName>
    <definedName name="_ME58" localSheetId="1">#REF!</definedName>
    <definedName name="_ME58" localSheetId="0">#REF!</definedName>
    <definedName name="_ME58" localSheetId="5">#REF!</definedName>
    <definedName name="_ME58" localSheetId="6">#REF!</definedName>
    <definedName name="_ME58" localSheetId="16">#REF!</definedName>
    <definedName name="_ME58" localSheetId="7">#REF!</definedName>
    <definedName name="_ME58">#REF!</definedName>
    <definedName name="_ME59" localSheetId="21">#REF!</definedName>
    <definedName name="_ME59" localSheetId="1">#REF!</definedName>
    <definedName name="_ME59" localSheetId="0">#REF!</definedName>
    <definedName name="_ME59" localSheetId="5">#REF!</definedName>
    <definedName name="_ME59" localSheetId="6">#REF!</definedName>
    <definedName name="_ME59" localSheetId="16">#REF!</definedName>
    <definedName name="_ME59" localSheetId="7">#REF!</definedName>
    <definedName name="_ME59">#REF!</definedName>
    <definedName name="_ME60" localSheetId="21">#REF!</definedName>
    <definedName name="_ME60" localSheetId="1">#REF!</definedName>
    <definedName name="_ME60" localSheetId="0">#REF!</definedName>
    <definedName name="_ME60" localSheetId="5">#REF!</definedName>
    <definedName name="_ME60" localSheetId="6">#REF!</definedName>
    <definedName name="_ME60" localSheetId="16">#REF!</definedName>
    <definedName name="_ME60" localSheetId="7">#REF!</definedName>
    <definedName name="_ME60">#REF!</definedName>
    <definedName name="_ME61" localSheetId="21">#REF!</definedName>
    <definedName name="_ME61" localSheetId="1">#REF!</definedName>
    <definedName name="_ME61" localSheetId="0">#REF!</definedName>
    <definedName name="_ME61" localSheetId="5">#REF!</definedName>
    <definedName name="_ME61" localSheetId="6">#REF!</definedName>
    <definedName name="_ME61" localSheetId="16">#REF!</definedName>
    <definedName name="_ME61" localSheetId="7">#REF!</definedName>
    <definedName name="_ME61">#REF!</definedName>
    <definedName name="_ME62" localSheetId="21">#REF!</definedName>
    <definedName name="_ME62" localSheetId="1">#REF!</definedName>
    <definedName name="_ME62" localSheetId="0">#REF!</definedName>
    <definedName name="_ME62" localSheetId="5">#REF!</definedName>
    <definedName name="_ME62" localSheetId="6">#REF!</definedName>
    <definedName name="_ME62" localSheetId="16">#REF!</definedName>
    <definedName name="_ME62" localSheetId="7">#REF!</definedName>
    <definedName name="_ME62">#REF!</definedName>
    <definedName name="_ME63" localSheetId="21">#REF!</definedName>
    <definedName name="_ME63" localSheetId="1">#REF!</definedName>
    <definedName name="_ME63" localSheetId="0">#REF!</definedName>
    <definedName name="_ME63" localSheetId="5">#REF!</definedName>
    <definedName name="_ME63" localSheetId="6">#REF!</definedName>
    <definedName name="_ME63" localSheetId="16">#REF!</definedName>
    <definedName name="_ME63" localSheetId="7">#REF!</definedName>
    <definedName name="_ME63">#REF!</definedName>
    <definedName name="_ME64" localSheetId="21">#REF!</definedName>
    <definedName name="_ME64" localSheetId="1">#REF!</definedName>
    <definedName name="_ME64" localSheetId="0">#REF!</definedName>
    <definedName name="_ME64" localSheetId="5">#REF!</definedName>
    <definedName name="_ME64" localSheetId="6">#REF!</definedName>
    <definedName name="_ME64" localSheetId="16">#REF!</definedName>
    <definedName name="_ME64" localSheetId="7">#REF!</definedName>
    <definedName name="_ME64">#REF!</definedName>
    <definedName name="_ME65" localSheetId="21">#REF!</definedName>
    <definedName name="_ME65" localSheetId="1">#REF!</definedName>
    <definedName name="_ME65" localSheetId="0">#REF!</definedName>
    <definedName name="_ME65" localSheetId="5">#REF!</definedName>
    <definedName name="_ME65" localSheetId="6">#REF!</definedName>
    <definedName name="_ME65" localSheetId="16">#REF!</definedName>
    <definedName name="_ME65" localSheetId="7">#REF!</definedName>
    <definedName name="_ME65">#REF!</definedName>
    <definedName name="_ME66" localSheetId="21">#REF!</definedName>
    <definedName name="_ME66" localSheetId="1">#REF!</definedName>
    <definedName name="_ME66" localSheetId="0">#REF!</definedName>
    <definedName name="_ME66" localSheetId="5">#REF!</definedName>
    <definedName name="_ME66" localSheetId="6">#REF!</definedName>
    <definedName name="_ME66" localSheetId="16">#REF!</definedName>
    <definedName name="_ME66" localSheetId="7">#REF!</definedName>
    <definedName name="_ME66">#REF!</definedName>
    <definedName name="_ME67" localSheetId="21">#REF!</definedName>
    <definedName name="_ME67" localSheetId="1">#REF!</definedName>
    <definedName name="_ME67" localSheetId="0">#REF!</definedName>
    <definedName name="_ME67" localSheetId="5">#REF!</definedName>
    <definedName name="_ME67" localSheetId="6">#REF!</definedName>
    <definedName name="_ME67" localSheetId="16">#REF!</definedName>
    <definedName name="_ME67" localSheetId="7">#REF!</definedName>
    <definedName name="_ME67">#REF!</definedName>
    <definedName name="_ME68" localSheetId="21">#REF!</definedName>
    <definedName name="_ME68" localSheetId="1">#REF!</definedName>
    <definedName name="_ME68" localSheetId="0">#REF!</definedName>
    <definedName name="_ME68" localSheetId="5">#REF!</definedName>
    <definedName name="_ME68" localSheetId="6">#REF!</definedName>
    <definedName name="_ME68" localSheetId="16">#REF!</definedName>
    <definedName name="_ME68" localSheetId="7">#REF!</definedName>
    <definedName name="_ME68">#REF!</definedName>
    <definedName name="_MF8" localSheetId="21">#REF!</definedName>
    <definedName name="_MF8" localSheetId="1">#REF!</definedName>
    <definedName name="_MF8" localSheetId="0">#REF!</definedName>
    <definedName name="_MF8" localSheetId="5">#REF!</definedName>
    <definedName name="_MF8" localSheetId="6">#REF!</definedName>
    <definedName name="_MF8" localSheetId="16">#REF!</definedName>
    <definedName name="_MF8" localSheetId="7">#REF!</definedName>
    <definedName name="_MF8">#REF!</definedName>
    <definedName name="_MG41" localSheetId="21">#REF!</definedName>
    <definedName name="_MG41" localSheetId="1">#REF!</definedName>
    <definedName name="_MG41" localSheetId="0">#REF!</definedName>
    <definedName name="_MG41" localSheetId="5">#REF!</definedName>
    <definedName name="_MG41" localSheetId="6">#REF!</definedName>
    <definedName name="_MG41" localSheetId="16">#REF!</definedName>
    <definedName name="_MG41" localSheetId="7">#REF!</definedName>
    <definedName name="_MG41">#REF!</definedName>
    <definedName name="_MG53" localSheetId="21">#REF!</definedName>
    <definedName name="_MG53" localSheetId="1">#REF!</definedName>
    <definedName name="_MG53" localSheetId="0">#REF!</definedName>
    <definedName name="_MG53" localSheetId="5">#REF!</definedName>
    <definedName name="_MG53" localSheetId="6">#REF!</definedName>
    <definedName name="_MG53" localSheetId="16">#REF!</definedName>
    <definedName name="_MG53" localSheetId="7">#REF!</definedName>
    <definedName name="_MG53">#REF!</definedName>
    <definedName name="_MI2" localSheetId="21">#REF!</definedName>
    <definedName name="_MI2" localSheetId="1">#REF!</definedName>
    <definedName name="_MI2" localSheetId="0">#REF!</definedName>
    <definedName name="_MI2" localSheetId="5">#REF!</definedName>
    <definedName name="_MI2" localSheetId="6">#REF!</definedName>
    <definedName name="_MI2" localSheetId="16">#REF!</definedName>
    <definedName name="_MI2" localSheetId="7">#REF!</definedName>
    <definedName name="_MI2">#REF!</definedName>
    <definedName name="_MK020" localSheetId="21">#REF!</definedName>
    <definedName name="_MK020" localSheetId="1">#REF!</definedName>
    <definedName name="_MK020" localSheetId="0">#REF!</definedName>
    <definedName name="_MK020" localSheetId="5">#REF!</definedName>
    <definedName name="_MK020" localSheetId="6">#REF!</definedName>
    <definedName name="_MK020" localSheetId="16">#REF!</definedName>
    <definedName name="_MK020" localSheetId="7">#REF!</definedName>
    <definedName name="_MK020">#REF!</definedName>
    <definedName name="_MK040" localSheetId="21">#REF!</definedName>
    <definedName name="_MK040" localSheetId="1">#REF!</definedName>
    <definedName name="_MK040" localSheetId="0">#REF!</definedName>
    <definedName name="_MK040" localSheetId="5">#REF!</definedName>
    <definedName name="_MK040" localSheetId="6">#REF!</definedName>
    <definedName name="_MK040" localSheetId="16">#REF!</definedName>
    <definedName name="_MK040" localSheetId="7">#REF!</definedName>
    <definedName name="_MK040">#REF!</definedName>
    <definedName name="_MK110" localSheetId="21">#REF!</definedName>
    <definedName name="_MK110" localSheetId="1">#REF!</definedName>
    <definedName name="_MK110" localSheetId="0">#REF!</definedName>
    <definedName name="_MK110" localSheetId="5">#REF!</definedName>
    <definedName name="_MK110" localSheetId="6">#REF!</definedName>
    <definedName name="_MK110" localSheetId="16">#REF!</definedName>
    <definedName name="_MK110" localSheetId="7">#REF!</definedName>
    <definedName name="_MK110">#REF!</definedName>
    <definedName name="_MK112" localSheetId="21">#REF!</definedName>
    <definedName name="_MK112" localSheetId="1">#REF!</definedName>
    <definedName name="_MK112" localSheetId="0">#REF!</definedName>
    <definedName name="_MK112" localSheetId="5">#REF!</definedName>
    <definedName name="_MK112" localSheetId="6">#REF!</definedName>
    <definedName name="_MK112" localSheetId="16">#REF!</definedName>
    <definedName name="_MK112" localSheetId="7">#REF!</definedName>
    <definedName name="_MK112">#REF!</definedName>
    <definedName name="_MK121" localSheetId="21">#REF!</definedName>
    <definedName name="_MK121" localSheetId="1">#REF!</definedName>
    <definedName name="_MK121" localSheetId="0">#REF!</definedName>
    <definedName name="_MK121" localSheetId="5">#REF!</definedName>
    <definedName name="_MK121" localSheetId="6">#REF!</definedName>
    <definedName name="_MK121" localSheetId="16">#REF!</definedName>
    <definedName name="_MK121" localSheetId="7">#REF!</definedName>
    <definedName name="_MK121">#REF!</definedName>
    <definedName name="_MK123" localSheetId="21">#REF!</definedName>
    <definedName name="_MK123" localSheetId="1">#REF!</definedName>
    <definedName name="_MK123" localSheetId="0">#REF!</definedName>
    <definedName name="_MK123" localSheetId="5">#REF!</definedName>
    <definedName name="_MK123" localSheetId="6">#REF!</definedName>
    <definedName name="_MK123" localSheetId="16">#REF!</definedName>
    <definedName name="_MK123" localSheetId="7">#REF!</definedName>
    <definedName name="_MK123">#REF!</definedName>
    <definedName name="_MK127" localSheetId="21">#REF!</definedName>
    <definedName name="_MK127" localSheetId="1">#REF!</definedName>
    <definedName name="_MK127" localSheetId="0">#REF!</definedName>
    <definedName name="_MK127" localSheetId="5">#REF!</definedName>
    <definedName name="_MK127" localSheetId="6">#REF!</definedName>
    <definedName name="_MK127" localSheetId="16">#REF!</definedName>
    <definedName name="_MK127" localSheetId="7">#REF!</definedName>
    <definedName name="_MK127">#REF!</definedName>
    <definedName name="_MK132" localSheetId="21">#REF!</definedName>
    <definedName name="_MK132" localSheetId="1">#REF!</definedName>
    <definedName name="_MK132" localSheetId="0">#REF!</definedName>
    <definedName name="_MK132" localSheetId="5">#REF!</definedName>
    <definedName name="_MK132" localSheetId="6">#REF!</definedName>
    <definedName name="_MK132" localSheetId="16">#REF!</definedName>
    <definedName name="_MK132" localSheetId="7">#REF!</definedName>
    <definedName name="_MK132">#REF!</definedName>
    <definedName name="_MK139" localSheetId="21">#REF!</definedName>
    <definedName name="_MK139" localSheetId="1">#REF!</definedName>
    <definedName name="_MK139" localSheetId="0">#REF!</definedName>
    <definedName name="_MK139" localSheetId="5">#REF!</definedName>
    <definedName name="_MK139" localSheetId="6">#REF!</definedName>
    <definedName name="_MK139" localSheetId="16">#REF!</definedName>
    <definedName name="_MK139" localSheetId="7">#REF!</definedName>
    <definedName name="_MK139">#REF!</definedName>
    <definedName name="_MK19" localSheetId="21">#REF!</definedName>
    <definedName name="_MK19" localSheetId="1">#REF!</definedName>
    <definedName name="_MK19" localSheetId="0">#REF!</definedName>
    <definedName name="_MK19" localSheetId="5">#REF!</definedName>
    <definedName name="_MK19" localSheetId="6">#REF!</definedName>
    <definedName name="_MK19" localSheetId="16">#REF!</definedName>
    <definedName name="_MK19" localSheetId="7">#REF!</definedName>
    <definedName name="_MK19">#REF!</definedName>
    <definedName name="_MK210" localSheetId="21">#REF!</definedName>
    <definedName name="_MK210" localSheetId="1">#REF!</definedName>
    <definedName name="_MK210" localSheetId="0">#REF!</definedName>
    <definedName name="_MK210" localSheetId="5">#REF!</definedName>
    <definedName name="_MK210" localSheetId="6">#REF!</definedName>
    <definedName name="_MK210" localSheetId="16">#REF!</definedName>
    <definedName name="_MK210" localSheetId="7">#REF!</definedName>
    <definedName name="_MK210">#REF!</definedName>
    <definedName name="_MK224" localSheetId="21">#REF!</definedName>
    <definedName name="_MK224" localSheetId="1">#REF!</definedName>
    <definedName name="_MK224" localSheetId="0">#REF!</definedName>
    <definedName name="_MK224" localSheetId="5">#REF!</definedName>
    <definedName name="_MK224" localSheetId="6">#REF!</definedName>
    <definedName name="_MK224" localSheetId="16">#REF!</definedName>
    <definedName name="_MK224" localSheetId="7">#REF!</definedName>
    <definedName name="_MK224">#REF!</definedName>
    <definedName name="_MK225" localSheetId="21">#REF!</definedName>
    <definedName name="_MK225" localSheetId="1">#REF!</definedName>
    <definedName name="_MK225" localSheetId="0">#REF!</definedName>
    <definedName name="_MK225" localSheetId="5">#REF!</definedName>
    <definedName name="_MK225" localSheetId="6">#REF!</definedName>
    <definedName name="_MK225" localSheetId="16">#REF!</definedName>
    <definedName name="_MK225" localSheetId="7">#REF!</definedName>
    <definedName name="_MK225">#REF!</definedName>
    <definedName name="_MK311" localSheetId="21">#REF!</definedName>
    <definedName name="_MK311" localSheetId="1">#REF!</definedName>
    <definedName name="_MK311" localSheetId="0">#REF!</definedName>
    <definedName name="_MK311" localSheetId="5">#REF!</definedName>
    <definedName name="_MK311" localSheetId="6">#REF!</definedName>
    <definedName name="_MK311" localSheetId="16">#REF!</definedName>
    <definedName name="_MK311" localSheetId="7">#REF!</definedName>
    <definedName name="_MK311">#REF!</definedName>
    <definedName name="_MK321" localSheetId="21">#REF!</definedName>
    <definedName name="_MK321" localSheetId="1">#REF!</definedName>
    <definedName name="_MK321" localSheetId="0">#REF!</definedName>
    <definedName name="_MK321" localSheetId="5">#REF!</definedName>
    <definedName name="_MK321" localSheetId="6">#REF!</definedName>
    <definedName name="_MK321" localSheetId="16">#REF!</definedName>
    <definedName name="_MK321" localSheetId="7">#REF!</definedName>
    <definedName name="_MK321">#REF!</definedName>
    <definedName name="_MK342" localSheetId="21">#REF!</definedName>
    <definedName name="_MK342" localSheetId="1">#REF!</definedName>
    <definedName name="_MK342" localSheetId="0">#REF!</definedName>
    <definedName name="_MK342" localSheetId="5">#REF!</definedName>
    <definedName name="_MK342" localSheetId="6">#REF!</definedName>
    <definedName name="_MK342" localSheetId="16">#REF!</definedName>
    <definedName name="_MK342" localSheetId="7">#REF!</definedName>
    <definedName name="_MK342">#REF!</definedName>
    <definedName name="_MK36" localSheetId="21">#REF!</definedName>
    <definedName name="_MK36" localSheetId="1">#REF!</definedName>
    <definedName name="_MK36" localSheetId="0">#REF!</definedName>
    <definedName name="_MK36" localSheetId="5">#REF!</definedName>
    <definedName name="_MK36" localSheetId="6">#REF!</definedName>
    <definedName name="_MK36" localSheetId="16">#REF!</definedName>
    <definedName name="_MK36" localSheetId="7">#REF!</definedName>
    <definedName name="_MK36">#REF!</definedName>
    <definedName name="_MK37" localSheetId="21">#REF!</definedName>
    <definedName name="_MK37" localSheetId="1">#REF!</definedName>
    <definedName name="_MK37" localSheetId="0">#REF!</definedName>
    <definedName name="_MK37" localSheetId="5">#REF!</definedName>
    <definedName name="_MK37" localSheetId="6">#REF!</definedName>
    <definedName name="_MK37" localSheetId="16">#REF!</definedName>
    <definedName name="_MK37" localSheetId="7">#REF!</definedName>
    <definedName name="_MK37">#REF!</definedName>
    <definedName name="_MK411" localSheetId="21">#REF!</definedName>
    <definedName name="_MK411" localSheetId="1">#REF!</definedName>
    <definedName name="_MK411" localSheetId="0">#REF!</definedName>
    <definedName name="_MK411" localSheetId="5">#REF!</definedName>
    <definedName name="_MK411" localSheetId="6">#REF!</definedName>
    <definedName name="_MK411" localSheetId="16">#REF!</definedName>
    <definedName name="_MK411" localSheetId="7">#REF!</definedName>
    <definedName name="_MK411">#REF!</definedName>
    <definedName name="_MK424" localSheetId="21">#REF!</definedName>
    <definedName name="_MK424" localSheetId="1">#REF!</definedName>
    <definedName name="_MK424" localSheetId="0">#REF!</definedName>
    <definedName name="_MK424" localSheetId="5">#REF!</definedName>
    <definedName name="_MK424" localSheetId="6">#REF!</definedName>
    <definedName name="_MK424" localSheetId="16">#REF!</definedName>
    <definedName name="_MK424" localSheetId="7">#REF!</definedName>
    <definedName name="_MK424">#REF!</definedName>
    <definedName name="_MK514" localSheetId="21">#REF!</definedName>
    <definedName name="_MK514" localSheetId="1">#REF!</definedName>
    <definedName name="_MK514" localSheetId="0">#REF!</definedName>
    <definedName name="_MK514" localSheetId="5">#REF!</definedName>
    <definedName name="_MK514" localSheetId="6">#REF!</definedName>
    <definedName name="_MK514" localSheetId="16">#REF!</definedName>
    <definedName name="_MK514" localSheetId="7">#REF!</definedName>
    <definedName name="_MK514">#REF!</definedName>
    <definedName name="_MK522" localSheetId="21">#REF!</definedName>
    <definedName name="_MK522" localSheetId="1">#REF!</definedName>
    <definedName name="_MK522" localSheetId="0">#REF!</definedName>
    <definedName name="_MK522" localSheetId="5">#REF!</definedName>
    <definedName name="_MK522" localSheetId="6">#REF!</definedName>
    <definedName name="_MK522" localSheetId="16">#REF!</definedName>
    <definedName name="_MK522" localSheetId="7">#REF!</definedName>
    <definedName name="_MK522">#REF!</definedName>
    <definedName name="_MK618" localSheetId="21">#REF!</definedName>
    <definedName name="_MK618" localSheetId="1">#REF!</definedName>
    <definedName name="_MK618" localSheetId="0">#REF!</definedName>
    <definedName name="_MK618" localSheetId="5">#REF!</definedName>
    <definedName name="_MK618" localSheetId="6">#REF!</definedName>
    <definedName name="_MK618" localSheetId="16">#REF!</definedName>
    <definedName name="_MK618" localSheetId="7">#REF!</definedName>
    <definedName name="_MK618">#REF!</definedName>
    <definedName name="_MK621" localSheetId="21">#REF!</definedName>
    <definedName name="_MK621" localSheetId="1">#REF!</definedName>
    <definedName name="_MK621" localSheetId="0">#REF!</definedName>
    <definedName name="_MK621" localSheetId="5">#REF!</definedName>
    <definedName name="_MK621" localSheetId="6">#REF!</definedName>
    <definedName name="_MK621" localSheetId="16">#REF!</definedName>
    <definedName name="_MK621" localSheetId="7">#REF!</definedName>
    <definedName name="_MK621">#REF!</definedName>
    <definedName name="_MK641" localSheetId="21">#REF!</definedName>
    <definedName name="_MK641" localSheetId="1">#REF!</definedName>
    <definedName name="_MK641" localSheetId="0">#REF!</definedName>
    <definedName name="_MK641" localSheetId="5">#REF!</definedName>
    <definedName name="_MK641" localSheetId="6">#REF!</definedName>
    <definedName name="_MK641" localSheetId="16">#REF!</definedName>
    <definedName name="_MK641" localSheetId="7">#REF!</definedName>
    <definedName name="_MK641">#REF!</definedName>
    <definedName name="_MK710" localSheetId="21">#REF!</definedName>
    <definedName name="_MK710" localSheetId="1">#REF!</definedName>
    <definedName name="_MK710" localSheetId="0">#REF!</definedName>
    <definedName name="_MK710" localSheetId="5">#REF!</definedName>
    <definedName name="_MK710" localSheetId="6">#REF!</definedName>
    <definedName name="_MK710" localSheetId="16">#REF!</definedName>
    <definedName name="_MK710" localSheetId="7">#REF!</definedName>
    <definedName name="_MK710">#REF!</definedName>
    <definedName name="_MK715" localSheetId="21">#REF!</definedName>
    <definedName name="_MK715" localSheetId="1">#REF!</definedName>
    <definedName name="_MK715" localSheetId="0">#REF!</definedName>
    <definedName name="_MK715" localSheetId="5">#REF!</definedName>
    <definedName name="_MK715" localSheetId="6">#REF!</definedName>
    <definedName name="_MK715" localSheetId="16">#REF!</definedName>
    <definedName name="_MK715" localSheetId="7">#REF!</definedName>
    <definedName name="_MK715">#REF!</definedName>
    <definedName name="_MK720" localSheetId="21">#REF!</definedName>
    <definedName name="_MK720" localSheetId="1">#REF!</definedName>
    <definedName name="_MK720" localSheetId="0">#REF!</definedName>
    <definedName name="_MK720" localSheetId="5">#REF!</definedName>
    <definedName name="_MK720" localSheetId="6">#REF!</definedName>
    <definedName name="_MK720" localSheetId="16">#REF!</definedName>
    <definedName name="_MK720" localSheetId="7">#REF!</definedName>
    <definedName name="_MK720">#REF!</definedName>
    <definedName name="_MK725" localSheetId="21">#REF!</definedName>
    <definedName name="_MK725" localSheetId="1">#REF!</definedName>
    <definedName name="_MK725" localSheetId="0">#REF!</definedName>
    <definedName name="_MK725" localSheetId="5">#REF!</definedName>
    <definedName name="_MK725" localSheetId="6">#REF!</definedName>
    <definedName name="_MK725" localSheetId="16">#REF!</definedName>
    <definedName name="_MK725" localSheetId="7">#REF!</definedName>
    <definedName name="_MK725">#REF!</definedName>
    <definedName name="_MK810" localSheetId="21">#REF!</definedName>
    <definedName name="_MK810" localSheetId="1">#REF!</definedName>
    <definedName name="_MK810" localSheetId="0">#REF!</definedName>
    <definedName name="_MK810" localSheetId="5">#REF!</definedName>
    <definedName name="_MK810" localSheetId="6">#REF!</definedName>
    <definedName name="_MK810" localSheetId="16">#REF!</definedName>
    <definedName name="_MK810" localSheetId="7">#REF!</definedName>
    <definedName name="_MK810">#REF!</definedName>
    <definedName name="_MK855" localSheetId="21">#REF!</definedName>
    <definedName name="_MK855" localSheetId="1">#REF!</definedName>
    <definedName name="_MK855" localSheetId="0">#REF!</definedName>
    <definedName name="_MK855" localSheetId="5">#REF!</definedName>
    <definedName name="_MK855" localSheetId="6">#REF!</definedName>
    <definedName name="_MK855" localSheetId="16">#REF!</definedName>
    <definedName name="_MK855" localSheetId="7">#REF!</definedName>
    <definedName name="_MK855">#REF!</definedName>
    <definedName name="_MMM01" localSheetId="18">#REF!</definedName>
    <definedName name="_MMM01" localSheetId="10">#REF!</definedName>
    <definedName name="_MMM01" localSheetId="21">#REF!</definedName>
    <definedName name="_MMM01" localSheetId="1">#REF!</definedName>
    <definedName name="_MMM01" localSheetId="0">#REF!</definedName>
    <definedName name="_MMM01" localSheetId="5">#REF!</definedName>
    <definedName name="_MMM01" localSheetId="6">#REF!</definedName>
    <definedName name="_MMM01" localSheetId="16">#REF!</definedName>
    <definedName name="_MMM01" localSheetId="7">#REF!</definedName>
    <definedName name="_MMM01">#REF!</definedName>
    <definedName name="_MMM02" localSheetId="18">#REF!</definedName>
    <definedName name="_MMM02" localSheetId="10">#REF!</definedName>
    <definedName name="_MMM02" localSheetId="21">#REF!</definedName>
    <definedName name="_MMM02" localSheetId="1">#REF!</definedName>
    <definedName name="_MMM02" localSheetId="0">#REF!</definedName>
    <definedName name="_MMM02" localSheetId="5">#REF!</definedName>
    <definedName name="_MMM02" localSheetId="6">#REF!</definedName>
    <definedName name="_MMM02" localSheetId="16">#REF!</definedName>
    <definedName name="_MMM02" localSheetId="7">#REF!</definedName>
    <definedName name="_MMM02">#REF!</definedName>
    <definedName name="_MMM03" localSheetId="18">#REF!</definedName>
    <definedName name="_MMM03" localSheetId="10">#REF!</definedName>
    <definedName name="_MMM03" localSheetId="21">#REF!</definedName>
    <definedName name="_MMM03" localSheetId="1">#REF!</definedName>
    <definedName name="_MMM03" localSheetId="0">#REF!</definedName>
    <definedName name="_MMM03" localSheetId="5">#REF!</definedName>
    <definedName name="_MMM03" localSheetId="6">#REF!</definedName>
    <definedName name="_MMM03" localSheetId="16">#REF!</definedName>
    <definedName name="_MMM03" localSheetId="7">#REF!</definedName>
    <definedName name="_MMM03">#REF!</definedName>
    <definedName name="_MMM035" localSheetId="18">#REF!</definedName>
    <definedName name="_MMM035" localSheetId="10">#REF!</definedName>
    <definedName name="_MMM035" localSheetId="21">#REF!</definedName>
    <definedName name="_MMM035" localSheetId="1">#REF!</definedName>
    <definedName name="_MMM035" localSheetId="0">#REF!</definedName>
    <definedName name="_MMM035" localSheetId="5">#REF!</definedName>
    <definedName name="_MMM035" localSheetId="6">#REF!</definedName>
    <definedName name="_MMM035" localSheetId="16">#REF!</definedName>
    <definedName name="_MMM035" localSheetId="7">#REF!</definedName>
    <definedName name="_MMM035">#REF!</definedName>
    <definedName name="_MMM04" localSheetId="18">#REF!</definedName>
    <definedName name="_MMM04" localSheetId="10">#REF!</definedName>
    <definedName name="_MMM04" localSheetId="21">#REF!</definedName>
    <definedName name="_MMM04" localSheetId="1">#REF!</definedName>
    <definedName name="_MMM04" localSheetId="0">#REF!</definedName>
    <definedName name="_MMM04" localSheetId="5">#REF!</definedName>
    <definedName name="_MMM04" localSheetId="6">#REF!</definedName>
    <definedName name="_MMM04" localSheetId="16">#REF!</definedName>
    <definedName name="_MMM04" localSheetId="7">#REF!</definedName>
    <definedName name="_MMM04">#REF!</definedName>
    <definedName name="_MMM05" localSheetId="18">#REF!</definedName>
    <definedName name="_MMM05" localSheetId="10">#REF!</definedName>
    <definedName name="_MMM05" localSheetId="21">#REF!</definedName>
    <definedName name="_MMM05" localSheetId="1">#REF!</definedName>
    <definedName name="_MMM05" localSheetId="0">#REF!</definedName>
    <definedName name="_MMM05" localSheetId="5">#REF!</definedName>
    <definedName name="_MMM05" localSheetId="6">#REF!</definedName>
    <definedName name="_MMM05" localSheetId="16">#REF!</definedName>
    <definedName name="_MMM05" localSheetId="7">#REF!</definedName>
    <definedName name="_MMM05">#REF!</definedName>
    <definedName name="_MMM06" localSheetId="18">#REF!</definedName>
    <definedName name="_MMM06" localSheetId="10">#REF!</definedName>
    <definedName name="_MMM06" localSheetId="21">#REF!</definedName>
    <definedName name="_MMM06" localSheetId="1">#REF!</definedName>
    <definedName name="_MMM06" localSheetId="0">#REF!</definedName>
    <definedName name="_MMM06" localSheetId="5">#REF!</definedName>
    <definedName name="_MMM06" localSheetId="6">#REF!</definedName>
    <definedName name="_MMM06" localSheetId="16">#REF!</definedName>
    <definedName name="_MMM06" localSheetId="7">#REF!</definedName>
    <definedName name="_MMM06">#REF!</definedName>
    <definedName name="_MMM07" localSheetId="18">#REF!</definedName>
    <definedName name="_MMM07" localSheetId="10">#REF!</definedName>
    <definedName name="_MMM07" localSheetId="21">#REF!</definedName>
    <definedName name="_MMM07" localSheetId="1">#REF!</definedName>
    <definedName name="_MMM07" localSheetId="0">#REF!</definedName>
    <definedName name="_MMM07" localSheetId="5">#REF!</definedName>
    <definedName name="_MMM07" localSheetId="6">#REF!</definedName>
    <definedName name="_MMM07" localSheetId="16">#REF!</definedName>
    <definedName name="_MMM07" localSheetId="7">#REF!</definedName>
    <definedName name="_MMM07">#REF!</definedName>
    <definedName name="_MMM08" localSheetId="18">#REF!</definedName>
    <definedName name="_MMM08" localSheetId="10">#REF!</definedName>
    <definedName name="_MMM08" localSheetId="21">#REF!</definedName>
    <definedName name="_MMM08" localSheetId="1">#REF!</definedName>
    <definedName name="_MMM08" localSheetId="0">#REF!</definedName>
    <definedName name="_MMM08" localSheetId="5">#REF!</definedName>
    <definedName name="_MMM08" localSheetId="6">#REF!</definedName>
    <definedName name="_MMM08" localSheetId="16">#REF!</definedName>
    <definedName name="_MMM08" localSheetId="7">#REF!</definedName>
    <definedName name="_MMM08">#REF!</definedName>
    <definedName name="_MMM09" localSheetId="18">#REF!</definedName>
    <definedName name="_MMM09" localSheetId="10">#REF!</definedName>
    <definedName name="_MMM09" localSheetId="21">#REF!</definedName>
    <definedName name="_MMM09" localSheetId="1">#REF!</definedName>
    <definedName name="_MMM09" localSheetId="0">#REF!</definedName>
    <definedName name="_MMM09" localSheetId="5">#REF!</definedName>
    <definedName name="_MMM09" localSheetId="6">#REF!</definedName>
    <definedName name="_MMM09" localSheetId="16">#REF!</definedName>
    <definedName name="_MMM09" localSheetId="7">#REF!</definedName>
    <definedName name="_MMM09">#REF!</definedName>
    <definedName name="_MMM10" localSheetId="18">#REF!</definedName>
    <definedName name="_MMM10" localSheetId="10">#REF!</definedName>
    <definedName name="_MMM10" localSheetId="21">#REF!</definedName>
    <definedName name="_MMM10" localSheetId="1">#REF!</definedName>
    <definedName name="_MMM10" localSheetId="0">#REF!</definedName>
    <definedName name="_MMM10" localSheetId="5">#REF!</definedName>
    <definedName name="_MMM10" localSheetId="6">#REF!</definedName>
    <definedName name="_MMM10" localSheetId="16">#REF!</definedName>
    <definedName name="_MMM10" localSheetId="7">#REF!</definedName>
    <definedName name="_MMM10">#REF!</definedName>
    <definedName name="_mmm105" localSheetId="18">#REF!</definedName>
    <definedName name="_mmm105" localSheetId="10">#REF!</definedName>
    <definedName name="_mmm105" localSheetId="21">#REF!</definedName>
    <definedName name="_mmm105" localSheetId="1">#REF!</definedName>
    <definedName name="_mmm105" localSheetId="0">#REF!</definedName>
    <definedName name="_mmm105" localSheetId="5">#REF!</definedName>
    <definedName name="_mmm105" localSheetId="6">#REF!</definedName>
    <definedName name="_mmm105" localSheetId="16">#REF!</definedName>
    <definedName name="_mmm105" localSheetId="7">#REF!</definedName>
    <definedName name="_mmm105">#REF!</definedName>
    <definedName name="_MMM11" localSheetId="18">#REF!</definedName>
    <definedName name="_MMM11" localSheetId="10">#REF!</definedName>
    <definedName name="_MMM11" localSheetId="21">#REF!</definedName>
    <definedName name="_MMM11" localSheetId="1">#REF!</definedName>
    <definedName name="_MMM11" localSheetId="0">#REF!</definedName>
    <definedName name="_MMM11" localSheetId="5">#REF!</definedName>
    <definedName name="_MMM11" localSheetId="6">#REF!</definedName>
    <definedName name="_MMM11" localSheetId="16">#REF!</definedName>
    <definedName name="_MMM11" localSheetId="7">#REF!</definedName>
    <definedName name="_MMM11">#REF!</definedName>
    <definedName name="_MMM12" localSheetId="18">#REF!</definedName>
    <definedName name="_MMM12" localSheetId="10">#REF!</definedName>
    <definedName name="_MMM12" localSheetId="21">#REF!</definedName>
    <definedName name="_MMM12" localSheetId="1">#REF!</definedName>
    <definedName name="_MMM12" localSheetId="0">#REF!</definedName>
    <definedName name="_MMM12" localSheetId="5">#REF!</definedName>
    <definedName name="_MMM12" localSheetId="6">#REF!</definedName>
    <definedName name="_MMM12" localSheetId="16">#REF!</definedName>
    <definedName name="_MMM12" localSheetId="7">#REF!</definedName>
    <definedName name="_MMM12">#REF!</definedName>
    <definedName name="_MMM13" localSheetId="18">#REF!</definedName>
    <definedName name="_MMM13" localSheetId="10">#REF!</definedName>
    <definedName name="_MMM13" localSheetId="21">#REF!</definedName>
    <definedName name="_MMM13" localSheetId="1">#REF!</definedName>
    <definedName name="_MMM13" localSheetId="0">#REF!</definedName>
    <definedName name="_MMM13" localSheetId="5">#REF!</definedName>
    <definedName name="_MMM13" localSheetId="6">#REF!</definedName>
    <definedName name="_MMM13" localSheetId="16">#REF!</definedName>
    <definedName name="_MMM13" localSheetId="7">#REF!</definedName>
    <definedName name="_MMM13">#REF!</definedName>
    <definedName name="_MMM14" localSheetId="18">#REF!</definedName>
    <definedName name="_MMM14" localSheetId="10">#REF!</definedName>
    <definedName name="_MMM14" localSheetId="21">#REF!</definedName>
    <definedName name="_MMM14" localSheetId="1">#REF!</definedName>
    <definedName name="_MMM14" localSheetId="0">#REF!</definedName>
    <definedName name="_MMM14" localSheetId="5">#REF!</definedName>
    <definedName name="_MMM14" localSheetId="6">#REF!</definedName>
    <definedName name="_MMM14" localSheetId="16">#REF!</definedName>
    <definedName name="_MMM14" localSheetId="7">#REF!</definedName>
    <definedName name="_MMM14">#REF!</definedName>
    <definedName name="_MMM15" localSheetId="18">#REF!</definedName>
    <definedName name="_MMM15" localSheetId="10">#REF!</definedName>
    <definedName name="_MMM15" localSheetId="21">#REF!</definedName>
    <definedName name="_MMM15" localSheetId="1">#REF!</definedName>
    <definedName name="_MMM15" localSheetId="0">#REF!</definedName>
    <definedName name="_MMM15" localSheetId="5">#REF!</definedName>
    <definedName name="_MMM15" localSheetId="6">#REF!</definedName>
    <definedName name="_MMM15" localSheetId="16">#REF!</definedName>
    <definedName name="_MMM15" localSheetId="7">#REF!</definedName>
    <definedName name="_MMM15">#REF!</definedName>
    <definedName name="_MMM16" localSheetId="18">#REF!</definedName>
    <definedName name="_MMM16" localSheetId="10">#REF!</definedName>
    <definedName name="_MMM16" localSheetId="21">#REF!</definedName>
    <definedName name="_MMM16" localSheetId="1">#REF!</definedName>
    <definedName name="_MMM16" localSheetId="0">#REF!</definedName>
    <definedName name="_MMM16" localSheetId="5">#REF!</definedName>
    <definedName name="_MMM16" localSheetId="6">#REF!</definedName>
    <definedName name="_MMM16" localSheetId="16">#REF!</definedName>
    <definedName name="_MMM16" localSheetId="7">#REF!</definedName>
    <definedName name="_MMM16">#REF!</definedName>
    <definedName name="_MMM17" localSheetId="18">#REF!</definedName>
    <definedName name="_MMM17" localSheetId="10">#REF!</definedName>
    <definedName name="_MMM17" localSheetId="21">#REF!</definedName>
    <definedName name="_MMM17" localSheetId="1">#REF!</definedName>
    <definedName name="_MMM17" localSheetId="0">#REF!</definedName>
    <definedName name="_MMM17" localSheetId="5">#REF!</definedName>
    <definedName name="_MMM17" localSheetId="6">#REF!</definedName>
    <definedName name="_MMM17" localSheetId="16">#REF!</definedName>
    <definedName name="_MMM17" localSheetId="7">#REF!</definedName>
    <definedName name="_MMM17">#REF!</definedName>
    <definedName name="_MMM18" localSheetId="18">#REF!</definedName>
    <definedName name="_MMM18" localSheetId="10">#REF!</definedName>
    <definedName name="_MMM18" localSheetId="21">#REF!</definedName>
    <definedName name="_MMM18" localSheetId="1">#REF!</definedName>
    <definedName name="_MMM18" localSheetId="0">#REF!</definedName>
    <definedName name="_MMM18" localSheetId="5">#REF!</definedName>
    <definedName name="_MMM18" localSheetId="6">#REF!</definedName>
    <definedName name="_MMM18" localSheetId="16">#REF!</definedName>
    <definedName name="_MMM18" localSheetId="7">#REF!</definedName>
    <definedName name="_MMM18">#REF!</definedName>
    <definedName name="_MMM19" localSheetId="18">#REF!</definedName>
    <definedName name="_MMM19" localSheetId="10">#REF!</definedName>
    <definedName name="_MMM19" localSheetId="21">#REF!</definedName>
    <definedName name="_MMM19" localSheetId="1">#REF!</definedName>
    <definedName name="_MMM19" localSheetId="0">#REF!</definedName>
    <definedName name="_MMM19" localSheetId="5">#REF!</definedName>
    <definedName name="_MMM19" localSheetId="6">#REF!</definedName>
    <definedName name="_MMM19" localSheetId="16">#REF!</definedName>
    <definedName name="_MMM19" localSheetId="7">#REF!</definedName>
    <definedName name="_MMM19">#REF!</definedName>
    <definedName name="_MMM20" localSheetId="18">#REF!</definedName>
    <definedName name="_MMM20" localSheetId="10">#REF!</definedName>
    <definedName name="_MMM20" localSheetId="21">#REF!</definedName>
    <definedName name="_MMM20" localSheetId="1">#REF!</definedName>
    <definedName name="_MMM20" localSheetId="0">#REF!</definedName>
    <definedName name="_MMM20" localSheetId="5">#REF!</definedName>
    <definedName name="_MMM20" localSheetId="6">#REF!</definedName>
    <definedName name="_MMM20" localSheetId="16">#REF!</definedName>
    <definedName name="_MMM20" localSheetId="7">#REF!</definedName>
    <definedName name="_MMM20">#REF!</definedName>
    <definedName name="_MMM21" localSheetId="18">#REF!</definedName>
    <definedName name="_MMM21" localSheetId="10">#REF!</definedName>
    <definedName name="_MMM21" localSheetId="21">#REF!</definedName>
    <definedName name="_MMM21" localSheetId="1">#REF!</definedName>
    <definedName name="_MMM21" localSheetId="0">#REF!</definedName>
    <definedName name="_MMM21" localSheetId="5">#REF!</definedName>
    <definedName name="_MMM21" localSheetId="6">#REF!</definedName>
    <definedName name="_MMM21" localSheetId="16">#REF!</definedName>
    <definedName name="_MMM21" localSheetId="7">#REF!</definedName>
    <definedName name="_MMM21">#REF!</definedName>
    <definedName name="_MMM22" localSheetId="18">#REF!</definedName>
    <definedName name="_MMM22" localSheetId="10">#REF!</definedName>
    <definedName name="_MMM22" localSheetId="21">#REF!</definedName>
    <definedName name="_MMM22" localSheetId="1">#REF!</definedName>
    <definedName name="_MMM22" localSheetId="0">#REF!</definedName>
    <definedName name="_MMM22" localSheetId="5">#REF!</definedName>
    <definedName name="_MMM22" localSheetId="6">#REF!</definedName>
    <definedName name="_MMM22" localSheetId="16">#REF!</definedName>
    <definedName name="_MMM22" localSheetId="7">#REF!</definedName>
    <definedName name="_MMM22">#REF!</definedName>
    <definedName name="_MMM23" localSheetId="18">#REF!</definedName>
    <definedName name="_MMM23" localSheetId="10">#REF!</definedName>
    <definedName name="_MMM23" localSheetId="21">#REF!</definedName>
    <definedName name="_MMM23" localSheetId="1">#REF!</definedName>
    <definedName name="_MMM23" localSheetId="0">#REF!</definedName>
    <definedName name="_MMM23" localSheetId="5">#REF!</definedName>
    <definedName name="_MMM23" localSheetId="6">#REF!</definedName>
    <definedName name="_MMM23" localSheetId="16">#REF!</definedName>
    <definedName name="_MMM23" localSheetId="7">#REF!</definedName>
    <definedName name="_MMM23">#REF!</definedName>
    <definedName name="_MMM24" localSheetId="18">#REF!</definedName>
    <definedName name="_MMM24" localSheetId="10">#REF!</definedName>
    <definedName name="_MMM24" localSheetId="21">#REF!</definedName>
    <definedName name="_MMM24" localSheetId="1">#REF!</definedName>
    <definedName name="_MMM24" localSheetId="0">#REF!</definedName>
    <definedName name="_MMM24" localSheetId="5">#REF!</definedName>
    <definedName name="_MMM24" localSheetId="6">#REF!</definedName>
    <definedName name="_MMM24" localSheetId="16">#REF!</definedName>
    <definedName name="_MMM24" localSheetId="7">#REF!</definedName>
    <definedName name="_MMM24">#REF!</definedName>
    <definedName name="_MMM25" localSheetId="18">#REF!</definedName>
    <definedName name="_MMM25" localSheetId="10">#REF!</definedName>
    <definedName name="_MMM25" localSheetId="21">#REF!</definedName>
    <definedName name="_MMM25" localSheetId="1">#REF!</definedName>
    <definedName name="_MMM25" localSheetId="0">#REF!</definedName>
    <definedName name="_MMM25" localSheetId="5">#REF!</definedName>
    <definedName name="_MMM25" localSheetId="6">#REF!</definedName>
    <definedName name="_MMM25" localSheetId="16">#REF!</definedName>
    <definedName name="_MMM25" localSheetId="7">#REF!</definedName>
    <definedName name="_MMM25">#REF!</definedName>
    <definedName name="_MMM26" localSheetId="18">#REF!</definedName>
    <definedName name="_MMM26" localSheetId="10">#REF!</definedName>
    <definedName name="_MMM26" localSheetId="21">#REF!</definedName>
    <definedName name="_MMM26" localSheetId="1">#REF!</definedName>
    <definedName name="_MMM26" localSheetId="0">#REF!</definedName>
    <definedName name="_MMM26" localSheetId="5">#REF!</definedName>
    <definedName name="_MMM26" localSheetId="6">#REF!</definedName>
    <definedName name="_MMM26" localSheetId="16">#REF!</definedName>
    <definedName name="_MMM26" localSheetId="7">#REF!</definedName>
    <definedName name="_MMM26">#REF!</definedName>
    <definedName name="_MMM27" localSheetId="18">#REF!</definedName>
    <definedName name="_MMM27" localSheetId="10">#REF!</definedName>
    <definedName name="_MMM27" localSheetId="21">#REF!</definedName>
    <definedName name="_MMM27" localSheetId="1">#REF!</definedName>
    <definedName name="_MMM27" localSheetId="0">#REF!</definedName>
    <definedName name="_MMM27" localSheetId="5">#REF!</definedName>
    <definedName name="_MMM27" localSheetId="6">#REF!</definedName>
    <definedName name="_MMM27" localSheetId="16">#REF!</definedName>
    <definedName name="_MMM27" localSheetId="7">#REF!</definedName>
    <definedName name="_MMM27">#REF!</definedName>
    <definedName name="_MMM28" localSheetId="18">#REF!</definedName>
    <definedName name="_MMM28" localSheetId="10">#REF!</definedName>
    <definedName name="_MMM28" localSheetId="21">#REF!</definedName>
    <definedName name="_MMM28" localSheetId="1">#REF!</definedName>
    <definedName name="_MMM28" localSheetId="0">#REF!</definedName>
    <definedName name="_MMM28" localSheetId="5">#REF!</definedName>
    <definedName name="_MMM28" localSheetId="6">#REF!</definedName>
    <definedName name="_MMM28" localSheetId="16">#REF!</definedName>
    <definedName name="_MMM28" localSheetId="7">#REF!</definedName>
    <definedName name="_MMM28">#REF!</definedName>
    <definedName name="_MMM29" localSheetId="18">#REF!</definedName>
    <definedName name="_MMM29" localSheetId="10">#REF!</definedName>
    <definedName name="_MMM29" localSheetId="21">#REF!</definedName>
    <definedName name="_MMM29" localSheetId="1">#REF!</definedName>
    <definedName name="_MMM29" localSheetId="0">#REF!</definedName>
    <definedName name="_MMM29" localSheetId="5">#REF!</definedName>
    <definedName name="_MMM29" localSheetId="6">#REF!</definedName>
    <definedName name="_MMM29" localSheetId="16">#REF!</definedName>
    <definedName name="_MMM29" localSheetId="7">#REF!</definedName>
    <definedName name="_MMM29">#REF!</definedName>
    <definedName name="_MMM30" localSheetId="18">#REF!</definedName>
    <definedName name="_MMM30" localSheetId="10">#REF!</definedName>
    <definedName name="_MMM30" localSheetId="21">#REF!</definedName>
    <definedName name="_MMM30" localSheetId="1">#REF!</definedName>
    <definedName name="_MMM30" localSheetId="0">#REF!</definedName>
    <definedName name="_MMM30" localSheetId="5">#REF!</definedName>
    <definedName name="_MMM30" localSheetId="6">#REF!</definedName>
    <definedName name="_MMM30" localSheetId="16">#REF!</definedName>
    <definedName name="_MMM30" localSheetId="7">#REF!</definedName>
    <definedName name="_MMM30">#REF!</definedName>
    <definedName name="_MMM31" localSheetId="18">#REF!</definedName>
    <definedName name="_MMM31" localSheetId="10">#REF!</definedName>
    <definedName name="_MMM31" localSheetId="21">#REF!</definedName>
    <definedName name="_MMM31" localSheetId="1">#REF!</definedName>
    <definedName name="_MMM31" localSheetId="0">#REF!</definedName>
    <definedName name="_MMM31" localSheetId="5">#REF!</definedName>
    <definedName name="_MMM31" localSheetId="6">#REF!</definedName>
    <definedName name="_MMM31" localSheetId="16">#REF!</definedName>
    <definedName name="_MMM31" localSheetId="7">#REF!</definedName>
    <definedName name="_MMM31">#REF!</definedName>
    <definedName name="_MMM32" localSheetId="18">#REF!</definedName>
    <definedName name="_MMM32" localSheetId="10">#REF!</definedName>
    <definedName name="_MMM32" localSheetId="21">#REF!</definedName>
    <definedName name="_MMM32" localSheetId="1">#REF!</definedName>
    <definedName name="_MMM32" localSheetId="0">#REF!</definedName>
    <definedName name="_MMM32" localSheetId="5">#REF!</definedName>
    <definedName name="_MMM32" localSheetId="6">#REF!</definedName>
    <definedName name="_MMM32" localSheetId="16">#REF!</definedName>
    <definedName name="_MMM32" localSheetId="7">#REF!</definedName>
    <definedName name="_MMM32">#REF!</definedName>
    <definedName name="_MMM33" localSheetId="18">#REF!</definedName>
    <definedName name="_MMM33" localSheetId="10">#REF!</definedName>
    <definedName name="_MMM33" localSheetId="21">#REF!</definedName>
    <definedName name="_MMM33" localSheetId="1">#REF!</definedName>
    <definedName name="_MMM33" localSheetId="0">#REF!</definedName>
    <definedName name="_MMM33" localSheetId="5">#REF!</definedName>
    <definedName name="_MMM33" localSheetId="6">#REF!</definedName>
    <definedName name="_MMM33" localSheetId="16">#REF!</definedName>
    <definedName name="_MMM33" localSheetId="7">#REF!</definedName>
    <definedName name="_MMM33">#REF!</definedName>
    <definedName name="_MMM34" localSheetId="18">#REF!</definedName>
    <definedName name="_MMM34" localSheetId="10">#REF!</definedName>
    <definedName name="_MMM34" localSheetId="21">#REF!</definedName>
    <definedName name="_MMM34" localSheetId="1">#REF!</definedName>
    <definedName name="_MMM34" localSheetId="0">#REF!</definedName>
    <definedName name="_MMM34" localSheetId="5">#REF!</definedName>
    <definedName name="_MMM34" localSheetId="6">#REF!</definedName>
    <definedName name="_MMM34" localSheetId="16">#REF!</definedName>
    <definedName name="_MMM34" localSheetId="7">#REF!</definedName>
    <definedName name="_MMM34">#REF!</definedName>
    <definedName name="_MMM35" localSheetId="18">#REF!</definedName>
    <definedName name="_MMM35" localSheetId="10">#REF!</definedName>
    <definedName name="_MMM35" localSheetId="21">#REF!</definedName>
    <definedName name="_MMM35" localSheetId="1">#REF!</definedName>
    <definedName name="_MMM35" localSheetId="0">#REF!</definedName>
    <definedName name="_MMM35" localSheetId="5">#REF!</definedName>
    <definedName name="_MMM35" localSheetId="6">#REF!</definedName>
    <definedName name="_MMM35" localSheetId="16">#REF!</definedName>
    <definedName name="_MMM35" localSheetId="7">#REF!</definedName>
    <definedName name="_MMM35">#REF!</definedName>
    <definedName name="_MMM36" localSheetId="18">#REF!</definedName>
    <definedName name="_MMM36" localSheetId="10">#REF!</definedName>
    <definedName name="_MMM36" localSheetId="21">#REF!</definedName>
    <definedName name="_MMM36" localSheetId="1">#REF!</definedName>
    <definedName name="_MMM36" localSheetId="0">#REF!</definedName>
    <definedName name="_MMM36" localSheetId="5">#REF!</definedName>
    <definedName name="_MMM36" localSheetId="6">#REF!</definedName>
    <definedName name="_MMM36" localSheetId="16">#REF!</definedName>
    <definedName name="_MMM36" localSheetId="7">#REF!</definedName>
    <definedName name="_MMM36">#REF!</definedName>
    <definedName name="_MMM37" localSheetId="18">#REF!</definedName>
    <definedName name="_MMM37" localSheetId="10">#REF!</definedName>
    <definedName name="_MMM37" localSheetId="21">#REF!</definedName>
    <definedName name="_MMM37" localSheetId="1">#REF!</definedName>
    <definedName name="_MMM37" localSheetId="0">#REF!</definedName>
    <definedName name="_MMM37" localSheetId="5">#REF!</definedName>
    <definedName name="_MMM37" localSheetId="6">#REF!</definedName>
    <definedName name="_MMM37" localSheetId="16">#REF!</definedName>
    <definedName name="_MMM37" localSheetId="7">#REF!</definedName>
    <definedName name="_MMM37">#REF!</definedName>
    <definedName name="_MMM38" localSheetId="18">#REF!</definedName>
    <definedName name="_MMM38" localSheetId="10">#REF!</definedName>
    <definedName name="_MMM38" localSheetId="21">#REF!</definedName>
    <definedName name="_MMM38" localSheetId="1">#REF!</definedName>
    <definedName name="_MMM38" localSheetId="0">#REF!</definedName>
    <definedName name="_MMM38" localSheetId="5">#REF!</definedName>
    <definedName name="_MMM38" localSheetId="6">#REF!</definedName>
    <definedName name="_MMM38" localSheetId="16">#REF!</definedName>
    <definedName name="_MMM38" localSheetId="7">#REF!</definedName>
    <definedName name="_MMM38">#REF!</definedName>
    <definedName name="_MMM39" localSheetId="18">#REF!</definedName>
    <definedName name="_MMM39" localSheetId="10">#REF!</definedName>
    <definedName name="_MMM39" localSheetId="21">#REF!</definedName>
    <definedName name="_MMM39" localSheetId="1">#REF!</definedName>
    <definedName name="_MMM39" localSheetId="0">#REF!</definedName>
    <definedName name="_MMM39" localSheetId="5">#REF!</definedName>
    <definedName name="_MMM39" localSheetId="6">#REF!</definedName>
    <definedName name="_MMM39" localSheetId="16">#REF!</definedName>
    <definedName name="_MMM39" localSheetId="7">#REF!</definedName>
    <definedName name="_MMM39">#REF!</definedName>
    <definedName name="_MMM40" localSheetId="18">#REF!</definedName>
    <definedName name="_MMM40" localSheetId="10">#REF!</definedName>
    <definedName name="_MMM40" localSheetId="21">#REF!</definedName>
    <definedName name="_MMM40" localSheetId="1">#REF!</definedName>
    <definedName name="_MMM40" localSheetId="0">#REF!</definedName>
    <definedName name="_MMM40" localSheetId="5">#REF!</definedName>
    <definedName name="_MMM40" localSheetId="6">#REF!</definedName>
    <definedName name="_MMM40" localSheetId="16">#REF!</definedName>
    <definedName name="_MMM40" localSheetId="7">#REF!</definedName>
    <definedName name="_MMM40">#REF!</definedName>
    <definedName name="_MMM41" localSheetId="18">#REF!</definedName>
    <definedName name="_MMM41" localSheetId="10">#REF!</definedName>
    <definedName name="_MMM41" localSheetId="21">#REF!</definedName>
    <definedName name="_MMM41" localSheetId="1">#REF!</definedName>
    <definedName name="_MMM41" localSheetId="0">#REF!</definedName>
    <definedName name="_MMM41" localSheetId="5">#REF!</definedName>
    <definedName name="_MMM41" localSheetId="6">#REF!</definedName>
    <definedName name="_MMM41" localSheetId="16">#REF!</definedName>
    <definedName name="_MMM41" localSheetId="7">#REF!</definedName>
    <definedName name="_MMM41">#REF!</definedName>
    <definedName name="_MMM411" localSheetId="18">#REF!</definedName>
    <definedName name="_MMM411" localSheetId="10">#REF!</definedName>
    <definedName name="_MMM411" localSheetId="21">#REF!</definedName>
    <definedName name="_MMM411" localSheetId="1">#REF!</definedName>
    <definedName name="_MMM411" localSheetId="0">#REF!</definedName>
    <definedName name="_MMM411" localSheetId="5">#REF!</definedName>
    <definedName name="_MMM411" localSheetId="6">#REF!</definedName>
    <definedName name="_MMM411" localSheetId="16">#REF!</definedName>
    <definedName name="_MMM411" localSheetId="7">#REF!</definedName>
    <definedName name="_MMM411">#REF!</definedName>
    <definedName name="_MMM42" localSheetId="18">#REF!</definedName>
    <definedName name="_MMM42" localSheetId="10">#REF!</definedName>
    <definedName name="_MMM42" localSheetId="21">#REF!</definedName>
    <definedName name="_MMM42" localSheetId="1">#REF!</definedName>
    <definedName name="_MMM42" localSheetId="0">#REF!</definedName>
    <definedName name="_MMM42" localSheetId="5">#REF!</definedName>
    <definedName name="_MMM42" localSheetId="6">#REF!</definedName>
    <definedName name="_MMM42" localSheetId="16">#REF!</definedName>
    <definedName name="_MMM42" localSheetId="7">#REF!</definedName>
    <definedName name="_MMM42">#REF!</definedName>
    <definedName name="_MMM43" localSheetId="18">#REF!</definedName>
    <definedName name="_MMM43" localSheetId="10">#REF!</definedName>
    <definedName name="_MMM43" localSheetId="21">#REF!</definedName>
    <definedName name="_MMM43" localSheetId="1">#REF!</definedName>
    <definedName name="_MMM43" localSheetId="0">#REF!</definedName>
    <definedName name="_MMM43" localSheetId="5">#REF!</definedName>
    <definedName name="_MMM43" localSheetId="6">#REF!</definedName>
    <definedName name="_MMM43" localSheetId="16">#REF!</definedName>
    <definedName name="_MMM43" localSheetId="7">#REF!</definedName>
    <definedName name="_MMM43">#REF!</definedName>
    <definedName name="_MMM44" localSheetId="18">#REF!</definedName>
    <definedName name="_MMM44" localSheetId="10">#REF!</definedName>
    <definedName name="_MMM44" localSheetId="21">#REF!</definedName>
    <definedName name="_MMM44" localSheetId="1">#REF!</definedName>
    <definedName name="_MMM44" localSheetId="0">#REF!</definedName>
    <definedName name="_MMM44" localSheetId="5">#REF!</definedName>
    <definedName name="_MMM44" localSheetId="6">#REF!</definedName>
    <definedName name="_MMM44" localSheetId="16">#REF!</definedName>
    <definedName name="_MMM44" localSheetId="7">#REF!</definedName>
    <definedName name="_MMM44">#REF!</definedName>
    <definedName name="_MMM45" localSheetId="18">#REF!</definedName>
    <definedName name="_MMM45" localSheetId="10">#REF!</definedName>
    <definedName name="_MMM45" localSheetId="21">#REF!</definedName>
    <definedName name="_MMM45" localSheetId="1">#REF!</definedName>
    <definedName name="_MMM45" localSheetId="0">#REF!</definedName>
    <definedName name="_MMM45" localSheetId="5">#REF!</definedName>
    <definedName name="_MMM45" localSheetId="6">#REF!</definedName>
    <definedName name="_MMM45" localSheetId="16">#REF!</definedName>
    <definedName name="_MMM45" localSheetId="7">#REF!</definedName>
    <definedName name="_MMM45">#REF!</definedName>
    <definedName name="_MMM46" localSheetId="18">#REF!</definedName>
    <definedName name="_MMM46" localSheetId="10">#REF!</definedName>
    <definedName name="_MMM46" localSheetId="21">#REF!</definedName>
    <definedName name="_MMM46" localSheetId="1">#REF!</definedName>
    <definedName name="_MMM46" localSheetId="0">#REF!</definedName>
    <definedName name="_MMM46" localSheetId="5">#REF!</definedName>
    <definedName name="_MMM46" localSheetId="6">#REF!</definedName>
    <definedName name="_MMM46" localSheetId="16">#REF!</definedName>
    <definedName name="_MMM46" localSheetId="7">#REF!</definedName>
    <definedName name="_MMM46">#REF!</definedName>
    <definedName name="_MMM47" localSheetId="18">#REF!</definedName>
    <definedName name="_MMM47" localSheetId="10">#REF!</definedName>
    <definedName name="_MMM47" localSheetId="21">#REF!</definedName>
    <definedName name="_MMM47" localSheetId="1">#REF!</definedName>
    <definedName name="_MMM47" localSheetId="0">#REF!</definedName>
    <definedName name="_MMM47" localSheetId="5">#REF!</definedName>
    <definedName name="_MMM47" localSheetId="6">#REF!</definedName>
    <definedName name="_MMM47" localSheetId="16">#REF!</definedName>
    <definedName name="_MMM47" localSheetId="7">#REF!</definedName>
    <definedName name="_MMM47">#REF!</definedName>
    <definedName name="_MMM48" localSheetId="18">#REF!</definedName>
    <definedName name="_MMM48" localSheetId="10">#REF!</definedName>
    <definedName name="_MMM48" localSheetId="21">#REF!</definedName>
    <definedName name="_MMM48" localSheetId="1">#REF!</definedName>
    <definedName name="_MMM48" localSheetId="0">#REF!</definedName>
    <definedName name="_MMM48" localSheetId="5">#REF!</definedName>
    <definedName name="_MMM48" localSheetId="6">#REF!</definedName>
    <definedName name="_MMM48" localSheetId="16">#REF!</definedName>
    <definedName name="_MMM48" localSheetId="7">#REF!</definedName>
    <definedName name="_MMM48">#REF!</definedName>
    <definedName name="_MMM49" localSheetId="18">#REF!</definedName>
    <definedName name="_MMM49" localSheetId="10">#REF!</definedName>
    <definedName name="_MMM49" localSheetId="21">#REF!</definedName>
    <definedName name="_MMM49" localSheetId="1">#REF!</definedName>
    <definedName name="_MMM49" localSheetId="0">#REF!</definedName>
    <definedName name="_MMM49" localSheetId="5">#REF!</definedName>
    <definedName name="_MMM49" localSheetId="6">#REF!</definedName>
    <definedName name="_MMM49" localSheetId="16">#REF!</definedName>
    <definedName name="_MMM49" localSheetId="7">#REF!</definedName>
    <definedName name="_MMM49">#REF!</definedName>
    <definedName name="_MMM50" localSheetId="18">#REF!</definedName>
    <definedName name="_MMM50" localSheetId="10">#REF!</definedName>
    <definedName name="_MMM50" localSheetId="21">#REF!</definedName>
    <definedName name="_MMM50" localSheetId="1">#REF!</definedName>
    <definedName name="_MMM50" localSheetId="0">#REF!</definedName>
    <definedName name="_MMM50" localSheetId="5">#REF!</definedName>
    <definedName name="_MMM50" localSheetId="6">#REF!</definedName>
    <definedName name="_MMM50" localSheetId="16">#REF!</definedName>
    <definedName name="_MMM50" localSheetId="7">#REF!</definedName>
    <definedName name="_MMM50">#REF!</definedName>
    <definedName name="_MMM51" localSheetId="18">#REF!</definedName>
    <definedName name="_MMM51" localSheetId="10">#REF!</definedName>
    <definedName name="_MMM51" localSheetId="21">#REF!</definedName>
    <definedName name="_MMM51" localSheetId="1">#REF!</definedName>
    <definedName name="_MMM51" localSheetId="0">#REF!</definedName>
    <definedName name="_MMM51" localSheetId="5">#REF!</definedName>
    <definedName name="_MMM51" localSheetId="6">#REF!</definedName>
    <definedName name="_MMM51" localSheetId="16">#REF!</definedName>
    <definedName name="_MMM51" localSheetId="7">#REF!</definedName>
    <definedName name="_MMM51">#REF!</definedName>
    <definedName name="_MMM52" localSheetId="18">#REF!</definedName>
    <definedName name="_MMM52" localSheetId="10">#REF!</definedName>
    <definedName name="_MMM52" localSheetId="21">#REF!</definedName>
    <definedName name="_MMM52" localSheetId="1">#REF!</definedName>
    <definedName name="_MMM52" localSheetId="0">#REF!</definedName>
    <definedName name="_MMM52" localSheetId="5">#REF!</definedName>
    <definedName name="_MMM52" localSheetId="6">#REF!</definedName>
    <definedName name="_MMM52" localSheetId="16">#REF!</definedName>
    <definedName name="_MMM52" localSheetId="7">#REF!</definedName>
    <definedName name="_MMM52">#REF!</definedName>
    <definedName name="_MMM53" localSheetId="18">#REF!</definedName>
    <definedName name="_MMM53" localSheetId="10">#REF!</definedName>
    <definedName name="_MMM53" localSheetId="21">#REF!</definedName>
    <definedName name="_MMM53" localSheetId="1">#REF!</definedName>
    <definedName name="_MMM53" localSheetId="0">#REF!</definedName>
    <definedName name="_MMM53" localSheetId="5">#REF!</definedName>
    <definedName name="_MMM53" localSheetId="6">#REF!</definedName>
    <definedName name="_MMM53" localSheetId="16">#REF!</definedName>
    <definedName name="_MMM53" localSheetId="7">#REF!</definedName>
    <definedName name="_MMM53">#REF!</definedName>
    <definedName name="_MMM54" localSheetId="18">#REF!</definedName>
    <definedName name="_MMM54" localSheetId="10">#REF!</definedName>
    <definedName name="_MMM54" localSheetId="21">#REF!</definedName>
    <definedName name="_MMM54" localSheetId="1">#REF!</definedName>
    <definedName name="_MMM54" localSheetId="0">#REF!</definedName>
    <definedName name="_MMM54" localSheetId="5">#REF!</definedName>
    <definedName name="_MMM54" localSheetId="6">#REF!</definedName>
    <definedName name="_MMM54" localSheetId="16">#REF!</definedName>
    <definedName name="_MMM54" localSheetId="7">#REF!</definedName>
    <definedName name="_MMM54">#REF!</definedName>
    <definedName name="_NO1" localSheetId="18">'[18]1ST'!$A$14:$A$503</definedName>
    <definedName name="_NO1">#N/A</definedName>
    <definedName name="_NO2" localSheetId="18">'[18]2RD'!$A$13:$A$504</definedName>
    <definedName name="_NO2">#N/A</definedName>
    <definedName name="_NO4" localSheetId="18">'[18]4TH'!$A$13:$A$504</definedName>
    <definedName name="_NO4">#N/A</definedName>
    <definedName name="_NO5" localSheetId="18">'[18]5TH'!$A$13:$A$504</definedName>
    <definedName name="_NO5">#N/A</definedName>
    <definedName name="_Order1" hidden="1">255</definedName>
    <definedName name="_PA1">'[17]ANALISA (2)'!$Q$1258</definedName>
    <definedName name="_PA18">'[17]ANALISA (2)'!$Q$1320</definedName>
    <definedName name="_pb12" localSheetId="21">#REF!</definedName>
    <definedName name="_pb12" localSheetId="1">#REF!</definedName>
    <definedName name="_pb12" localSheetId="0">#REF!</definedName>
    <definedName name="_pb12" localSheetId="5">#REF!</definedName>
    <definedName name="_pb12" localSheetId="6">#REF!</definedName>
    <definedName name="_pb12" localSheetId="16">#REF!</definedName>
    <definedName name="_pb12" localSheetId="7">#REF!</definedName>
    <definedName name="_pb12">#REF!</definedName>
    <definedName name="_PE1" localSheetId="21">#REF!</definedName>
    <definedName name="_PE1" localSheetId="1">#REF!</definedName>
    <definedName name="_PE1" localSheetId="0">#REF!</definedName>
    <definedName name="_PE1" localSheetId="5">#REF!</definedName>
    <definedName name="_PE1" localSheetId="6">#REF!</definedName>
    <definedName name="_PE1" localSheetId="16">#REF!</definedName>
    <definedName name="_PE1" localSheetId="7">#REF!</definedName>
    <definedName name="_PE1">#REF!</definedName>
    <definedName name="_PE13" localSheetId="21">#REF!</definedName>
    <definedName name="_PE13" localSheetId="1">#REF!</definedName>
    <definedName name="_PE13" localSheetId="0">#REF!</definedName>
    <definedName name="_PE13" localSheetId="5">#REF!</definedName>
    <definedName name="_PE13" localSheetId="6">#REF!</definedName>
    <definedName name="_PE13" localSheetId="16">#REF!</definedName>
    <definedName name="_PE13" localSheetId="7">#REF!</definedName>
    <definedName name="_PE13">#REF!</definedName>
    <definedName name="_PF4" localSheetId="21">#REF!</definedName>
    <definedName name="_PF4" localSheetId="1">#REF!</definedName>
    <definedName name="_PF4" localSheetId="0">#REF!</definedName>
    <definedName name="_PF4" localSheetId="5">#REF!</definedName>
    <definedName name="_PF4" localSheetId="6">#REF!</definedName>
    <definedName name="_PF4" localSheetId="16">#REF!</definedName>
    <definedName name="_PF4" localSheetId="7">#REF!</definedName>
    <definedName name="_PF4">#REF!</definedName>
    <definedName name="_PF8" localSheetId="21">#REF!</definedName>
    <definedName name="_PF8" localSheetId="1">#REF!</definedName>
    <definedName name="_PF8" localSheetId="0">#REF!</definedName>
    <definedName name="_PF8" localSheetId="5">#REF!</definedName>
    <definedName name="_PF8" localSheetId="6">#REF!</definedName>
    <definedName name="_PF8" localSheetId="16">#REF!</definedName>
    <definedName name="_PF8" localSheetId="7">#REF!</definedName>
    <definedName name="_PF8">#REF!</definedName>
    <definedName name="_PG41" localSheetId="21">#REF!</definedName>
    <definedName name="_PG41" localSheetId="1">#REF!</definedName>
    <definedName name="_PG41" localSheetId="0">#REF!</definedName>
    <definedName name="_PG41" localSheetId="5">#REF!</definedName>
    <definedName name="_PG41" localSheetId="6">#REF!</definedName>
    <definedName name="_PG41" localSheetId="16">#REF!</definedName>
    <definedName name="_PG41" localSheetId="7">#REF!</definedName>
    <definedName name="_PG41">#REF!</definedName>
    <definedName name="_PG53" localSheetId="21">#REF!</definedName>
    <definedName name="_PG53" localSheetId="1">#REF!</definedName>
    <definedName name="_PG53" localSheetId="0">#REF!</definedName>
    <definedName name="_PG53" localSheetId="5">#REF!</definedName>
    <definedName name="_PG53" localSheetId="6">#REF!</definedName>
    <definedName name="_PG53" localSheetId="16">#REF!</definedName>
    <definedName name="_PG53" localSheetId="7">#REF!</definedName>
    <definedName name="_PG53">#REF!</definedName>
    <definedName name="_PI2" localSheetId="21">#REF!</definedName>
    <definedName name="_PI2" localSheetId="1">#REF!</definedName>
    <definedName name="_PI2" localSheetId="0">#REF!</definedName>
    <definedName name="_PI2" localSheetId="5">#REF!</definedName>
    <definedName name="_PI2" localSheetId="6">#REF!</definedName>
    <definedName name="_PI2" localSheetId="16">#REF!</definedName>
    <definedName name="_PI2" localSheetId="7">#REF!</definedName>
    <definedName name="_PI2">#REF!</definedName>
    <definedName name="_PI6" localSheetId="21">#REF!</definedName>
    <definedName name="_PI6" localSheetId="1">#REF!</definedName>
    <definedName name="_PI6" localSheetId="0">#REF!</definedName>
    <definedName name="_PI6" localSheetId="5">#REF!</definedName>
    <definedName name="_PI6" localSheetId="6">#REF!</definedName>
    <definedName name="_PI6" localSheetId="16">#REF!</definedName>
    <definedName name="_PI6" localSheetId="7">#REF!</definedName>
    <definedName name="_PI6">#REF!</definedName>
    <definedName name="_PK020" localSheetId="21">#REF!</definedName>
    <definedName name="_PK020" localSheetId="1">#REF!</definedName>
    <definedName name="_PK020" localSheetId="0">#REF!</definedName>
    <definedName name="_PK020" localSheetId="5">#REF!</definedName>
    <definedName name="_PK020" localSheetId="6">#REF!</definedName>
    <definedName name="_PK020" localSheetId="16">#REF!</definedName>
    <definedName name="_PK020" localSheetId="7">#REF!</definedName>
    <definedName name="_PK020">#REF!</definedName>
    <definedName name="_PK040" localSheetId="21">#REF!</definedName>
    <definedName name="_PK040" localSheetId="1">#REF!</definedName>
    <definedName name="_PK040" localSheetId="0">#REF!</definedName>
    <definedName name="_PK040" localSheetId="5">#REF!</definedName>
    <definedName name="_PK040" localSheetId="6">#REF!</definedName>
    <definedName name="_PK040" localSheetId="16">#REF!</definedName>
    <definedName name="_PK040" localSheetId="7">#REF!</definedName>
    <definedName name="_PK040">#REF!</definedName>
    <definedName name="_PK110" localSheetId="21">#REF!</definedName>
    <definedName name="_PK110" localSheetId="1">#REF!</definedName>
    <definedName name="_PK110" localSheetId="0">#REF!</definedName>
    <definedName name="_PK110" localSheetId="5">#REF!</definedName>
    <definedName name="_PK110" localSheetId="6">#REF!</definedName>
    <definedName name="_PK110" localSheetId="16">#REF!</definedName>
    <definedName name="_PK110" localSheetId="7">#REF!</definedName>
    <definedName name="_PK110">#REF!</definedName>
    <definedName name="_PK112" localSheetId="21">#REF!</definedName>
    <definedName name="_PK112" localSheetId="1">#REF!</definedName>
    <definedName name="_PK112" localSheetId="0">#REF!</definedName>
    <definedName name="_PK112" localSheetId="5">#REF!</definedName>
    <definedName name="_PK112" localSheetId="6">#REF!</definedName>
    <definedName name="_PK112" localSheetId="16">#REF!</definedName>
    <definedName name="_PK112" localSheetId="7">#REF!</definedName>
    <definedName name="_PK112">#REF!</definedName>
    <definedName name="_PK121" localSheetId="21">#REF!</definedName>
    <definedName name="_PK121" localSheetId="1">#REF!</definedName>
    <definedName name="_PK121" localSheetId="0">#REF!</definedName>
    <definedName name="_PK121" localSheetId="5">#REF!</definedName>
    <definedName name="_PK121" localSheetId="6">#REF!</definedName>
    <definedName name="_PK121" localSheetId="16">#REF!</definedName>
    <definedName name="_PK121" localSheetId="7">#REF!</definedName>
    <definedName name="_PK121">#REF!</definedName>
    <definedName name="_PK123" localSheetId="21">#REF!</definedName>
    <definedName name="_PK123" localSheetId="1">#REF!</definedName>
    <definedName name="_PK123" localSheetId="0">#REF!</definedName>
    <definedName name="_PK123" localSheetId="5">#REF!</definedName>
    <definedName name="_PK123" localSheetId="6">#REF!</definedName>
    <definedName name="_PK123" localSheetId="16">#REF!</definedName>
    <definedName name="_PK123" localSheetId="7">#REF!</definedName>
    <definedName name="_PK123">#REF!</definedName>
    <definedName name="_PK127" localSheetId="21">#REF!</definedName>
    <definedName name="_PK127" localSheetId="1">#REF!</definedName>
    <definedName name="_PK127" localSheetId="0">#REF!</definedName>
    <definedName name="_PK127" localSheetId="5">#REF!</definedName>
    <definedName name="_PK127" localSheetId="6">#REF!</definedName>
    <definedName name="_PK127" localSheetId="16">#REF!</definedName>
    <definedName name="_PK127" localSheetId="7">#REF!</definedName>
    <definedName name="_PK127">#REF!</definedName>
    <definedName name="_PK132" localSheetId="21">#REF!</definedName>
    <definedName name="_PK132" localSheetId="1">#REF!</definedName>
    <definedName name="_PK132" localSheetId="0">#REF!</definedName>
    <definedName name="_PK132" localSheetId="5">#REF!</definedName>
    <definedName name="_PK132" localSheetId="6">#REF!</definedName>
    <definedName name="_PK132" localSheetId="16">#REF!</definedName>
    <definedName name="_PK132" localSheetId="7">#REF!</definedName>
    <definedName name="_PK132">#REF!</definedName>
    <definedName name="_PK139" localSheetId="21">#REF!</definedName>
    <definedName name="_PK139" localSheetId="1">#REF!</definedName>
    <definedName name="_PK139" localSheetId="0">#REF!</definedName>
    <definedName name="_PK139" localSheetId="5">#REF!</definedName>
    <definedName name="_PK139" localSheetId="6">#REF!</definedName>
    <definedName name="_PK139" localSheetId="16">#REF!</definedName>
    <definedName name="_PK139" localSheetId="7">#REF!</definedName>
    <definedName name="_PK139">#REF!</definedName>
    <definedName name="_PK19" localSheetId="21">#REF!</definedName>
    <definedName name="_PK19" localSheetId="1">#REF!</definedName>
    <definedName name="_PK19" localSheetId="0">#REF!</definedName>
    <definedName name="_PK19" localSheetId="5">#REF!</definedName>
    <definedName name="_PK19" localSheetId="6">#REF!</definedName>
    <definedName name="_PK19" localSheetId="16">#REF!</definedName>
    <definedName name="_PK19" localSheetId="7">#REF!</definedName>
    <definedName name="_PK19">#REF!</definedName>
    <definedName name="_PK210" localSheetId="21">#REF!</definedName>
    <definedName name="_PK210" localSheetId="1">#REF!</definedName>
    <definedName name="_PK210" localSheetId="0">#REF!</definedName>
    <definedName name="_PK210" localSheetId="5">#REF!</definedName>
    <definedName name="_PK210" localSheetId="6">#REF!</definedName>
    <definedName name="_PK210" localSheetId="16">#REF!</definedName>
    <definedName name="_PK210" localSheetId="7">#REF!</definedName>
    <definedName name="_PK210">#REF!</definedName>
    <definedName name="_PK224" localSheetId="21">#REF!</definedName>
    <definedName name="_PK224" localSheetId="1">#REF!</definedName>
    <definedName name="_PK224" localSheetId="0">#REF!</definedName>
    <definedName name="_PK224" localSheetId="5">#REF!</definedName>
    <definedName name="_PK224" localSheetId="6">#REF!</definedName>
    <definedName name="_PK224" localSheetId="16">#REF!</definedName>
    <definedName name="_PK224" localSheetId="7">#REF!</definedName>
    <definedName name="_PK224">#REF!</definedName>
    <definedName name="_PK225" localSheetId="21">#REF!</definedName>
    <definedName name="_PK225" localSheetId="1">#REF!</definedName>
    <definedName name="_PK225" localSheetId="0">#REF!</definedName>
    <definedName name="_PK225" localSheetId="5">#REF!</definedName>
    <definedName name="_PK225" localSheetId="6">#REF!</definedName>
    <definedName name="_PK225" localSheetId="16">#REF!</definedName>
    <definedName name="_PK225" localSheetId="7">#REF!</definedName>
    <definedName name="_PK225">#REF!</definedName>
    <definedName name="_PK23" localSheetId="21">#REF!</definedName>
    <definedName name="_PK23" localSheetId="1">#REF!</definedName>
    <definedName name="_PK23" localSheetId="0">#REF!</definedName>
    <definedName name="_PK23" localSheetId="5">#REF!</definedName>
    <definedName name="_PK23" localSheetId="6">#REF!</definedName>
    <definedName name="_PK23" localSheetId="16">#REF!</definedName>
    <definedName name="_PK23" localSheetId="7">#REF!</definedName>
    <definedName name="_PK23">#REF!</definedName>
    <definedName name="_PK311" localSheetId="21">#REF!</definedName>
    <definedName name="_PK311" localSheetId="1">#REF!</definedName>
    <definedName name="_PK311" localSheetId="0">#REF!</definedName>
    <definedName name="_PK311" localSheetId="5">#REF!</definedName>
    <definedName name="_PK311" localSheetId="6">#REF!</definedName>
    <definedName name="_PK311" localSheetId="16">#REF!</definedName>
    <definedName name="_PK311" localSheetId="7">#REF!</definedName>
    <definedName name="_PK311">#REF!</definedName>
    <definedName name="_PK321" localSheetId="21">#REF!</definedName>
    <definedName name="_PK321" localSheetId="1">#REF!</definedName>
    <definedName name="_PK321" localSheetId="0">#REF!</definedName>
    <definedName name="_PK321" localSheetId="5">#REF!</definedName>
    <definedName name="_PK321" localSheetId="6">#REF!</definedName>
    <definedName name="_PK321" localSheetId="16">#REF!</definedName>
    <definedName name="_PK321" localSheetId="7">#REF!</definedName>
    <definedName name="_PK321">#REF!</definedName>
    <definedName name="_PK342" localSheetId="21">#REF!</definedName>
    <definedName name="_PK342" localSheetId="1">#REF!</definedName>
    <definedName name="_PK342" localSheetId="0">#REF!</definedName>
    <definedName name="_PK342" localSheetId="5">#REF!</definedName>
    <definedName name="_PK342" localSheetId="6">#REF!</definedName>
    <definedName name="_PK342" localSheetId="16">#REF!</definedName>
    <definedName name="_PK342" localSheetId="7">#REF!</definedName>
    <definedName name="_PK342">#REF!</definedName>
    <definedName name="_PK36" localSheetId="21">#REF!</definedName>
    <definedName name="_PK36" localSheetId="1">#REF!</definedName>
    <definedName name="_PK36" localSheetId="0">#REF!</definedName>
    <definedName name="_PK36" localSheetId="5">#REF!</definedName>
    <definedName name="_PK36" localSheetId="6">#REF!</definedName>
    <definedName name="_PK36" localSheetId="16">#REF!</definedName>
    <definedName name="_PK36" localSheetId="7">#REF!</definedName>
    <definedName name="_PK36">#REF!</definedName>
    <definedName name="_PK37" localSheetId="21">#REF!</definedName>
    <definedName name="_PK37" localSheetId="1">#REF!</definedName>
    <definedName name="_PK37" localSheetId="0">#REF!</definedName>
    <definedName name="_PK37" localSheetId="5">#REF!</definedName>
    <definedName name="_PK37" localSheetId="6">#REF!</definedName>
    <definedName name="_PK37" localSheetId="16">#REF!</definedName>
    <definedName name="_PK37" localSheetId="7">#REF!</definedName>
    <definedName name="_PK37">#REF!</definedName>
    <definedName name="_PK411" localSheetId="21">#REF!</definedName>
    <definedName name="_PK411" localSheetId="1">#REF!</definedName>
    <definedName name="_PK411" localSheetId="0">#REF!</definedName>
    <definedName name="_PK411" localSheetId="5">#REF!</definedName>
    <definedName name="_PK411" localSheetId="6">#REF!</definedName>
    <definedName name="_PK411" localSheetId="16">#REF!</definedName>
    <definedName name="_PK411" localSheetId="7">#REF!</definedName>
    <definedName name="_PK411">#REF!</definedName>
    <definedName name="_PK424" localSheetId="21">#REF!</definedName>
    <definedName name="_PK424" localSheetId="1">#REF!</definedName>
    <definedName name="_PK424" localSheetId="0">#REF!</definedName>
    <definedName name="_PK424" localSheetId="5">#REF!</definedName>
    <definedName name="_PK424" localSheetId="6">#REF!</definedName>
    <definedName name="_PK424" localSheetId="16">#REF!</definedName>
    <definedName name="_PK424" localSheetId="7">#REF!</definedName>
    <definedName name="_PK424">#REF!</definedName>
    <definedName name="_PK514" localSheetId="21">#REF!</definedName>
    <definedName name="_PK514" localSheetId="1">#REF!</definedName>
    <definedName name="_PK514" localSheetId="0">#REF!</definedName>
    <definedName name="_PK514" localSheetId="5">#REF!</definedName>
    <definedName name="_PK514" localSheetId="6">#REF!</definedName>
    <definedName name="_PK514" localSheetId="16">#REF!</definedName>
    <definedName name="_PK514" localSheetId="7">#REF!</definedName>
    <definedName name="_PK514">#REF!</definedName>
    <definedName name="_PK522" localSheetId="21">#REF!</definedName>
    <definedName name="_PK522" localSheetId="1">#REF!</definedName>
    <definedName name="_PK522" localSheetId="0">#REF!</definedName>
    <definedName name="_PK522" localSheetId="5">#REF!</definedName>
    <definedName name="_PK522" localSheetId="6">#REF!</definedName>
    <definedName name="_PK522" localSheetId="16">#REF!</definedName>
    <definedName name="_PK522" localSheetId="7">#REF!</definedName>
    <definedName name="_PK522">#REF!</definedName>
    <definedName name="_PK618" localSheetId="21">#REF!</definedName>
    <definedName name="_PK618" localSheetId="1">#REF!</definedName>
    <definedName name="_PK618" localSheetId="0">#REF!</definedName>
    <definedName name="_PK618" localSheetId="5">#REF!</definedName>
    <definedName name="_PK618" localSheetId="6">#REF!</definedName>
    <definedName name="_PK618" localSheetId="16">#REF!</definedName>
    <definedName name="_PK618" localSheetId="7">#REF!</definedName>
    <definedName name="_PK618">#REF!</definedName>
    <definedName name="_PK621" localSheetId="21">#REF!</definedName>
    <definedName name="_PK621" localSheetId="1">#REF!</definedName>
    <definedName name="_PK621" localSheetId="0">#REF!</definedName>
    <definedName name="_PK621" localSheetId="5">#REF!</definedName>
    <definedName name="_PK621" localSheetId="6">#REF!</definedName>
    <definedName name="_PK621" localSheetId="16">#REF!</definedName>
    <definedName name="_PK621" localSheetId="7">#REF!</definedName>
    <definedName name="_PK621">#REF!</definedName>
    <definedName name="_PK641" localSheetId="21">#REF!</definedName>
    <definedName name="_PK641" localSheetId="1">#REF!</definedName>
    <definedName name="_PK641" localSheetId="0">#REF!</definedName>
    <definedName name="_PK641" localSheetId="5">#REF!</definedName>
    <definedName name="_PK641" localSheetId="6">#REF!</definedName>
    <definedName name="_PK641" localSheetId="16">#REF!</definedName>
    <definedName name="_PK641" localSheetId="7">#REF!</definedName>
    <definedName name="_PK641">#REF!</definedName>
    <definedName name="_PK710" localSheetId="21">#REF!</definedName>
    <definedName name="_PK710" localSheetId="1">#REF!</definedName>
    <definedName name="_PK710" localSheetId="0">#REF!</definedName>
    <definedName name="_PK710" localSheetId="5">#REF!</definedName>
    <definedName name="_PK710" localSheetId="6">#REF!</definedName>
    <definedName name="_PK710" localSheetId="16">#REF!</definedName>
    <definedName name="_PK710" localSheetId="7">#REF!</definedName>
    <definedName name="_PK710">#REF!</definedName>
    <definedName name="_PK715" localSheetId="21">#REF!</definedName>
    <definedName name="_PK715" localSheetId="1">#REF!</definedName>
    <definedName name="_PK715" localSheetId="0">#REF!</definedName>
    <definedName name="_PK715" localSheetId="5">#REF!</definedName>
    <definedName name="_PK715" localSheetId="6">#REF!</definedName>
    <definedName name="_PK715" localSheetId="16">#REF!</definedName>
    <definedName name="_PK715" localSheetId="7">#REF!</definedName>
    <definedName name="_PK715">#REF!</definedName>
    <definedName name="_PK720" localSheetId="21">#REF!</definedName>
    <definedName name="_PK720" localSheetId="1">#REF!</definedName>
    <definedName name="_PK720" localSheetId="0">#REF!</definedName>
    <definedName name="_PK720" localSheetId="5">#REF!</definedName>
    <definedName name="_PK720" localSheetId="6">#REF!</definedName>
    <definedName name="_PK720" localSheetId="16">#REF!</definedName>
    <definedName name="_PK720" localSheetId="7">#REF!</definedName>
    <definedName name="_PK720">#REF!</definedName>
    <definedName name="_PK725" localSheetId="21">#REF!</definedName>
    <definedName name="_PK725" localSheetId="1">#REF!</definedName>
    <definedName name="_PK725" localSheetId="0">#REF!</definedName>
    <definedName name="_PK725" localSheetId="5">#REF!</definedName>
    <definedName name="_PK725" localSheetId="6">#REF!</definedName>
    <definedName name="_PK725" localSheetId="16">#REF!</definedName>
    <definedName name="_PK725" localSheetId="7">#REF!</definedName>
    <definedName name="_PK725">#REF!</definedName>
    <definedName name="_PK810" localSheetId="21">#REF!</definedName>
    <definedName name="_PK810" localSheetId="1">#REF!</definedName>
    <definedName name="_PK810" localSheetId="0">#REF!</definedName>
    <definedName name="_PK810" localSheetId="5">#REF!</definedName>
    <definedName name="_PK810" localSheetId="6">#REF!</definedName>
    <definedName name="_PK810" localSheetId="16">#REF!</definedName>
    <definedName name="_PK810" localSheetId="7">#REF!</definedName>
    <definedName name="_PK810">#REF!</definedName>
    <definedName name="_PK855" localSheetId="21">#REF!</definedName>
    <definedName name="_PK855" localSheetId="1">#REF!</definedName>
    <definedName name="_PK855" localSheetId="0">#REF!</definedName>
    <definedName name="_PK855" localSheetId="5">#REF!</definedName>
    <definedName name="_PK855" localSheetId="6">#REF!</definedName>
    <definedName name="_PK855" localSheetId="16">#REF!</definedName>
    <definedName name="_PK855" localSheetId="7">#REF!</definedName>
    <definedName name="_PK855">#REF!</definedName>
    <definedName name="_PR110" localSheetId="21">#REF!</definedName>
    <definedName name="_PR110" localSheetId="1">#REF!</definedName>
    <definedName name="_PR110" localSheetId="0">#REF!</definedName>
    <definedName name="_PR110" localSheetId="5">#REF!</definedName>
    <definedName name="_PR110" localSheetId="6">#REF!</definedName>
    <definedName name="_PR110" localSheetId="16">#REF!</definedName>
    <definedName name="_PR110" localSheetId="7">#REF!</definedName>
    <definedName name="_PR110">#REF!</definedName>
    <definedName name="_PR123" localSheetId="21">#REF!</definedName>
    <definedName name="_PR123" localSheetId="1">#REF!</definedName>
    <definedName name="_PR123" localSheetId="0">#REF!</definedName>
    <definedName name="_PR123" localSheetId="5">#REF!</definedName>
    <definedName name="_PR123" localSheetId="6">#REF!</definedName>
    <definedName name="_PR123" localSheetId="16">#REF!</definedName>
    <definedName name="_PR123" localSheetId="7">#REF!</definedName>
    <definedName name="_PR123">#REF!</definedName>
    <definedName name="_PR132" localSheetId="21">#REF!</definedName>
    <definedName name="_PR132" localSheetId="1">#REF!</definedName>
    <definedName name="_PR132" localSheetId="0">#REF!</definedName>
    <definedName name="_PR132" localSheetId="5">#REF!</definedName>
    <definedName name="_PR132" localSheetId="6">#REF!</definedName>
    <definedName name="_PR132" localSheetId="16">#REF!</definedName>
    <definedName name="_PR132" localSheetId="7">#REF!</definedName>
    <definedName name="_PR132">#REF!</definedName>
    <definedName name="_PR139" localSheetId="21">#REF!</definedName>
    <definedName name="_PR139" localSheetId="1">#REF!</definedName>
    <definedName name="_PR139" localSheetId="0">#REF!</definedName>
    <definedName name="_PR139" localSheetId="5">#REF!</definedName>
    <definedName name="_PR139" localSheetId="6">#REF!</definedName>
    <definedName name="_PR139" localSheetId="16">#REF!</definedName>
    <definedName name="_PR139" localSheetId="7">#REF!</definedName>
    <definedName name="_PR139">#REF!</definedName>
    <definedName name="_PR210" localSheetId="21">#REF!</definedName>
    <definedName name="_PR210" localSheetId="1">#REF!</definedName>
    <definedName name="_PR210" localSheetId="0">#REF!</definedName>
    <definedName name="_PR210" localSheetId="5">#REF!</definedName>
    <definedName name="_PR210" localSheetId="6">#REF!</definedName>
    <definedName name="_PR210" localSheetId="16">#REF!</definedName>
    <definedName name="_PR210" localSheetId="7">#REF!</definedName>
    <definedName name="_PR210">#REF!</definedName>
    <definedName name="_PR225" localSheetId="21">#REF!</definedName>
    <definedName name="_PR225" localSheetId="1">#REF!</definedName>
    <definedName name="_PR225" localSheetId="0">#REF!</definedName>
    <definedName name="_PR225" localSheetId="5">#REF!</definedName>
    <definedName name="_PR225" localSheetId="6">#REF!</definedName>
    <definedName name="_PR225" localSheetId="16">#REF!</definedName>
    <definedName name="_PR225" localSheetId="7">#REF!</definedName>
    <definedName name="_PR225">#REF!</definedName>
    <definedName name="_PR311" localSheetId="21">#REF!</definedName>
    <definedName name="_PR311" localSheetId="1">#REF!</definedName>
    <definedName name="_PR311" localSheetId="0">#REF!</definedName>
    <definedName name="_PR311" localSheetId="5">#REF!</definedName>
    <definedName name="_PR311" localSheetId="6">#REF!</definedName>
    <definedName name="_PR311" localSheetId="16">#REF!</definedName>
    <definedName name="_PR311" localSheetId="7">#REF!</definedName>
    <definedName name="_PR311">#REF!</definedName>
    <definedName name="_PR321" localSheetId="21">#REF!</definedName>
    <definedName name="_PR321" localSheetId="1">#REF!</definedName>
    <definedName name="_PR321" localSheetId="0">#REF!</definedName>
    <definedName name="_PR321" localSheetId="5">#REF!</definedName>
    <definedName name="_PR321" localSheetId="6">#REF!</definedName>
    <definedName name="_PR321" localSheetId="16">#REF!</definedName>
    <definedName name="_PR321" localSheetId="7">#REF!</definedName>
    <definedName name="_PR321">#REF!</definedName>
    <definedName name="_PR342" localSheetId="21">#REF!</definedName>
    <definedName name="_PR342" localSheetId="1">#REF!</definedName>
    <definedName name="_PR342" localSheetId="0">#REF!</definedName>
    <definedName name="_PR342" localSheetId="5">#REF!</definedName>
    <definedName name="_PR342" localSheetId="6">#REF!</definedName>
    <definedName name="_PR342" localSheetId="16">#REF!</definedName>
    <definedName name="_PR342" localSheetId="7">#REF!</definedName>
    <definedName name="_PR342">#REF!</definedName>
    <definedName name="_PR411" localSheetId="21">#REF!</definedName>
    <definedName name="_PR411" localSheetId="1">#REF!</definedName>
    <definedName name="_PR411" localSheetId="0">#REF!</definedName>
    <definedName name="_PR411" localSheetId="5">#REF!</definedName>
    <definedName name="_PR411" localSheetId="6">#REF!</definedName>
    <definedName name="_PR411" localSheetId="16">#REF!</definedName>
    <definedName name="_PR411" localSheetId="7">#REF!</definedName>
    <definedName name="_PR411">#REF!</definedName>
    <definedName name="_PR424" localSheetId="21">#REF!</definedName>
    <definedName name="_PR424" localSheetId="1">#REF!</definedName>
    <definedName name="_PR424" localSheetId="0">#REF!</definedName>
    <definedName name="_PR424" localSheetId="5">#REF!</definedName>
    <definedName name="_PR424" localSheetId="6">#REF!</definedName>
    <definedName name="_PR424" localSheetId="16">#REF!</definedName>
    <definedName name="_PR424" localSheetId="7">#REF!</definedName>
    <definedName name="_PR424">#REF!</definedName>
    <definedName name="_PR514" localSheetId="21">#REF!</definedName>
    <definedName name="_PR514" localSheetId="1">#REF!</definedName>
    <definedName name="_PR514" localSheetId="0">#REF!</definedName>
    <definedName name="_PR514" localSheetId="5">#REF!</definedName>
    <definedName name="_PR514" localSheetId="6">#REF!</definedName>
    <definedName name="_PR514" localSheetId="16">#REF!</definedName>
    <definedName name="_PR514" localSheetId="7">#REF!</definedName>
    <definedName name="_PR514">#REF!</definedName>
    <definedName name="_PR522" localSheetId="21">#REF!</definedName>
    <definedName name="_PR522" localSheetId="1">#REF!</definedName>
    <definedName name="_PR522" localSheetId="0">#REF!</definedName>
    <definedName name="_PR522" localSheetId="5">#REF!</definedName>
    <definedName name="_PR522" localSheetId="6">#REF!</definedName>
    <definedName name="_PR522" localSheetId="16">#REF!</definedName>
    <definedName name="_PR522" localSheetId="7">#REF!</definedName>
    <definedName name="_PR522">#REF!</definedName>
    <definedName name="_PR621" localSheetId="21">#REF!</definedName>
    <definedName name="_PR621" localSheetId="1">#REF!</definedName>
    <definedName name="_PR621" localSheetId="0">#REF!</definedName>
    <definedName name="_PR621" localSheetId="5">#REF!</definedName>
    <definedName name="_PR621" localSheetId="6">#REF!</definedName>
    <definedName name="_PR621" localSheetId="16">#REF!</definedName>
    <definedName name="_PR621" localSheetId="7">#REF!</definedName>
    <definedName name="_PR621">#REF!</definedName>
    <definedName name="_PR710" localSheetId="21">#REF!</definedName>
    <definedName name="_PR710" localSheetId="1">#REF!</definedName>
    <definedName name="_PR710" localSheetId="0">#REF!</definedName>
    <definedName name="_PR710" localSheetId="5">#REF!</definedName>
    <definedName name="_PR710" localSheetId="6">#REF!</definedName>
    <definedName name="_PR710" localSheetId="16">#REF!</definedName>
    <definedName name="_PR710" localSheetId="7">#REF!</definedName>
    <definedName name="_PR710">#REF!</definedName>
    <definedName name="_PR715" localSheetId="21">#REF!</definedName>
    <definedName name="_PR715" localSheetId="1">#REF!</definedName>
    <definedName name="_PR715" localSheetId="0">#REF!</definedName>
    <definedName name="_PR715" localSheetId="5">#REF!</definedName>
    <definedName name="_PR715" localSheetId="6">#REF!</definedName>
    <definedName name="_PR715" localSheetId="16">#REF!</definedName>
    <definedName name="_PR715" localSheetId="7">#REF!</definedName>
    <definedName name="_PR715">#REF!</definedName>
    <definedName name="_PR720" localSheetId="21">#REF!</definedName>
    <definedName name="_PR720" localSheetId="1">#REF!</definedName>
    <definedName name="_PR720" localSheetId="0">#REF!</definedName>
    <definedName name="_PR720" localSheetId="5">#REF!</definedName>
    <definedName name="_PR720" localSheetId="6">#REF!</definedName>
    <definedName name="_PR720" localSheetId="16">#REF!</definedName>
    <definedName name="_PR720" localSheetId="7">#REF!</definedName>
    <definedName name="_PR720">#REF!</definedName>
    <definedName name="_PRK020" localSheetId="21">#REF!</definedName>
    <definedName name="_PRK020" localSheetId="1">#REF!</definedName>
    <definedName name="_PRK020" localSheetId="0">#REF!</definedName>
    <definedName name="_PRK020" localSheetId="5">#REF!</definedName>
    <definedName name="_PRK020" localSheetId="6">#REF!</definedName>
    <definedName name="_PRK020" localSheetId="16">#REF!</definedName>
    <definedName name="_PRK020" localSheetId="7">#REF!</definedName>
    <definedName name="_PRK020">#REF!</definedName>
    <definedName name="_PRK040" localSheetId="21">#REF!</definedName>
    <definedName name="_PRK040" localSheetId="1">#REF!</definedName>
    <definedName name="_PRK040" localSheetId="0">#REF!</definedName>
    <definedName name="_PRK040" localSheetId="5">#REF!</definedName>
    <definedName name="_PRK040" localSheetId="6">#REF!</definedName>
    <definedName name="_PRK040" localSheetId="16">#REF!</definedName>
    <definedName name="_PRK040" localSheetId="7">#REF!</definedName>
    <definedName name="_PRK040">#REF!</definedName>
    <definedName name="_PRK112" localSheetId="21">#REF!</definedName>
    <definedName name="_PRK112" localSheetId="1">#REF!</definedName>
    <definedName name="_PRK112" localSheetId="0">#REF!</definedName>
    <definedName name="_PRK112" localSheetId="5">#REF!</definedName>
    <definedName name="_PRK112" localSheetId="6">#REF!</definedName>
    <definedName name="_PRK112" localSheetId="16">#REF!</definedName>
    <definedName name="_PRK112" localSheetId="7">#REF!</definedName>
    <definedName name="_PRK112">#REF!</definedName>
    <definedName name="_PRK127" localSheetId="21">#REF!</definedName>
    <definedName name="_PRK127" localSheetId="1">#REF!</definedName>
    <definedName name="_PRK127" localSheetId="0">#REF!</definedName>
    <definedName name="_PRK127" localSheetId="5">#REF!</definedName>
    <definedName name="_PRK127" localSheetId="6">#REF!</definedName>
    <definedName name="_PRK127" localSheetId="16">#REF!</definedName>
    <definedName name="_PRK127" localSheetId="7">#REF!</definedName>
    <definedName name="_PRK127">#REF!</definedName>
    <definedName name="_PRK618" localSheetId="21">#REF!</definedName>
    <definedName name="_PRK618" localSheetId="1">#REF!</definedName>
    <definedName name="_PRK618" localSheetId="0">#REF!</definedName>
    <definedName name="_PRK618" localSheetId="5">#REF!</definedName>
    <definedName name="_PRK618" localSheetId="6">#REF!</definedName>
    <definedName name="_PRK618" localSheetId="16">#REF!</definedName>
    <definedName name="_PRK618" localSheetId="7">#REF!</definedName>
    <definedName name="_PRK618">#REF!</definedName>
    <definedName name="_PRK641" localSheetId="21">#REF!</definedName>
    <definedName name="_PRK641" localSheetId="1">#REF!</definedName>
    <definedName name="_PRK641" localSheetId="0">#REF!</definedName>
    <definedName name="_PRK641" localSheetId="5">#REF!</definedName>
    <definedName name="_PRK641" localSheetId="6">#REF!</definedName>
    <definedName name="_PRK641" localSheetId="16">#REF!</definedName>
    <definedName name="_PRK641" localSheetId="7">#REF!</definedName>
    <definedName name="_PRK641">#REF!</definedName>
    <definedName name="_PRK725" localSheetId="21">#REF!</definedName>
    <definedName name="_PRK725" localSheetId="1">#REF!</definedName>
    <definedName name="_PRK725" localSheetId="0">#REF!</definedName>
    <definedName name="_PRK725" localSheetId="5">#REF!</definedName>
    <definedName name="_PRK725" localSheetId="6">#REF!</definedName>
    <definedName name="_PRK725" localSheetId="16">#REF!</definedName>
    <definedName name="_PRK725" localSheetId="7">#REF!</definedName>
    <definedName name="_PRK725">#REF!</definedName>
    <definedName name="_PRK810" localSheetId="21">#REF!</definedName>
    <definedName name="_PRK810" localSheetId="1">#REF!</definedName>
    <definedName name="_PRK810" localSheetId="0">#REF!</definedName>
    <definedName name="_PRK810" localSheetId="5">#REF!</definedName>
    <definedName name="_PRK810" localSheetId="6">#REF!</definedName>
    <definedName name="_PRK810" localSheetId="16">#REF!</definedName>
    <definedName name="_PRK810" localSheetId="7">#REF!</definedName>
    <definedName name="_PRK810">#REF!</definedName>
    <definedName name="_PRK855" localSheetId="21">#REF!</definedName>
    <definedName name="_PRK855" localSheetId="1">#REF!</definedName>
    <definedName name="_PRK855" localSheetId="0">#REF!</definedName>
    <definedName name="_PRK855" localSheetId="5">#REF!</definedName>
    <definedName name="_PRK855" localSheetId="6">#REF!</definedName>
    <definedName name="_PRK855" localSheetId="16">#REF!</definedName>
    <definedName name="_PRK855" localSheetId="7">#REF!</definedName>
    <definedName name="_PRK855">#REF!</definedName>
    <definedName name="_VS2" localSheetId="18">#REF!</definedName>
    <definedName name="_VS2" localSheetId="10">#REF!</definedName>
    <definedName name="_VS2" localSheetId="21">#REF!</definedName>
    <definedName name="_VS2" localSheetId="1">#REF!</definedName>
    <definedName name="_VS2" localSheetId="0">#REF!</definedName>
    <definedName name="_VS2" localSheetId="5">#REF!</definedName>
    <definedName name="_VS2" localSheetId="6">#REF!</definedName>
    <definedName name="_VS2" localSheetId="16">#REF!</definedName>
    <definedName name="_VS2" localSheetId="7">#REF!</definedName>
    <definedName name="_VS2">#REF!</definedName>
    <definedName name="a" localSheetId="18">#REF!</definedName>
    <definedName name="a" localSheetId="11">#REF!</definedName>
    <definedName name="a" localSheetId="10">#REF!</definedName>
    <definedName name="a" localSheetId="21">#REF!</definedName>
    <definedName name="a" localSheetId="12">#REF!</definedName>
    <definedName name="a" localSheetId="1">#REF!</definedName>
    <definedName name="a" localSheetId="0">#REF!</definedName>
    <definedName name="a" localSheetId="14">#REF!</definedName>
    <definedName name="a" localSheetId="5">#REF!</definedName>
    <definedName name="a" localSheetId="6">#REF!</definedName>
    <definedName name="a" localSheetId="16">#REF!</definedName>
    <definedName name="a" localSheetId="7">#REF!</definedName>
    <definedName name="a">#REF!</definedName>
    <definedName name="A.1" localSheetId="18">#REF!</definedName>
    <definedName name="A.1" localSheetId="10">#REF!</definedName>
    <definedName name="A.1" localSheetId="21">#REF!</definedName>
    <definedName name="A.1" localSheetId="1">#REF!</definedName>
    <definedName name="A.1" localSheetId="0">#REF!</definedName>
    <definedName name="A.1" localSheetId="5">#REF!</definedName>
    <definedName name="A.1" localSheetId="6">#REF!</definedName>
    <definedName name="A.1" localSheetId="16">#REF!</definedName>
    <definedName name="A.1" localSheetId="7">#REF!</definedName>
    <definedName name="A.1">#REF!</definedName>
    <definedName name="A.120" localSheetId="18">#REF!</definedName>
    <definedName name="A.120" localSheetId="11">#REF!</definedName>
    <definedName name="A.120" localSheetId="10">#REF!</definedName>
    <definedName name="A.120" localSheetId="21">#REF!</definedName>
    <definedName name="A.120" localSheetId="12">#REF!</definedName>
    <definedName name="A.120" localSheetId="1">#REF!</definedName>
    <definedName name="A.120" localSheetId="0">#REF!</definedName>
    <definedName name="A.120" localSheetId="14">#REF!</definedName>
    <definedName name="A.120" localSheetId="5">#REF!</definedName>
    <definedName name="A.120" localSheetId="6">#REF!</definedName>
    <definedName name="A.120" localSheetId="16">#REF!</definedName>
    <definedName name="A.120" localSheetId="7">#REF!</definedName>
    <definedName name="A.120">#REF!</definedName>
    <definedName name="A.16" localSheetId="18">#REF!</definedName>
    <definedName name="A.16" localSheetId="11">#REF!</definedName>
    <definedName name="A.16" localSheetId="10">#REF!</definedName>
    <definedName name="A.16" localSheetId="21">#REF!</definedName>
    <definedName name="A.16" localSheetId="12">#REF!</definedName>
    <definedName name="A.16" localSheetId="1">#REF!</definedName>
    <definedName name="A.16" localSheetId="0">#REF!</definedName>
    <definedName name="A.16" localSheetId="14">#REF!</definedName>
    <definedName name="A.16" localSheetId="5">#REF!</definedName>
    <definedName name="A.16" localSheetId="6">#REF!</definedName>
    <definedName name="A.16" localSheetId="16">#REF!</definedName>
    <definedName name="A.16" localSheetId="7">#REF!</definedName>
    <definedName name="A.16">#REF!</definedName>
    <definedName name="A.16A" localSheetId="18">#REF!</definedName>
    <definedName name="A.16A" localSheetId="11">#REF!</definedName>
    <definedName name="A.16A" localSheetId="10">#REF!</definedName>
    <definedName name="A.16A" localSheetId="21">#REF!</definedName>
    <definedName name="A.16A" localSheetId="12">#REF!</definedName>
    <definedName name="A.16A" localSheetId="1">#REF!</definedName>
    <definedName name="A.16A" localSheetId="0">#REF!</definedName>
    <definedName name="A.16A" localSheetId="14">#REF!</definedName>
    <definedName name="A.16A" localSheetId="5">#REF!</definedName>
    <definedName name="A.16A" localSheetId="6">#REF!</definedName>
    <definedName name="A.16A" localSheetId="16">#REF!</definedName>
    <definedName name="A.16A" localSheetId="7">#REF!</definedName>
    <definedName name="A.16A">#REF!</definedName>
    <definedName name="A.18" localSheetId="18">#REF!</definedName>
    <definedName name="A.18" localSheetId="11">#REF!</definedName>
    <definedName name="A.18" localSheetId="10">#REF!</definedName>
    <definedName name="A.18" localSheetId="21">#REF!</definedName>
    <definedName name="A.18" localSheetId="12">#REF!</definedName>
    <definedName name="A.18" localSheetId="1">#REF!</definedName>
    <definedName name="A.18" localSheetId="0">#REF!</definedName>
    <definedName name="A.18" localSheetId="14">#REF!</definedName>
    <definedName name="A.18" localSheetId="5">#REF!</definedName>
    <definedName name="A.18" localSheetId="6">#REF!</definedName>
    <definedName name="A.18" localSheetId="16">#REF!</definedName>
    <definedName name="A.18" localSheetId="7">#REF!</definedName>
    <definedName name="A.18">#REF!</definedName>
    <definedName name="A.18a" localSheetId="18">#REF!</definedName>
    <definedName name="A.18a" localSheetId="21">#REF!</definedName>
    <definedName name="A.18a" localSheetId="1">#REF!</definedName>
    <definedName name="A.18a" localSheetId="0">#REF!</definedName>
    <definedName name="A.18a" localSheetId="5">#REF!</definedName>
    <definedName name="A.18a" localSheetId="6">#REF!</definedName>
    <definedName name="A.18a" localSheetId="16">#REF!</definedName>
    <definedName name="A.18a" localSheetId="7">#REF!</definedName>
    <definedName name="A.18a">#REF!</definedName>
    <definedName name="A.18b" localSheetId="18">#REF!</definedName>
    <definedName name="A.18b" localSheetId="21">#REF!</definedName>
    <definedName name="A.18b" localSheetId="1">#REF!</definedName>
    <definedName name="A.18b" localSheetId="0">#REF!</definedName>
    <definedName name="A.18b" localSheetId="5">#REF!</definedName>
    <definedName name="A.18b" localSheetId="6">#REF!</definedName>
    <definedName name="A.18b" localSheetId="16">#REF!</definedName>
    <definedName name="A.18b" localSheetId="7">#REF!</definedName>
    <definedName name="A.18b">#REF!</definedName>
    <definedName name="A.2" localSheetId="18">#REF!</definedName>
    <definedName name="A.2" localSheetId="11">#REF!</definedName>
    <definedName name="A.2" localSheetId="10">#REF!</definedName>
    <definedName name="A.2" localSheetId="21">#REF!</definedName>
    <definedName name="A.2" localSheetId="12">#REF!</definedName>
    <definedName name="A.2" localSheetId="1">#REF!</definedName>
    <definedName name="A.2" localSheetId="0">#REF!</definedName>
    <definedName name="A.2" localSheetId="14">#REF!</definedName>
    <definedName name="A.2" localSheetId="5">#REF!</definedName>
    <definedName name="A.2" localSheetId="6">#REF!</definedName>
    <definedName name="A.2" localSheetId="16">#REF!</definedName>
    <definedName name="A.2" localSheetId="7">#REF!</definedName>
    <definedName name="A.2">#REF!</definedName>
    <definedName name="A.3" localSheetId="18">#REF!</definedName>
    <definedName name="A.3" localSheetId="11">#REF!</definedName>
    <definedName name="A.3" localSheetId="10">#REF!</definedName>
    <definedName name="A.3" localSheetId="21">#REF!</definedName>
    <definedName name="A.3" localSheetId="12">#REF!</definedName>
    <definedName name="A.3" localSheetId="1">#REF!</definedName>
    <definedName name="A.3" localSheetId="0">#REF!</definedName>
    <definedName name="A.3" localSheetId="14">#REF!</definedName>
    <definedName name="A.3" localSheetId="5">#REF!</definedName>
    <definedName name="A.3" localSheetId="6">#REF!</definedName>
    <definedName name="A.3" localSheetId="16">#REF!</definedName>
    <definedName name="A.3" localSheetId="7">#REF!</definedName>
    <definedName name="A.3">#REF!</definedName>
    <definedName name="A.4" localSheetId="18">#REF!</definedName>
    <definedName name="A.4" localSheetId="11">#REF!</definedName>
    <definedName name="A.4" localSheetId="10">#REF!</definedName>
    <definedName name="A.4" localSheetId="21">#REF!</definedName>
    <definedName name="A.4" localSheetId="12">#REF!</definedName>
    <definedName name="A.4" localSheetId="1">#REF!</definedName>
    <definedName name="A.4" localSheetId="0">#REF!</definedName>
    <definedName name="A.4" localSheetId="14">#REF!</definedName>
    <definedName name="A.4" localSheetId="5">#REF!</definedName>
    <definedName name="A.4" localSheetId="6">#REF!</definedName>
    <definedName name="A.4" localSheetId="16">#REF!</definedName>
    <definedName name="A.4" localSheetId="7">#REF!</definedName>
    <definedName name="A.4">#REF!</definedName>
    <definedName name="A.5" localSheetId="18">#REF!</definedName>
    <definedName name="A.5" localSheetId="11">#REF!</definedName>
    <definedName name="A.5" localSheetId="10">#REF!</definedName>
    <definedName name="A.5" localSheetId="21">#REF!</definedName>
    <definedName name="A.5" localSheetId="12">#REF!</definedName>
    <definedName name="A.5" localSheetId="1">#REF!</definedName>
    <definedName name="A.5" localSheetId="0">#REF!</definedName>
    <definedName name="A.5" localSheetId="14">#REF!</definedName>
    <definedName name="A.5" localSheetId="5">#REF!</definedName>
    <definedName name="A.5" localSheetId="6">#REF!</definedName>
    <definedName name="A.5" localSheetId="16">#REF!</definedName>
    <definedName name="A.5" localSheetId="7">#REF!</definedName>
    <definedName name="A.5">#REF!</definedName>
    <definedName name="A.60" localSheetId="18">#REF!</definedName>
    <definedName name="A.60" localSheetId="11">#REF!</definedName>
    <definedName name="A.60" localSheetId="10">#REF!</definedName>
    <definedName name="A.60" localSheetId="21">#REF!</definedName>
    <definedName name="A.60" localSheetId="12">#REF!</definedName>
    <definedName name="A.60" localSheetId="1">#REF!</definedName>
    <definedName name="A.60" localSheetId="0">#REF!</definedName>
    <definedName name="A.60" localSheetId="14">#REF!</definedName>
    <definedName name="A.60" localSheetId="5">#REF!</definedName>
    <definedName name="A.60" localSheetId="6">#REF!</definedName>
    <definedName name="A.60" localSheetId="16">#REF!</definedName>
    <definedName name="A.60" localSheetId="7">#REF!</definedName>
    <definedName name="A.60">#REF!</definedName>
    <definedName name="A.9" localSheetId="18">#REF!</definedName>
    <definedName name="A.9" localSheetId="11">#REF!</definedName>
    <definedName name="A.9" localSheetId="10">#REF!</definedName>
    <definedName name="A.9" localSheetId="21">#REF!</definedName>
    <definedName name="A.9" localSheetId="12">#REF!</definedName>
    <definedName name="A.9" localSheetId="1">#REF!</definedName>
    <definedName name="A.9" localSheetId="0">#REF!</definedName>
    <definedName name="A.9" localSheetId="14">#REF!</definedName>
    <definedName name="A.9" localSheetId="5">#REF!</definedName>
    <definedName name="A.9" localSheetId="6">#REF!</definedName>
    <definedName name="A.9" localSheetId="16">#REF!</definedName>
    <definedName name="A.9" localSheetId="7">#REF!</definedName>
    <definedName name="A.9">#REF!</definedName>
    <definedName name="A.90" localSheetId="18">#REF!</definedName>
    <definedName name="A.90" localSheetId="11">#REF!</definedName>
    <definedName name="A.90" localSheetId="10">#REF!</definedName>
    <definedName name="A.90" localSheetId="21">#REF!</definedName>
    <definedName name="A.90" localSheetId="12">#REF!</definedName>
    <definedName name="A.90" localSheetId="1">#REF!</definedName>
    <definedName name="A.90" localSheetId="0">#REF!</definedName>
    <definedName name="A.90" localSheetId="14">#REF!</definedName>
    <definedName name="A.90" localSheetId="5">#REF!</definedName>
    <definedName name="A.90" localSheetId="6">#REF!</definedName>
    <definedName name="A.90" localSheetId="16">#REF!</definedName>
    <definedName name="A.90" localSheetId="7">#REF!</definedName>
    <definedName name="A.90">#REF!</definedName>
    <definedName name="ACI" localSheetId="18">#REF!</definedName>
    <definedName name="ACI" localSheetId="11">#REF!</definedName>
    <definedName name="ACI" localSheetId="10">#REF!</definedName>
    <definedName name="ACI" localSheetId="21">#REF!</definedName>
    <definedName name="ACI" localSheetId="12">#REF!</definedName>
    <definedName name="ACI" localSheetId="1">#REF!</definedName>
    <definedName name="ACI" localSheetId="0">#REF!</definedName>
    <definedName name="ACI" localSheetId="14">#REF!</definedName>
    <definedName name="ACI" localSheetId="5">#REF!</definedName>
    <definedName name="ACI" localSheetId="6">#REF!</definedName>
    <definedName name="ACI" localSheetId="16">#REF!</definedName>
    <definedName name="ACI" localSheetId="7">#REF!</definedName>
    <definedName name="ACI">#REF!</definedName>
    <definedName name="Ad_W.5a" localSheetId="18">#REF!</definedName>
    <definedName name="Ad_W.5a" localSheetId="21">#REF!</definedName>
    <definedName name="Ad_W.5a" localSheetId="1">#REF!</definedName>
    <definedName name="Ad_W.5a" localSheetId="0">#REF!</definedName>
    <definedName name="Ad_W.5a" localSheetId="5">#REF!</definedName>
    <definedName name="Ad_W.5a" localSheetId="6">#REF!</definedName>
    <definedName name="Ad_W.5a" localSheetId="16">#REF!</definedName>
    <definedName name="Ad_W.5a" localSheetId="7">#REF!</definedName>
    <definedName name="Ad_W.5a">#REF!</definedName>
    <definedName name="adakah">'[13]Upah&amp;Bahan'!$C$21</definedName>
    <definedName name="aga" localSheetId="18">#REF!</definedName>
    <definedName name="aga" localSheetId="11">#REF!</definedName>
    <definedName name="aga" localSheetId="10">#REF!</definedName>
    <definedName name="aga" localSheetId="21">#REF!</definedName>
    <definedName name="aga" localSheetId="12">#REF!</definedName>
    <definedName name="aga" localSheetId="1">#REF!</definedName>
    <definedName name="aga" localSheetId="0">#REF!</definedName>
    <definedName name="aga" localSheetId="14">#REF!</definedName>
    <definedName name="aga" localSheetId="5">#REF!</definedName>
    <definedName name="aga" localSheetId="6">#REF!</definedName>
    <definedName name="aga" localSheetId="16">#REF!</definedName>
    <definedName name="aga" localSheetId="7">#REF!</definedName>
    <definedName name="aga">#REF!</definedName>
    <definedName name="agam" localSheetId="18">#REF!</definedName>
    <definedName name="agam" localSheetId="11">#REF!</definedName>
    <definedName name="agam" localSheetId="10">#REF!</definedName>
    <definedName name="agam" localSheetId="21">#REF!</definedName>
    <definedName name="agam" localSheetId="12">#REF!</definedName>
    <definedName name="agam" localSheetId="1">#REF!</definedName>
    <definedName name="agam" localSheetId="0">#REF!</definedName>
    <definedName name="agam" localSheetId="14">#REF!</definedName>
    <definedName name="agam" localSheetId="5">#REF!</definedName>
    <definedName name="agam" localSheetId="6">#REF!</definedName>
    <definedName name="agam" localSheetId="16">#REF!</definedName>
    <definedName name="agam" localSheetId="7">#REF!</definedName>
    <definedName name="agam">#REF!</definedName>
    <definedName name="agama" localSheetId="18">#REF!</definedName>
    <definedName name="agama" localSheetId="11">#REF!</definedName>
    <definedName name="agama" localSheetId="10">#REF!</definedName>
    <definedName name="agama" localSheetId="21">#REF!</definedName>
    <definedName name="agama" localSheetId="12">#REF!</definedName>
    <definedName name="agama" localSheetId="1">#REF!</definedName>
    <definedName name="agama" localSheetId="0">#REF!</definedName>
    <definedName name="agama" localSheetId="14">#REF!</definedName>
    <definedName name="agama" localSheetId="5">#REF!</definedName>
    <definedName name="agama" localSheetId="6">#REF!</definedName>
    <definedName name="agama" localSheetId="16">#REF!</definedName>
    <definedName name="agama" localSheetId="7">#REF!</definedName>
    <definedName name="agama">#REF!</definedName>
    <definedName name="agar" localSheetId="11">'[13]Kuantitas &amp; Harga'!#REF!</definedName>
    <definedName name="agar" localSheetId="10">'[13]Kuantitas &amp; Harga'!#REF!</definedName>
    <definedName name="agar" localSheetId="21">'[13]Kuantitas &amp; Harga'!#REF!</definedName>
    <definedName name="agar" localSheetId="12">'[13]Kuantitas &amp; Harga'!#REF!</definedName>
    <definedName name="agar" localSheetId="1">'[13]Kuantitas &amp; Harga'!#REF!</definedName>
    <definedName name="agar" localSheetId="0">'[13]Kuantitas &amp; Harga'!#REF!</definedName>
    <definedName name="agar" localSheetId="14">'[13]Kuantitas &amp; Harga'!#REF!</definedName>
    <definedName name="agar" localSheetId="5">'[13]Kuantitas &amp; Harga'!#REF!</definedName>
    <definedName name="agar" localSheetId="6">'[13]Kuantitas &amp; Harga'!#REF!</definedName>
    <definedName name="agar" localSheetId="16">'[13]Kuantitas &amp; Harga'!#REF!</definedName>
    <definedName name="agar" localSheetId="7">'[13]Kuantitas &amp; Harga'!#REF!</definedName>
    <definedName name="agar">'[13]Kuantitas &amp; Harga'!#REF!</definedName>
    <definedName name="AGREGAT" localSheetId="11">'[12]Kuantitas &amp; Harga'!#REF!</definedName>
    <definedName name="AGREGAT" localSheetId="10">'[12]Kuantitas &amp; Harga'!#REF!</definedName>
    <definedName name="AGREGAT" localSheetId="21">'[12]Kuantitas &amp; Harga'!#REF!</definedName>
    <definedName name="AGREGAT" localSheetId="12">'[12]Kuantitas &amp; Harga'!#REF!</definedName>
    <definedName name="AGREGAT" localSheetId="1">'[12]Kuantitas &amp; Harga'!#REF!</definedName>
    <definedName name="AGREGAT" localSheetId="0">'[12]Kuantitas &amp; Harga'!#REF!</definedName>
    <definedName name="AGREGAT" localSheetId="14">'[12]Kuantitas &amp; Harga'!#REF!</definedName>
    <definedName name="AGREGAT" localSheetId="5">'[12]Kuantitas &amp; Harga'!#REF!</definedName>
    <definedName name="AGREGAT" localSheetId="6">'[12]Kuantitas &amp; Harga'!#REF!</definedName>
    <definedName name="AGREGAT" localSheetId="16">'[12]Kuantitas &amp; Harga'!#REF!</definedName>
    <definedName name="AGREGAT" localSheetId="7">'[12]Kuantitas &amp; Harga'!#REF!</definedName>
    <definedName name="AGREGAT">'[12]Kuantitas &amp; Harga'!#REF!</definedName>
    <definedName name="AGREGATA" localSheetId="18">#REF!</definedName>
    <definedName name="AGREGATA" localSheetId="10">#REF!</definedName>
    <definedName name="AGREGATA" localSheetId="21">#REF!</definedName>
    <definedName name="AGREGATA" localSheetId="1">#REF!</definedName>
    <definedName name="AGREGATA" localSheetId="0">#REF!</definedName>
    <definedName name="AGREGATA" localSheetId="5">#REF!</definedName>
    <definedName name="AGREGATA" localSheetId="6">#REF!</definedName>
    <definedName name="AGREGATA" localSheetId="16">#REF!</definedName>
    <definedName name="AGREGATA" localSheetId="7">#REF!</definedName>
    <definedName name="AGREGATA">#REF!</definedName>
    <definedName name="AGREGATB" localSheetId="18">#REF!</definedName>
    <definedName name="AGREGATB" localSheetId="10">#REF!</definedName>
    <definedName name="AGREGATB" localSheetId="21">#REF!</definedName>
    <definedName name="AGREGATB" localSheetId="1">#REF!</definedName>
    <definedName name="AGREGATB" localSheetId="0">#REF!</definedName>
    <definedName name="AGREGATB" localSheetId="5">#REF!</definedName>
    <definedName name="AGREGATB" localSheetId="6">#REF!</definedName>
    <definedName name="AGREGATB" localSheetId="16">#REF!</definedName>
    <definedName name="AGREGATB" localSheetId="7">#REF!</definedName>
    <definedName name="AGREGATB">#REF!</definedName>
    <definedName name="AGREGATC" localSheetId="18">#REF!</definedName>
    <definedName name="AGREGATC" localSheetId="10">#REF!</definedName>
    <definedName name="AGREGATC" localSheetId="21">#REF!</definedName>
    <definedName name="AGREGATC" localSheetId="1">#REF!</definedName>
    <definedName name="AGREGATC" localSheetId="0">#REF!</definedName>
    <definedName name="AGREGATC" localSheetId="5">#REF!</definedName>
    <definedName name="AGREGATC" localSheetId="6">#REF!</definedName>
    <definedName name="AGREGATC" localSheetId="16">#REF!</definedName>
    <definedName name="AGREGATC" localSheetId="7">#REF!</definedName>
    <definedName name="AGREGATC">#REF!</definedName>
    <definedName name="aku">'[13]Upah&amp;Bahan'!$C$16</definedName>
    <definedName name="AL" localSheetId="21">#REF!</definedName>
    <definedName name="AL" localSheetId="1">#REF!</definedName>
    <definedName name="AL" localSheetId="0">#REF!</definedName>
    <definedName name="AL" localSheetId="5">#REF!</definedName>
    <definedName name="AL" localSheetId="6">#REF!</definedName>
    <definedName name="AL" localSheetId="16">#REF!</definedName>
    <definedName name="AL" localSheetId="7">#REF!</definedName>
    <definedName name="AL">#REF!</definedName>
    <definedName name="Alamat">'[10]Daf HrG'!$G$39</definedName>
    <definedName name="ALAT" localSheetId="18">#REF!</definedName>
    <definedName name="ALAT" localSheetId="11">#REF!</definedName>
    <definedName name="ALAT" localSheetId="10">#REF!</definedName>
    <definedName name="ALAT" localSheetId="21">#REF!</definedName>
    <definedName name="ALAT" localSheetId="12">#REF!</definedName>
    <definedName name="ALAT" localSheetId="1">#REF!</definedName>
    <definedName name="ALAT" localSheetId="0">#REF!</definedName>
    <definedName name="ALAT" localSheetId="14">#REF!</definedName>
    <definedName name="ALAT" localSheetId="5">#REF!</definedName>
    <definedName name="ALAT" localSheetId="6">#REF!</definedName>
    <definedName name="ALAT" localSheetId="16">#REF!</definedName>
    <definedName name="ALAT" localSheetId="7">#REF!</definedName>
    <definedName name="ALAT">#REF!</definedName>
    <definedName name="ALATBANTU" localSheetId="18">#REF!</definedName>
    <definedName name="ALATBANTU" localSheetId="21">#REF!</definedName>
    <definedName name="ALATBANTU" localSheetId="1">#REF!</definedName>
    <definedName name="ALATBANTU" localSheetId="0">#REF!</definedName>
    <definedName name="ALATBANTU" localSheetId="5">#REF!</definedName>
    <definedName name="ALATBANTU" localSheetId="6">#REF!</definedName>
    <definedName name="ALATBANTU" localSheetId="16">#REF!</definedName>
    <definedName name="ALATBANTU" localSheetId="7">#REF!</definedName>
    <definedName name="ALATBANTU">#REF!</definedName>
    <definedName name="ALATUTAMA" localSheetId="18">[19]alat!#REF!</definedName>
    <definedName name="ALATUTAMA" localSheetId="10">[19]alat!#REF!</definedName>
    <definedName name="ALATUTAMA" localSheetId="21">[19]alat!#REF!</definedName>
    <definedName name="ALATUTAMA" localSheetId="1">[19]alat!#REF!</definedName>
    <definedName name="ALATUTAMA" localSheetId="0">[19]alat!#REF!</definedName>
    <definedName name="ALATUTAMA" localSheetId="5">[19]alat!#REF!</definedName>
    <definedName name="ALATUTAMA" localSheetId="6">[19]alat!#REF!</definedName>
    <definedName name="ALATUTAMA" localSheetId="16">[19]alat!#REF!</definedName>
    <definedName name="ALATUTAMA" localSheetId="7">[19]alat!#REF!</definedName>
    <definedName name="ALATUTAMA">[19]alat!#REF!</definedName>
    <definedName name="alba2.20" localSheetId="18">#REF!</definedName>
    <definedName name="alba2.20" localSheetId="11">#REF!</definedName>
    <definedName name="alba2.20" localSheetId="10">#REF!</definedName>
    <definedName name="alba2.20" localSheetId="21">#REF!</definedName>
    <definedName name="alba2.20" localSheetId="12">#REF!</definedName>
    <definedName name="alba2.20" localSheetId="1">#REF!</definedName>
    <definedName name="alba2.20" localSheetId="0">#REF!</definedName>
    <definedName name="alba2.20" localSheetId="14">#REF!</definedName>
    <definedName name="alba2.20" localSheetId="5">#REF!</definedName>
    <definedName name="alba2.20" localSheetId="6">#REF!</definedName>
    <definedName name="alba2.20" localSheetId="16">#REF!</definedName>
    <definedName name="alba2.20" localSheetId="7">#REF!</definedName>
    <definedName name="alba2.20">#REF!</definedName>
    <definedName name="AMOUNT" localSheetId="10">[20]MFC!#REF!</definedName>
    <definedName name="AMOUNT" localSheetId="21">[20]MFC!#REF!</definedName>
    <definedName name="AMOUNT" localSheetId="1">[20]MFC!#REF!</definedName>
    <definedName name="AMOUNT" localSheetId="0">[20]MFC!#REF!</definedName>
    <definedName name="AMOUNT" localSheetId="5">[20]MFC!#REF!</definedName>
    <definedName name="AMOUNT" localSheetId="6">[20]MFC!#REF!</definedName>
    <definedName name="AMOUNT" localSheetId="16">[20]MFC!#REF!</definedName>
    <definedName name="AMOUNT" localSheetId="7">[20]MFC!#REF!</definedName>
    <definedName name="AMOUNT">[20]MFC!#REF!</definedName>
    <definedName name="AMP">[7]Peralatan!$A$1:$J$1</definedName>
    <definedName name="an.01" localSheetId="18">#REF!</definedName>
    <definedName name="an.01" localSheetId="10">#REF!</definedName>
    <definedName name="an.01" localSheetId="21">#REF!</definedName>
    <definedName name="an.01" localSheetId="1">#REF!</definedName>
    <definedName name="an.01" localSheetId="0">#REF!</definedName>
    <definedName name="an.01" localSheetId="5">#REF!</definedName>
    <definedName name="an.01" localSheetId="6">#REF!</definedName>
    <definedName name="an.01" localSheetId="16">#REF!</definedName>
    <definedName name="an.01" localSheetId="7">#REF!</definedName>
    <definedName name="an.01">#REF!</definedName>
    <definedName name="an.02" localSheetId="18">#REF!</definedName>
    <definedName name="an.02" localSheetId="10">#REF!</definedName>
    <definedName name="an.02" localSheetId="21">#REF!</definedName>
    <definedName name="an.02" localSheetId="1">#REF!</definedName>
    <definedName name="an.02" localSheetId="0">#REF!</definedName>
    <definedName name="an.02" localSheetId="5">#REF!</definedName>
    <definedName name="an.02" localSheetId="6">#REF!</definedName>
    <definedName name="an.02" localSheetId="16">#REF!</definedName>
    <definedName name="an.02" localSheetId="7">#REF!</definedName>
    <definedName name="an.02">#REF!</definedName>
    <definedName name="an.03" localSheetId="18">#REF!</definedName>
    <definedName name="an.03" localSheetId="10">#REF!</definedName>
    <definedName name="an.03" localSheetId="21">#REF!</definedName>
    <definedName name="an.03" localSheetId="1">#REF!</definedName>
    <definedName name="an.03" localSheetId="0">#REF!</definedName>
    <definedName name="an.03" localSheetId="5">#REF!</definedName>
    <definedName name="an.03" localSheetId="6">#REF!</definedName>
    <definedName name="an.03" localSheetId="16">#REF!</definedName>
    <definedName name="an.03" localSheetId="7">#REF!</definedName>
    <definedName name="an.03">#REF!</definedName>
    <definedName name="an.04" localSheetId="18">#REF!</definedName>
    <definedName name="an.04" localSheetId="10">#REF!</definedName>
    <definedName name="an.04" localSheetId="21">#REF!</definedName>
    <definedName name="an.04" localSheetId="1">#REF!</definedName>
    <definedName name="an.04" localSheetId="0">#REF!</definedName>
    <definedName name="an.04" localSheetId="5">#REF!</definedName>
    <definedName name="an.04" localSheetId="6">#REF!</definedName>
    <definedName name="an.04" localSheetId="16">#REF!</definedName>
    <definedName name="an.04" localSheetId="7">#REF!</definedName>
    <definedName name="an.04">#REF!</definedName>
    <definedName name="an.05" localSheetId="18">#REF!</definedName>
    <definedName name="an.05" localSheetId="10">#REF!</definedName>
    <definedName name="an.05" localSheetId="21">#REF!</definedName>
    <definedName name="an.05" localSheetId="1">#REF!</definedName>
    <definedName name="an.05" localSheetId="0">#REF!</definedName>
    <definedName name="an.05" localSheetId="5">#REF!</definedName>
    <definedName name="an.05" localSheetId="6">#REF!</definedName>
    <definedName name="an.05" localSheetId="16">#REF!</definedName>
    <definedName name="an.05" localSheetId="7">#REF!</definedName>
    <definedName name="an.05">#REF!</definedName>
    <definedName name="an.06" localSheetId="18">#REF!</definedName>
    <definedName name="an.06" localSheetId="10">#REF!</definedName>
    <definedName name="an.06" localSheetId="21">#REF!</definedName>
    <definedName name="an.06" localSheetId="1">#REF!</definedName>
    <definedName name="an.06" localSheetId="0">#REF!</definedName>
    <definedName name="an.06" localSheetId="5">#REF!</definedName>
    <definedName name="an.06" localSheetId="6">#REF!</definedName>
    <definedName name="an.06" localSheetId="16">#REF!</definedName>
    <definedName name="an.06" localSheetId="7">#REF!</definedName>
    <definedName name="an.06">#REF!</definedName>
    <definedName name="an.07" localSheetId="18">#REF!</definedName>
    <definedName name="an.07" localSheetId="10">#REF!</definedName>
    <definedName name="an.07" localSheetId="21">#REF!</definedName>
    <definedName name="an.07" localSheetId="1">#REF!</definedName>
    <definedName name="an.07" localSheetId="0">#REF!</definedName>
    <definedName name="an.07" localSheetId="5">#REF!</definedName>
    <definedName name="an.07" localSheetId="6">#REF!</definedName>
    <definedName name="an.07" localSheetId="16">#REF!</definedName>
    <definedName name="an.07" localSheetId="7">#REF!</definedName>
    <definedName name="an.07">#REF!</definedName>
    <definedName name="an.08" localSheetId="18">#REF!</definedName>
    <definedName name="an.08" localSheetId="10">#REF!</definedName>
    <definedName name="an.08" localSheetId="21">#REF!</definedName>
    <definedName name="an.08" localSheetId="1">#REF!</definedName>
    <definedName name="an.08" localSheetId="0">#REF!</definedName>
    <definedName name="an.08" localSheetId="5">#REF!</definedName>
    <definedName name="an.08" localSheetId="6">#REF!</definedName>
    <definedName name="an.08" localSheetId="16">#REF!</definedName>
    <definedName name="an.08" localSheetId="7">#REF!</definedName>
    <definedName name="an.08">#REF!</definedName>
    <definedName name="an.09" localSheetId="18">#REF!</definedName>
    <definedName name="an.09" localSheetId="10">#REF!</definedName>
    <definedName name="an.09" localSheetId="21">#REF!</definedName>
    <definedName name="an.09" localSheetId="1">#REF!</definedName>
    <definedName name="an.09" localSheetId="0">#REF!</definedName>
    <definedName name="an.09" localSheetId="5">#REF!</definedName>
    <definedName name="an.09" localSheetId="6">#REF!</definedName>
    <definedName name="an.09" localSheetId="16">#REF!</definedName>
    <definedName name="an.09" localSheetId="7">#REF!</definedName>
    <definedName name="an.09">#REF!</definedName>
    <definedName name="an.10" localSheetId="18">#REF!</definedName>
    <definedName name="an.10" localSheetId="10">#REF!</definedName>
    <definedName name="an.10" localSheetId="21">#REF!</definedName>
    <definedName name="an.10" localSheetId="1">#REF!</definedName>
    <definedName name="an.10" localSheetId="0">#REF!</definedName>
    <definedName name="an.10" localSheetId="5">#REF!</definedName>
    <definedName name="an.10" localSheetId="6">#REF!</definedName>
    <definedName name="an.10" localSheetId="16">#REF!</definedName>
    <definedName name="an.10" localSheetId="7">#REF!</definedName>
    <definedName name="an.10">#REF!</definedName>
    <definedName name="an.11" localSheetId="18">#REF!</definedName>
    <definedName name="an.11" localSheetId="10">#REF!</definedName>
    <definedName name="an.11" localSheetId="21">#REF!</definedName>
    <definedName name="an.11" localSheetId="1">#REF!</definedName>
    <definedName name="an.11" localSheetId="0">#REF!</definedName>
    <definedName name="an.11" localSheetId="5">#REF!</definedName>
    <definedName name="an.11" localSheetId="6">#REF!</definedName>
    <definedName name="an.11" localSheetId="16">#REF!</definedName>
    <definedName name="an.11" localSheetId="7">#REF!</definedName>
    <definedName name="an.11">#REF!</definedName>
    <definedName name="an.12" localSheetId="18">#REF!</definedName>
    <definedName name="an.12" localSheetId="10">#REF!</definedName>
    <definedName name="an.12" localSheetId="21">#REF!</definedName>
    <definedName name="an.12" localSheetId="1">#REF!</definedName>
    <definedName name="an.12" localSheetId="0">#REF!</definedName>
    <definedName name="an.12" localSheetId="5">#REF!</definedName>
    <definedName name="an.12" localSheetId="6">#REF!</definedName>
    <definedName name="an.12" localSheetId="16">#REF!</definedName>
    <definedName name="an.12" localSheetId="7">#REF!</definedName>
    <definedName name="an.12">#REF!</definedName>
    <definedName name="AN.13" localSheetId="18">#REF!</definedName>
    <definedName name="AN.13" localSheetId="10">#REF!</definedName>
    <definedName name="AN.13" localSheetId="21">#REF!</definedName>
    <definedName name="AN.13" localSheetId="1">#REF!</definedName>
    <definedName name="AN.13" localSheetId="0">#REF!</definedName>
    <definedName name="AN.13" localSheetId="5">#REF!</definedName>
    <definedName name="AN.13" localSheetId="6">#REF!</definedName>
    <definedName name="AN.13" localSheetId="16">#REF!</definedName>
    <definedName name="AN.13" localSheetId="7">#REF!</definedName>
    <definedName name="AN.13">#REF!</definedName>
    <definedName name="anak">'[13]Upah&amp;Bahan'!$C$19</definedName>
    <definedName name="ANALISA" localSheetId="18">#REF!</definedName>
    <definedName name="ANALISA" localSheetId="10">#REF!</definedName>
    <definedName name="ANALISA" localSheetId="21">#REF!</definedName>
    <definedName name="ANALISA" localSheetId="1">#REF!</definedName>
    <definedName name="ANALISA" localSheetId="0">#REF!</definedName>
    <definedName name="ANALISA" localSheetId="5">#REF!</definedName>
    <definedName name="ANALISA" localSheetId="6">#REF!</definedName>
    <definedName name="ANALISA" localSheetId="16">#REF!</definedName>
    <definedName name="ANALISA" localSheetId="7">#REF!</definedName>
    <definedName name="ANALISA">#REF!</definedName>
    <definedName name="Analisa101A">'[21]Analisa HSP'!$U$49</definedName>
    <definedName name="Analisa101B">'[21]Analisa HSP'!$U$227</definedName>
    <definedName name="Analisa101C">'[21]Analisa HSP'!$U$404</definedName>
    <definedName name="Analisa101D">'[21]Analisa HSP'!$U$581</definedName>
    <definedName name="Analisa101E">'[21]Analisa HSP'!$U$758</definedName>
    <definedName name="angkut">'[22]Anls Bahan'!$E$157</definedName>
    <definedName name="Anl._A.1" localSheetId="18">#REF!</definedName>
    <definedName name="Anl._A.1" localSheetId="21">#REF!</definedName>
    <definedName name="Anl._A.1" localSheetId="1">#REF!</definedName>
    <definedName name="Anl._A.1" localSheetId="0">#REF!</definedName>
    <definedName name="Anl._A.1" localSheetId="5">#REF!</definedName>
    <definedName name="Anl._A.1" localSheetId="6">#REF!</definedName>
    <definedName name="Anl._A.1" localSheetId="16">#REF!</definedName>
    <definedName name="Anl._A.1" localSheetId="7">#REF!</definedName>
    <definedName name="Anl._A.1">#REF!</definedName>
    <definedName name="Anl._A.18" localSheetId="18">#REF!</definedName>
    <definedName name="Anl._A.18" localSheetId="21">#REF!</definedName>
    <definedName name="Anl._A.18" localSheetId="1">#REF!</definedName>
    <definedName name="Anl._A.18" localSheetId="0">#REF!</definedName>
    <definedName name="Anl._A.18" localSheetId="5">#REF!</definedName>
    <definedName name="Anl._A.18" localSheetId="6">#REF!</definedName>
    <definedName name="Anl._A.18" localSheetId="16">#REF!</definedName>
    <definedName name="Anl._A.18" localSheetId="7">#REF!</definedName>
    <definedName name="Anl._A.18">#REF!</definedName>
    <definedName name="Anl._A.2" localSheetId="18">#REF!</definedName>
    <definedName name="Anl._A.2" localSheetId="21">#REF!</definedName>
    <definedName name="Anl._A.2" localSheetId="1">#REF!</definedName>
    <definedName name="Anl._A.2" localSheetId="0">#REF!</definedName>
    <definedName name="Anl._A.2" localSheetId="5">#REF!</definedName>
    <definedName name="Anl._A.2" localSheetId="6">#REF!</definedName>
    <definedName name="Anl._A.2" localSheetId="16">#REF!</definedName>
    <definedName name="Anl._A.2" localSheetId="7">#REF!</definedName>
    <definedName name="Anl._A.2">#REF!</definedName>
    <definedName name="Anl._A.6" localSheetId="18">#REF!</definedName>
    <definedName name="Anl._A.6" localSheetId="21">#REF!</definedName>
    <definedName name="Anl._A.6" localSheetId="1">#REF!</definedName>
    <definedName name="Anl._A.6" localSheetId="0">#REF!</definedName>
    <definedName name="Anl._A.6" localSheetId="5">#REF!</definedName>
    <definedName name="Anl._A.6" localSheetId="6">#REF!</definedName>
    <definedName name="Anl._A.6" localSheetId="16">#REF!</definedName>
    <definedName name="Anl._A.6" localSheetId="7">#REF!</definedName>
    <definedName name="Anl._A.6">#REF!</definedName>
    <definedName name="Anl._F.1." localSheetId="18">#REF!</definedName>
    <definedName name="Anl._F.1." localSheetId="21">#REF!</definedName>
    <definedName name="Anl._F.1." localSheetId="1">#REF!</definedName>
    <definedName name="Anl._F.1." localSheetId="0">#REF!</definedName>
    <definedName name="Anl._F.1." localSheetId="5">#REF!</definedName>
    <definedName name="Anl._F.1." localSheetId="6">#REF!</definedName>
    <definedName name="Anl._F.1." localSheetId="16">#REF!</definedName>
    <definedName name="Anl._F.1." localSheetId="7">#REF!</definedName>
    <definedName name="Anl._F.1.">#REF!</definedName>
    <definedName name="Anl._F.1.a" localSheetId="18">#REF!</definedName>
    <definedName name="Anl._F.1.a" localSheetId="21">#REF!</definedName>
    <definedName name="Anl._F.1.a" localSheetId="1">#REF!</definedName>
    <definedName name="Anl._F.1.a" localSheetId="0">#REF!</definedName>
    <definedName name="Anl._F.1.a" localSheetId="5">#REF!</definedName>
    <definedName name="Anl._F.1.a" localSheetId="6">#REF!</definedName>
    <definedName name="Anl._F.1.a" localSheetId="16">#REF!</definedName>
    <definedName name="Anl._F.1.a" localSheetId="7">#REF!</definedName>
    <definedName name="Anl._F.1.a">#REF!</definedName>
    <definedName name="Anl._F.16" localSheetId="18">#REF!</definedName>
    <definedName name="Anl._F.16" localSheetId="21">#REF!</definedName>
    <definedName name="Anl._F.16" localSheetId="1">#REF!</definedName>
    <definedName name="Anl._F.16" localSheetId="0">#REF!</definedName>
    <definedName name="Anl._F.16" localSheetId="5">#REF!</definedName>
    <definedName name="Anl._F.16" localSheetId="6">#REF!</definedName>
    <definedName name="Anl._F.16" localSheetId="16">#REF!</definedName>
    <definedName name="Anl._F.16" localSheetId="7">#REF!</definedName>
    <definedName name="Anl._F.16">#REF!</definedName>
    <definedName name="Anl._F.16a" localSheetId="18">#REF!</definedName>
    <definedName name="Anl._F.16a" localSheetId="21">#REF!</definedName>
    <definedName name="Anl._F.16a" localSheetId="1">#REF!</definedName>
    <definedName name="Anl._F.16a" localSheetId="0">#REF!</definedName>
    <definedName name="Anl._F.16a" localSheetId="5">#REF!</definedName>
    <definedName name="Anl._F.16a" localSheetId="6">#REF!</definedName>
    <definedName name="Anl._F.16a" localSheetId="16">#REF!</definedName>
    <definedName name="Anl._F.16a" localSheetId="7">#REF!</definedName>
    <definedName name="Anl._F.16a">#REF!</definedName>
    <definedName name="Anl._F.19" localSheetId="18">#REF!</definedName>
    <definedName name="Anl._F.19" localSheetId="21">#REF!</definedName>
    <definedName name="Anl._F.19" localSheetId="1">#REF!</definedName>
    <definedName name="Anl._F.19" localSheetId="0">#REF!</definedName>
    <definedName name="Anl._F.19" localSheetId="5">#REF!</definedName>
    <definedName name="Anl._F.19" localSheetId="6">#REF!</definedName>
    <definedName name="Anl._F.19" localSheetId="16">#REF!</definedName>
    <definedName name="Anl._F.19" localSheetId="7">#REF!</definedName>
    <definedName name="Anl._F.19">#REF!</definedName>
    <definedName name="Anl._F.21" localSheetId="18">#REF!</definedName>
    <definedName name="Anl._F.21" localSheetId="21">#REF!</definedName>
    <definedName name="Anl._F.21" localSheetId="1">#REF!</definedName>
    <definedName name="Anl._F.21" localSheetId="0">#REF!</definedName>
    <definedName name="Anl._F.21" localSheetId="5">#REF!</definedName>
    <definedName name="Anl._F.21" localSheetId="6">#REF!</definedName>
    <definedName name="Anl._F.21" localSheetId="16">#REF!</definedName>
    <definedName name="Anl._F.21" localSheetId="7">#REF!</definedName>
    <definedName name="Anl._F.21">#REF!</definedName>
    <definedName name="Anl._F.22" localSheetId="18">#REF!</definedName>
    <definedName name="Anl._F.22" localSheetId="21">#REF!</definedName>
    <definedName name="Anl._F.22" localSheetId="1">#REF!</definedName>
    <definedName name="Anl._F.22" localSheetId="0">#REF!</definedName>
    <definedName name="Anl._F.22" localSheetId="5">#REF!</definedName>
    <definedName name="Anl._F.22" localSheetId="6">#REF!</definedName>
    <definedName name="Anl._F.22" localSheetId="16">#REF!</definedName>
    <definedName name="Anl._F.22" localSheetId="7">#REF!</definedName>
    <definedName name="Anl._F.22">#REF!</definedName>
    <definedName name="Anl._F.27a" localSheetId="18">#REF!</definedName>
    <definedName name="Anl._F.27a" localSheetId="21">#REF!</definedName>
    <definedName name="Anl._F.27a" localSheetId="1">#REF!</definedName>
    <definedName name="Anl._F.27a" localSheetId="0">#REF!</definedName>
    <definedName name="Anl._F.27a" localSheetId="5">#REF!</definedName>
    <definedName name="Anl._F.27a" localSheetId="6">#REF!</definedName>
    <definedName name="Anl._F.27a" localSheetId="16">#REF!</definedName>
    <definedName name="Anl._F.27a" localSheetId="7">#REF!</definedName>
    <definedName name="Anl._F.27a">#REF!</definedName>
    <definedName name="Anl._F.28_1" localSheetId="18">#REF!</definedName>
    <definedName name="Anl._F.28_1" localSheetId="21">#REF!</definedName>
    <definedName name="Anl._F.28_1" localSheetId="1">#REF!</definedName>
    <definedName name="Anl._F.28_1" localSheetId="0">#REF!</definedName>
    <definedName name="Anl._F.28_1" localSheetId="5">#REF!</definedName>
    <definedName name="Anl._F.28_1" localSheetId="6">#REF!</definedName>
    <definedName name="Anl._F.28_1" localSheetId="16">#REF!</definedName>
    <definedName name="Anl._F.28_1" localSheetId="7">#REF!</definedName>
    <definedName name="Anl._F.28_1">#REF!</definedName>
    <definedName name="Anl._F.30" localSheetId="18">#REF!</definedName>
    <definedName name="Anl._F.30" localSheetId="21">#REF!</definedName>
    <definedName name="Anl._F.30" localSheetId="1">#REF!</definedName>
    <definedName name="Anl._F.30" localSheetId="0">#REF!</definedName>
    <definedName name="Anl._F.30" localSheetId="5">#REF!</definedName>
    <definedName name="Anl._F.30" localSheetId="6">#REF!</definedName>
    <definedName name="Anl._F.30" localSheetId="16">#REF!</definedName>
    <definedName name="Anl._F.30" localSheetId="7">#REF!</definedName>
    <definedName name="Anl._F.30">#REF!</definedName>
    <definedName name="Anl._F.30a" localSheetId="18">#REF!</definedName>
    <definedName name="Anl._F.30a" localSheetId="21">#REF!</definedName>
    <definedName name="Anl._F.30a" localSheetId="1">#REF!</definedName>
    <definedName name="Anl._F.30a" localSheetId="0">#REF!</definedName>
    <definedName name="Anl._F.30a" localSheetId="5">#REF!</definedName>
    <definedName name="Anl._F.30a" localSheetId="6">#REF!</definedName>
    <definedName name="Anl._F.30a" localSheetId="16">#REF!</definedName>
    <definedName name="Anl._F.30a" localSheetId="7">#REF!</definedName>
    <definedName name="Anl._F.30a">#REF!</definedName>
    <definedName name="Anl._F.33" localSheetId="18">#REF!</definedName>
    <definedName name="Anl._F.33" localSheetId="21">#REF!</definedName>
    <definedName name="Anl._F.33" localSheetId="1">#REF!</definedName>
    <definedName name="Anl._F.33" localSheetId="0">#REF!</definedName>
    <definedName name="Anl._F.33" localSheetId="5">#REF!</definedName>
    <definedName name="Anl._F.33" localSheetId="6">#REF!</definedName>
    <definedName name="Anl._F.33" localSheetId="16">#REF!</definedName>
    <definedName name="Anl._F.33" localSheetId="7">#REF!</definedName>
    <definedName name="Anl._F.33">#REF!</definedName>
    <definedName name="Anl._F.34" localSheetId="18">#REF!</definedName>
    <definedName name="Anl._F.34" localSheetId="21">#REF!</definedName>
    <definedName name="Anl._F.34" localSheetId="1">#REF!</definedName>
    <definedName name="Anl._F.34" localSheetId="0">#REF!</definedName>
    <definedName name="Anl._F.34" localSheetId="5">#REF!</definedName>
    <definedName name="Anl._F.34" localSheetId="6">#REF!</definedName>
    <definedName name="Anl._F.34" localSheetId="16">#REF!</definedName>
    <definedName name="Anl._F.34" localSheetId="7">#REF!</definedName>
    <definedName name="Anl._F.34">#REF!</definedName>
    <definedName name="Anl._F.36" localSheetId="18">#REF!</definedName>
    <definedName name="Anl._F.36" localSheetId="21">#REF!</definedName>
    <definedName name="Anl._F.36" localSheetId="1">#REF!</definedName>
    <definedName name="Anl._F.36" localSheetId="0">#REF!</definedName>
    <definedName name="Anl._F.36" localSheetId="5">#REF!</definedName>
    <definedName name="Anl._F.36" localSheetId="6">#REF!</definedName>
    <definedName name="Anl._F.36" localSheetId="16">#REF!</definedName>
    <definedName name="Anl._F.36" localSheetId="7">#REF!</definedName>
    <definedName name="Anl._F.36">#REF!</definedName>
    <definedName name="Anl._F.37" localSheetId="18">#REF!</definedName>
    <definedName name="Anl._F.37" localSheetId="21">#REF!</definedName>
    <definedName name="Anl._F.37" localSheetId="1">#REF!</definedName>
    <definedName name="Anl._F.37" localSheetId="0">#REF!</definedName>
    <definedName name="Anl._F.37" localSheetId="5">#REF!</definedName>
    <definedName name="Anl._F.37" localSheetId="6">#REF!</definedName>
    <definedName name="Anl._F.37" localSheetId="16">#REF!</definedName>
    <definedName name="Anl._F.37" localSheetId="7">#REF!</definedName>
    <definedName name="Anl._F.37">#REF!</definedName>
    <definedName name="Anl._F.37a" localSheetId="18">#REF!</definedName>
    <definedName name="Anl._F.37a" localSheetId="21">#REF!</definedName>
    <definedName name="Anl._F.37a" localSheetId="1">#REF!</definedName>
    <definedName name="Anl._F.37a" localSheetId="0">#REF!</definedName>
    <definedName name="Anl._F.37a" localSheetId="5">#REF!</definedName>
    <definedName name="Anl._F.37a" localSheetId="6">#REF!</definedName>
    <definedName name="Anl._F.37a" localSheetId="16">#REF!</definedName>
    <definedName name="Anl._F.37a" localSheetId="7">#REF!</definedName>
    <definedName name="Anl._F.37a">#REF!</definedName>
    <definedName name="Anl._F.37b." localSheetId="18">#REF!</definedName>
    <definedName name="Anl._F.37b." localSheetId="21">#REF!</definedName>
    <definedName name="Anl._F.37b." localSheetId="1">#REF!</definedName>
    <definedName name="Anl._F.37b." localSheetId="0">#REF!</definedName>
    <definedName name="Anl._F.37b." localSheetId="5">#REF!</definedName>
    <definedName name="Anl._F.37b." localSheetId="6">#REF!</definedName>
    <definedName name="Anl._F.37b." localSheetId="16">#REF!</definedName>
    <definedName name="Anl._F.37b." localSheetId="7">#REF!</definedName>
    <definedName name="Anl._F.37b.">#REF!</definedName>
    <definedName name="Anl._F.37c." localSheetId="18">#REF!</definedName>
    <definedName name="Anl._F.37c." localSheetId="21">#REF!</definedName>
    <definedName name="Anl._F.37c." localSheetId="1">#REF!</definedName>
    <definedName name="Anl._F.37c." localSheetId="0">#REF!</definedName>
    <definedName name="Anl._F.37c." localSheetId="5">#REF!</definedName>
    <definedName name="Anl._F.37c." localSheetId="6">#REF!</definedName>
    <definedName name="Anl._F.37c." localSheetId="16">#REF!</definedName>
    <definedName name="Anl._F.37c." localSheetId="7">#REF!</definedName>
    <definedName name="Anl._F.37c.">#REF!</definedName>
    <definedName name="Anl._F.37d." localSheetId="18">#REF!</definedName>
    <definedName name="Anl._F.37d." localSheetId="21">#REF!</definedName>
    <definedName name="Anl._F.37d." localSheetId="1">#REF!</definedName>
    <definedName name="Anl._F.37d." localSheetId="0">#REF!</definedName>
    <definedName name="Anl._F.37d." localSheetId="5">#REF!</definedName>
    <definedName name="Anl._F.37d." localSheetId="6">#REF!</definedName>
    <definedName name="Anl._F.37d." localSheetId="16">#REF!</definedName>
    <definedName name="Anl._F.37d." localSheetId="7">#REF!</definedName>
    <definedName name="Anl._F.37d.">#REF!</definedName>
    <definedName name="Anl._F.37e." localSheetId="18">#REF!</definedName>
    <definedName name="Anl._F.37e." localSheetId="21">#REF!</definedName>
    <definedName name="Anl._F.37e." localSheetId="1">#REF!</definedName>
    <definedName name="Anl._F.37e." localSheetId="0">#REF!</definedName>
    <definedName name="Anl._F.37e." localSheetId="5">#REF!</definedName>
    <definedName name="Anl._F.37e." localSheetId="6">#REF!</definedName>
    <definedName name="Anl._F.37e." localSheetId="16">#REF!</definedName>
    <definedName name="Anl._F.37e." localSheetId="7">#REF!</definedName>
    <definedName name="Anl._F.37e.">#REF!</definedName>
    <definedName name="Anl._F.60" localSheetId="18">#REF!</definedName>
    <definedName name="Anl._F.60" localSheetId="21">#REF!</definedName>
    <definedName name="Anl._F.60" localSheetId="1">#REF!</definedName>
    <definedName name="Anl._F.60" localSheetId="0">#REF!</definedName>
    <definedName name="Anl._F.60" localSheetId="5">#REF!</definedName>
    <definedName name="Anl._F.60" localSheetId="6">#REF!</definedName>
    <definedName name="Anl._F.60" localSheetId="16">#REF!</definedName>
    <definedName name="Anl._F.60" localSheetId="7">#REF!</definedName>
    <definedName name="Anl._F.60">#REF!</definedName>
    <definedName name="Anl._F.8" localSheetId="18">#REF!</definedName>
    <definedName name="Anl._F.8" localSheetId="21">#REF!</definedName>
    <definedName name="Anl._F.8" localSheetId="1">#REF!</definedName>
    <definedName name="Anl._F.8" localSheetId="0">#REF!</definedName>
    <definedName name="Anl._F.8" localSheetId="5">#REF!</definedName>
    <definedName name="Anl._F.8" localSheetId="6">#REF!</definedName>
    <definedName name="Anl._F.8" localSheetId="16">#REF!</definedName>
    <definedName name="Anl._F.8" localSheetId="7">#REF!</definedName>
    <definedName name="Anl._F.8">#REF!</definedName>
    <definedName name="Anl._G.14" localSheetId="18">#REF!</definedName>
    <definedName name="Anl._G.14" localSheetId="21">#REF!</definedName>
    <definedName name="Anl._G.14" localSheetId="1">#REF!</definedName>
    <definedName name="Anl._G.14" localSheetId="0">#REF!</definedName>
    <definedName name="Anl._G.14" localSheetId="5">#REF!</definedName>
    <definedName name="Anl._G.14" localSheetId="6">#REF!</definedName>
    <definedName name="Anl._G.14" localSheetId="16">#REF!</definedName>
    <definedName name="Anl._G.14" localSheetId="7">#REF!</definedName>
    <definedName name="Anl._G.14">#REF!</definedName>
    <definedName name="Anl._G.16" localSheetId="18">#REF!</definedName>
    <definedName name="Anl._G.16" localSheetId="21">#REF!</definedName>
    <definedName name="Anl._G.16" localSheetId="1">#REF!</definedName>
    <definedName name="Anl._G.16" localSheetId="0">#REF!</definedName>
    <definedName name="Anl._G.16" localSheetId="5">#REF!</definedName>
    <definedName name="Anl._G.16" localSheetId="6">#REF!</definedName>
    <definedName name="Anl._G.16" localSheetId="16">#REF!</definedName>
    <definedName name="Anl._G.16" localSheetId="7">#REF!</definedName>
    <definedName name="Anl._G.16">#REF!</definedName>
    <definedName name="Anl._G.2" localSheetId="18">#REF!</definedName>
    <definedName name="Anl._G.2" localSheetId="21">#REF!</definedName>
    <definedName name="Anl._G.2" localSheetId="1">#REF!</definedName>
    <definedName name="Anl._G.2" localSheetId="0">#REF!</definedName>
    <definedName name="Anl._G.2" localSheetId="5">#REF!</definedName>
    <definedName name="Anl._G.2" localSheetId="6">#REF!</definedName>
    <definedName name="Anl._G.2" localSheetId="16">#REF!</definedName>
    <definedName name="Anl._G.2" localSheetId="7">#REF!</definedName>
    <definedName name="Anl._G.2">#REF!</definedName>
    <definedName name="Anl._G.41" localSheetId="18">#REF!</definedName>
    <definedName name="Anl._G.41" localSheetId="21">#REF!</definedName>
    <definedName name="Anl._G.41" localSheetId="1">#REF!</definedName>
    <definedName name="Anl._G.41" localSheetId="0">#REF!</definedName>
    <definedName name="Anl._G.41" localSheetId="5">#REF!</definedName>
    <definedName name="Anl._G.41" localSheetId="6">#REF!</definedName>
    <definedName name="Anl._G.41" localSheetId="16">#REF!</definedName>
    <definedName name="Anl._G.41" localSheetId="7">#REF!</definedName>
    <definedName name="Anl._G.41">#REF!</definedName>
    <definedName name="Anl._G.41_a" localSheetId="18">#REF!</definedName>
    <definedName name="Anl._G.41_a" localSheetId="21">#REF!</definedName>
    <definedName name="Anl._G.41_a" localSheetId="1">#REF!</definedName>
    <definedName name="Anl._G.41_a" localSheetId="0">#REF!</definedName>
    <definedName name="Anl._G.41_a" localSheetId="5">#REF!</definedName>
    <definedName name="Anl._G.41_a" localSheetId="6">#REF!</definedName>
    <definedName name="Anl._G.41_a" localSheetId="16">#REF!</definedName>
    <definedName name="Anl._G.41_a" localSheetId="7">#REF!</definedName>
    <definedName name="Anl._G.41_a">#REF!</definedName>
    <definedName name="Anl._G.42" localSheetId="18">#REF!</definedName>
    <definedName name="Anl._G.42" localSheetId="21">#REF!</definedName>
    <definedName name="Anl._G.42" localSheetId="1">#REF!</definedName>
    <definedName name="Anl._G.42" localSheetId="0">#REF!</definedName>
    <definedName name="Anl._G.42" localSheetId="5">#REF!</definedName>
    <definedName name="Anl._G.42" localSheetId="6">#REF!</definedName>
    <definedName name="Anl._G.42" localSheetId="16">#REF!</definedName>
    <definedName name="Anl._G.42" localSheetId="7">#REF!</definedName>
    <definedName name="Anl._G.42">#REF!</definedName>
    <definedName name="Anl._G.43" localSheetId="18">#REF!</definedName>
    <definedName name="Anl._G.43" localSheetId="21">#REF!</definedName>
    <definedName name="Anl._G.43" localSheetId="1">#REF!</definedName>
    <definedName name="Anl._G.43" localSheetId="0">#REF!</definedName>
    <definedName name="Anl._G.43" localSheetId="5">#REF!</definedName>
    <definedName name="Anl._G.43" localSheetId="6">#REF!</definedName>
    <definedName name="Anl._G.43" localSheetId="16">#REF!</definedName>
    <definedName name="Anl._G.43" localSheetId="7">#REF!</definedName>
    <definedName name="Anl._G.43">#REF!</definedName>
    <definedName name="Anl._G.43.a" localSheetId="18">#REF!</definedName>
    <definedName name="Anl._G.43.a" localSheetId="21">#REF!</definedName>
    <definedName name="Anl._G.43.a" localSheetId="1">#REF!</definedName>
    <definedName name="Anl._G.43.a" localSheetId="0">#REF!</definedName>
    <definedName name="Anl._G.43.a" localSheetId="5">#REF!</definedName>
    <definedName name="Anl._G.43.a" localSheetId="6">#REF!</definedName>
    <definedName name="Anl._G.43.a" localSheetId="16">#REF!</definedName>
    <definedName name="Anl._G.43.a" localSheetId="7">#REF!</definedName>
    <definedName name="Anl._G.43.a">#REF!</definedName>
    <definedName name="Anl._G.43.b" localSheetId="18">#REF!</definedName>
    <definedName name="Anl._G.43.b" localSheetId="21">#REF!</definedName>
    <definedName name="Anl._G.43.b" localSheetId="1">#REF!</definedName>
    <definedName name="Anl._G.43.b" localSheetId="0">#REF!</definedName>
    <definedName name="Anl._G.43.b" localSheetId="5">#REF!</definedName>
    <definedName name="Anl._G.43.b" localSheetId="6">#REF!</definedName>
    <definedName name="Anl._G.43.b" localSheetId="16">#REF!</definedName>
    <definedName name="Anl._G.43.b" localSheetId="7">#REF!</definedName>
    <definedName name="Anl._G.43.b">#REF!</definedName>
    <definedName name="Anl._G.44" localSheetId="18">#REF!</definedName>
    <definedName name="Anl._G.44" localSheetId="21">#REF!</definedName>
    <definedName name="Anl._G.44" localSheetId="1">#REF!</definedName>
    <definedName name="Anl._G.44" localSheetId="0">#REF!</definedName>
    <definedName name="Anl._G.44" localSheetId="5">#REF!</definedName>
    <definedName name="Anl._G.44" localSheetId="6">#REF!</definedName>
    <definedName name="Anl._G.44" localSheetId="16">#REF!</definedName>
    <definedName name="Anl._G.44" localSheetId="7">#REF!</definedName>
    <definedName name="Anl._G.44">#REF!</definedName>
    <definedName name="Anl._G.60" localSheetId="18">#REF!</definedName>
    <definedName name="Anl._G.60" localSheetId="21">#REF!</definedName>
    <definedName name="Anl._G.60" localSheetId="1">#REF!</definedName>
    <definedName name="Anl._G.60" localSheetId="0">#REF!</definedName>
    <definedName name="Anl._G.60" localSheetId="5">#REF!</definedName>
    <definedName name="Anl._G.60" localSheetId="6">#REF!</definedName>
    <definedName name="Anl._G.60" localSheetId="16">#REF!</definedName>
    <definedName name="Anl._G.60" localSheetId="7">#REF!</definedName>
    <definedName name="Anl._G.60">#REF!</definedName>
    <definedName name="Anl._G.67" localSheetId="18">#REF!</definedName>
    <definedName name="Anl._G.67" localSheetId="21">#REF!</definedName>
    <definedName name="Anl._G.67" localSheetId="1">#REF!</definedName>
    <definedName name="Anl._G.67" localSheetId="0">#REF!</definedName>
    <definedName name="Anl._G.67" localSheetId="5">#REF!</definedName>
    <definedName name="Anl._G.67" localSheetId="6">#REF!</definedName>
    <definedName name="Anl._G.67" localSheetId="16">#REF!</definedName>
    <definedName name="Anl._G.67" localSheetId="7">#REF!</definedName>
    <definedName name="Anl._G.67">#REF!</definedName>
    <definedName name="Anl._G.68" localSheetId="18">#REF!</definedName>
    <definedName name="Anl._G.68" localSheetId="21">#REF!</definedName>
    <definedName name="Anl._G.68" localSheetId="1">#REF!</definedName>
    <definedName name="Anl._G.68" localSheetId="0">#REF!</definedName>
    <definedName name="Anl._G.68" localSheetId="5">#REF!</definedName>
    <definedName name="Anl._G.68" localSheetId="6">#REF!</definedName>
    <definedName name="Anl._G.68" localSheetId="16">#REF!</definedName>
    <definedName name="Anl._G.68" localSheetId="7">#REF!</definedName>
    <definedName name="Anl._G.68">#REF!</definedName>
    <definedName name="Anl._G.68.f" localSheetId="18">#REF!</definedName>
    <definedName name="Anl._G.68.f" localSheetId="21">#REF!</definedName>
    <definedName name="Anl._G.68.f" localSheetId="1">#REF!</definedName>
    <definedName name="Anl._G.68.f" localSheetId="0">#REF!</definedName>
    <definedName name="Anl._G.68.f" localSheetId="5">#REF!</definedName>
    <definedName name="Anl._G.68.f" localSheetId="6">#REF!</definedName>
    <definedName name="Anl._G.68.f" localSheetId="16">#REF!</definedName>
    <definedName name="Anl._G.68.f" localSheetId="7">#REF!</definedName>
    <definedName name="Anl._G.68.f">#REF!</definedName>
    <definedName name="Anl._G.68a" localSheetId="18">#REF!</definedName>
    <definedName name="Anl._G.68a" localSheetId="21">#REF!</definedName>
    <definedName name="Anl._G.68a" localSheetId="1">#REF!</definedName>
    <definedName name="Anl._G.68a" localSheetId="0">#REF!</definedName>
    <definedName name="Anl._G.68a" localSheetId="5">#REF!</definedName>
    <definedName name="Anl._G.68a" localSheetId="6">#REF!</definedName>
    <definedName name="Anl._G.68a" localSheetId="16">#REF!</definedName>
    <definedName name="Anl._G.68a" localSheetId="7">#REF!</definedName>
    <definedName name="Anl._G.68a">#REF!</definedName>
    <definedName name="Anl._G.72" localSheetId="18">#REF!</definedName>
    <definedName name="Anl._G.72" localSheetId="21">#REF!</definedName>
    <definedName name="Anl._G.72" localSheetId="1">#REF!</definedName>
    <definedName name="Anl._G.72" localSheetId="0">#REF!</definedName>
    <definedName name="Anl._G.72" localSheetId="5">#REF!</definedName>
    <definedName name="Anl._G.72" localSheetId="6">#REF!</definedName>
    <definedName name="Anl._G.72" localSheetId="16">#REF!</definedName>
    <definedName name="Anl._G.72" localSheetId="7">#REF!</definedName>
    <definedName name="Anl._G.72">#REF!</definedName>
    <definedName name="Anl._G.72a" localSheetId="18">#REF!</definedName>
    <definedName name="Anl._G.72a" localSheetId="21">#REF!</definedName>
    <definedName name="Anl._G.72a" localSheetId="1">#REF!</definedName>
    <definedName name="Anl._G.72a" localSheetId="0">#REF!</definedName>
    <definedName name="Anl._G.72a" localSheetId="5">#REF!</definedName>
    <definedName name="Anl._G.72a" localSheetId="6">#REF!</definedName>
    <definedName name="Anl._G.72a" localSheetId="16">#REF!</definedName>
    <definedName name="Anl._G.72a" localSheetId="7">#REF!</definedName>
    <definedName name="Anl._G.72a">#REF!</definedName>
    <definedName name="Anl._G.72b" localSheetId="18">#REF!</definedName>
    <definedName name="Anl._G.72b" localSheetId="21">#REF!</definedName>
    <definedName name="Anl._G.72b" localSheetId="1">#REF!</definedName>
    <definedName name="Anl._G.72b" localSheetId="0">#REF!</definedName>
    <definedName name="Anl._G.72b" localSheetId="5">#REF!</definedName>
    <definedName name="Anl._G.72b" localSheetId="6">#REF!</definedName>
    <definedName name="Anl._G.72b" localSheetId="16">#REF!</definedName>
    <definedName name="Anl._G.72b" localSheetId="7">#REF!</definedName>
    <definedName name="Anl._G.72b">#REF!</definedName>
    <definedName name="Anl._G.72c" localSheetId="18">#REF!</definedName>
    <definedName name="Anl._G.72c" localSheetId="21">#REF!</definedName>
    <definedName name="Anl._G.72c" localSheetId="1">#REF!</definedName>
    <definedName name="Anl._G.72c" localSheetId="0">#REF!</definedName>
    <definedName name="Anl._G.72c" localSheetId="5">#REF!</definedName>
    <definedName name="Anl._G.72c" localSheetId="6">#REF!</definedName>
    <definedName name="Anl._G.72c" localSheetId="16">#REF!</definedName>
    <definedName name="Anl._G.72c" localSheetId="7">#REF!</definedName>
    <definedName name="Anl._G.72c">#REF!</definedName>
    <definedName name="Anl._G.72d" localSheetId="18">#REF!</definedName>
    <definedName name="Anl._G.72d" localSheetId="21">#REF!</definedName>
    <definedName name="Anl._G.72d" localSheetId="1">#REF!</definedName>
    <definedName name="Anl._G.72d" localSheetId="0">#REF!</definedName>
    <definedName name="Anl._G.72d" localSheetId="5">#REF!</definedName>
    <definedName name="Anl._G.72d" localSheetId="6">#REF!</definedName>
    <definedName name="Anl._G.72d" localSheetId="16">#REF!</definedName>
    <definedName name="Anl._G.72d" localSheetId="7">#REF!</definedName>
    <definedName name="Anl._G.72d">#REF!</definedName>
    <definedName name="Anl._G.72e" localSheetId="18">#REF!</definedName>
    <definedName name="Anl._G.72e" localSheetId="21">#REF!</definedName>
    <definedName name="Anl._G.72e" localSheetId="1">#REF!</definedName>
    <definedName name="Anl._G.72e" localSheetId="0">#REF!</definedName>
    <definedName name="Anl._G.72e" localSheetId="5">#REF!</definedName>
    <definedName name="Anl._G.72e" localSheetId="6">#REF!</definedName>
    <definedName name="Anl._G.72e" localSheetId="16">#REF!</definedName>
    <definedName name="Anl._G.72e" localSheetId="7">#REF!</definedName>
    <definedName name="Anl._G.72e">#REF!</definedName>
    <definedName name="Anl._G.72f" localSheetId="18">#REF!</definedName>
    <definedName name="Anl._G.72f" localSheetId="21">#REF!</definedName>
    <definedName name="Anl._G.72f" localSheetId="1">#REF!</definedName>
    <definedName name="Anl._G.72f" localSheetId="0">#REF!</definedName>
    <definedName name="Anl._G.72f" localSheetId="5">#REF!</definedName>
    <definedName name="Anl._G.72f" localSheetId="6">#REF!</definedName>
    <definedName name="Anl._G.72f" localSheetId="16">#REF!</definedName>
    <definedName name="Anl._G.72f" localSheetId="7">#REF!</definedName>
    <definedName name="Anl._G.72f">#REF!</definedName>
    <definedName name="Anl._G31.h" localSheetId="18">#REF!</definedName>
    <definedName name="Anl._G31.h" localSheetId="21">#REF!</definedName>
    <definedName name="Anl._G31.h" localSheetId="1">#REF!</definedName>
    <definedName name="Anl._G31.h" localSheetId="0">#REF!</definedName>
    <definedName name="Anl._G31.h" localSheetId="5">#REF!</definedName>
    <definedName name="Anl._G31.h" localSheetId="6">#REF!</definedName>
    <definedName name="Anl._G31.h" localSheetId="16">#REF!</definedName>
    <definedName name="Anl._G31.h" localSheetId="7">#REF!</definedName>
    <definedName name="Anl._G31.h">#REF!</definedName>
    <definedName name="Anl._G31.m" localSheetId="18">#REF!</definedName>
    <definedName name="Anl._G31.m" localSheetId="21">#REF!</definedName>
    <definedName name="Anl._G31.m" localSheetId="1">#REF!</definedName>
    <definedName name="Anl._G31.m" localSheetId="0">#REF!</definedName>
    <definedName name="Anl._G31.m" localSheetId="5">#REF!</definedName>
    <definedName name="Anl._G31.m" localSheetId="6">#REF!</definedName>
    <definedName name="Anl._G31.m" localSheetId="16">#REF!</definedName>
    <definedName name="Anl._G31.m" localSheetId="7">#REF!</definedName>
    <definedName name="Anl._G31.m">#REF!</definedName>
    <definedName name="Anl._G32.h" localSheetId="18">#REF!</definedName>
    <definedName name="Anl._G32.h" localSheetId="21">#REF!</definedName>
    <definedName name="Anl._G32.h" localSheetId="1">#REF!</definedName>
    <definedName name="Anl._G32.h" localSheetId="0">#REF!</definedName>
    <definedName name="Anl._G32.h" localSheetId="5">#REF!</definedName>
    <definedName name="Anl._G32.h" localSheetId="6">#REF!</definedName>
    <definedName name="Anl._G32.h" localSheetId="16">#REF!</definedName>
    <definedName name="Anl._G32.h" localSheetId="7">#REF!</definedName>
    <definedName name="Anl._G32.h">#REF!</definedName>
    <definedName name="Anl._G32_.m" localSheetId="18">#REF!</definedName>
    <definedName name="Anl._G32_.m" localSheetId="21">#REF!</definedName>
    <definedName name="Anl._G32_.m" localSheetId="1">#REF!</definedName>
    <definedName name="Anl._G32_.m" localSheetId="0">#REF!</definedName>
    <definedName name="Anl._G32_.m" localSheetId="5">#REF!</definedName>
    <definedName name="Anl._G32_.m" localSheetId="6">#REF!</definedName>
    <definedName name="Anl._G32_.m" localSheetId="16">#REF!</definedName>
    <definedName name="Anl._G32_.m" localSheetId="7">#REF!</definedName>
    <definedName name="Anl._G32_.m">#REF!</definedName>
    <definedName name="Anl._G50.h" localSheetId="18">#REF!</definedName>
    <definedName name="Anl._G50.h" localSheetId="21">#REF!</definedName>
    <definedName name="Anl._G50.h" localSheetId="1">#REF!</definedName>
    <definedName name="Anl._G50.h" localSheetId="0">#REF!</definedName>
    <definedName name="Anl._G50.h" localSheetId="5">#REF!</definedName>
    <definedName name="Anl._G50.h" localSheetId="6">#REF!</definedName>
    <definedName name="Anl._G50.h" localSheetId="16">#REF!</definedName>
    <definedName name="Anl._G50.h" localSheetId="7">#REF!</definedName>
    <definedName name="Anl._G50.h">#REF!</definedName>
    <definedName name="Anl._G50.i" localSheetId="18">#REF!</definedName>
    <definedName name="Anl._G50.i" localSheetId="21">#REF!</definedName>
    <definedName name="Anl._G50.i" localSheetId="1">#REF!</definedName>
    <definedName name="Anl._G50.i" localSheetId="0">#REF!</definedName>
    <definedName name="Anl._G50.i" localSheetId="5">#REF!</definedName>
    <definedName name="Anl._G50.i" localSheetId="6">#REF!</definedName>
    <definedName name="Anl._G50.i" localSheetId="16">#REF!</definedName>
    <definedName name="Anl._G50.i" localSheetId="7">#REF!</definedName>
    <definedName name="Anl._G50.i">#REF!</definedName>
    <definedName name="Anl._G50.k" localSheetId="18">#REF!</definedName>
    <definedName name="Anl._G50.k" localSheetId="21">#REF!</definedName>
    <definedName name="Anl._G50.k" localSheetId="1">#REF!</definedName>
    <definedName name="Anl._G50.k" localSheetId="0">#REF!</definedName>
    <definedName name="Anl._G50.k" localSheetId="5">#REF!</definedName>
    <definedName name="Anl._G50.k" localSheetId="6">#REF!</definedName>
    <definedName name="Anl._G50.k" localSheetId="16">#REF!</definedName>
    <definedName name="Anl._G50.k" localSheetId="7">#REF!</definedName>
    <definedName name="Anl._G50.k">#REF!</definedName>
    <definedName name="Anl._G50.q" localSheetId="18">#REF!</definedName>
    <definedName name="Anl._G50.q" localSheetId="21">#REF!</definedName>
    <definedName name="Anl._G50.q" localSheetId="1">#REF!</definedName>
    <definedName name="Anl._G50.q" localSheetId="0">#REF!</definedName>
    <definedName name="Anl._G50.q" localSheetId="5">#REF!</definedName>
    <definedName name="Anl._G50.q" localSheetId="6">#REF!</definedName>
    <definedName name="Anl._G50.q" localSheetId="16">#REF!</definedName>
    <definedName name="Anl._G50.q" localSheetId="7">#REF!</definedName>
    <definedName name="Anl._G50.q">#REF!</definedName>
    <definedName name="Anl._G50.q1" localSheetId="18">#REF!</definedName>
    <definedName name="Anl._G50.q1" localSheetId="21">#REF!</definedName>
    <definedName name="Anl._G50.q1" localSheetId="1">#REF!</definedName>
    <definedName name="Anl._G50.q1" localSheetId="0">#REF!</definedName>
    <definedName name="Anl._G50.q1" localSheetId="5">#REF!</definedName>
    <definedName name="Anl._G50.q1" localSheetId="6">#REF!</definedName>
    <definedName name="Anl._G50.q1" localSheetId="16">#REF!</definedName>
    <definedName name="Anl._G50.q1" localSheetId="7">#REF!</definedName>
    <definedName name="Anl._G50.q1">#REF!</definedName>
    <definedName name="Anl._H.10" localSheetId="18">#REF!</definedName>
    <definedName name="Anl._H.10" localSheetId="21">#REF!</definedName>
    <definedName name="Anl._H.10" localSheetId="1">#REF!</definedName>
    <definedName name="Anl._H.10" localSheetId="0">#REF!</definedName>
    <definedName name="Anl._H.10" localSheetId="5">#REF!</definedName>
    <definedName name="Anl._H.10" localSheetId="6">#REF!</definedName>
    <definedName name="Anl._H.10" localSheetId="16">#REF!</definedName>
    <definedName name="Anl._H.10" localSheetId="7">#REF!</definedName>
    <definedName name="Anl._H.10">#REF!</definedName>
    <definedName name="Anl._H.10a" localSheetId="18">#REF!</definedName>
    <definedName name="Anl._H.10a" localSheetId="21">#REF!</definedName>
    <definedName name="Anl._H.10a" localSheetId="1">#REF!</definedName>
    <definedName name="Anl._H.10a" localSheetId="0">#REF!</definedName>
    <definedName name="Anl._H.10a" localSheetId="5">#REF!</definedName>
    <definedName name="Anl._H.10a" localSheetId="6">#REF!</definedName>
    <definedName name="Anl._H.10a" localSheetId="16">#REF!</definedName>
    <definedName name="Anl._H.10a" localSheetId="7">#REF!</definedName>
    <definedName name="Anl._H.10a">#REF!</definedName>
    <definedName name="Anl._H.15" localSheetId="18">#REF!</definedName>
    <definedName name="Anl._H.15" localSheetId="21">#REF!</definedName>
    <definedName name="Anl._H.15" localSheetId="1">#REF!</definedName>
    <definedName name="Anl._H.15" localSheetId="0">#REF!</definedName>
    <definedName name="Anl._H.15" localSheetId="5">#REF!</definedName>
    <definedName name="Anl._H.15" localSheetId="6">#REF!</definedName>
    <definedName name="Anl._H.15" localSheetId="16">#REF!</definedName>
    <definedName name="Anl._H.15" localSheetId="7">#REF!</definedName>
    <definedName name="Anl._H.15">#REF!</definedName>
    <definedName name="Anl._H.17" localSheetId="18">#REF!</definedName>
    <definedName name="Anl._H.17" localSheetId="21">#REF!</definedName>
    <definedName name="Anl._H.17" localSheetId="1">#REF!</definedName>
    <definedName name="Anl._H.17" localSheetId="0">#REF!</definedName>
    <definedName name="Anl._H.17" localSheetId="5">#REF!</definedName>
    <definedName name="Anl._H.17" localSheetId="6">#REF!</definedName>
    <definedName name="Anl._H.17" localSheetId="16">#REF!</definedName>
    <definedName name="Anl._H.17" localSheetId="7">#REF!</definedName>
    <definedName name="Anl._H.17">#REF!</definedName>
    <definedName name="Anl._H.18" localSheetId="18">#REF!</definedName>
    <definedName name="Anl._H.18" localSheetId="21">#REF!</definedName>
    <definedName name="Anl._H.18" localSheetId="1">#REF!</definedName>
    <definedName name="Anl._H.18" localSheetId="0">#REF!</definedName>
    <definedName name="Anl._H.18" localSheetId="5">#REF!</definedName>
    <definedName name="Anl._H.18" localSheetId="6">#REF!</definedName>
    <definedName name="Anl._H.18" localSheetId="16">#REF!</definedName>
    <definedName name="Anl._H.18" localSheetId="7">#REF!</definedName>
    <definedName name="Anl._H.18">#REF!</definedName>
    <definedName name="Anl._H.2" localSheetId="18">#REF!</definedName>
    <definedName name="Anl._H.2" localSheetId="21">#REF!</definedName>
    <definedName name="Anl._H.2" localSheetId="1">#REF!</definedName>
    <definedName name="Anl._H.2" localSheetId="0">#REF!</definedName>
    <definedName name="Anl._H.2" localSheetId="5">#REF!</definedName>
    <definedName name="Anl._H.2" localSheetId="6">#REF!</definedName>
    <definedName name="Anl._H.2" localSheetId="16">#REF!</definedName>
    <definedName name="Anl._H.2" localSheetId="7">#REF!</definedName>
    <definedName name="Anl._H.2">#REF!</definedName>
    <definedName name="Anl._H.2a" localSheetId="18">#REF!</definedName>
    <definedName name="Anl._H.2a" localSheetId="21">#REF!</definedName>
    <definedName name="Anl._H.2a" localSheetId="1">#REF!</definedName>
    <definedName name="Anl._H.2a" localSheetId="0">#REF!</definedName>
    <definedName name="Anl._H.2a" localSheetId="5">#REF!</definedName>
    <definedName name="Anl._H.2a" localSheetId="6">#REF!</definedName>
    <definedName name="Anl._H.2a" localSheetId="16">#REF!</definedName>
    <definedName name="Anl._H.2a" localSheetId="7">#REF!</definedName>
    <definedName name="Anl._H.2a">#REF!</definedName>
    <definedName name="Anl._H.8" localSheetId="18">#REF!</definedName>
    <definedName name="Anl._H.8" localSheetId="21">#REF!</definedName>
    <definedName name="Anl._H.8" localSheetId="1">#REF!</definedName>
    <definedName name="Anl._H.8" localSheetId="0">#REF!</definedName>
    <definedName name="Anl._H.8" localSheetId="5">#REF!</definedName>
    <definedName name="Anl._H.8" localSheetId="6">#REF!</definedName>
    <definedName name="Anl._H.8" localSheetId="16">#REF!</definedName>
    <definedName name="Anl._H.8" localSheetId="7">#REF!</definedName>
    <definedName name="Anl._H.8">#REF!</definedName>
    <definedName name="Anl._H.8a" localSheetId="18">#REF!</definedName>
    <definedName name="Anl._H.8a" localSheetId="21">#REF!</definedName>
    <definedName name="Anl._H.8a" localSheetId="1">#REF!</definedName>
    <definedName name="Anl._H.8a" localSheetId="0">#REF!</definedName>
    <definedName name="Anl._H.8a" localSheetId="5">#REF!</definedName>
    <definedName name="Anl._H.8a" localSheetId="6">#REF!</definedName>
    <definedName name="Anl._H.8a" localSheetId="16">#REF!</definedName>
    <definedName name="Anl._H.8a" localSheetId="7">#REF!</definedName>
    <definedName name="Anl._H.8a">#REF!</definedName>
    <definedName name="Anl._H.8b" localSheetId="18">#REF!</definedName>
    <definedName name="Anl._H.8b" localSheetId="21">#REF!</definedName>
    <definedName name="Anl._H.8b" localSheetId="1">#REF!</definedName>
    <definedName name="Anl._H.8b" localSheetId="0">#REF!</definedName>
    <definedName name="Anl._H.8b" localSheetId="5">#REF!</definedName>
    <definedName name="Anl._H.8b" localSheetId="6">#REF!</definedName>
    <definedName name="Anl._H.8b" localSheetId="16">#REF!</definedName>
    <definedName name="Anl._H.8b" localSheetId="7">#REF!</definedName>
    <definedName name="Anl._H.8b">#REF!</definedName>
    <definedName name="Anl._I.2" localSheetId="18">#REF!</definedName>
    <definedName name="Anl._I.2" localSheetId="21">#REF!</definedName>
    <definedName name="Anl._I.2" localSheetId="1">#REF!</definedName>
    <definedName name="Anl._I.2" localSheetId="0">#REF!</definedName>
    <definedName name="Anl._I.2" localSheetId="5">#REF!</definedName>
    <definedName name="Anl._I.2" localSheetId="6">#REF!</definedName>
    <definedName name="Anl._I.2" localSheetId="16">#REF!</definedName>
    <definedName name="Anl._I.2" localSheetId="7">#REF!</definedName>
    <definedName name="Anl._I.2">#REF!</definedName>
    <definedName name="Anl._K.23" localSheetId="18">#REF!</definedName>
    <definedName name="Anl._K.23" localSheetId="21">#REF!</definedName>
    <definedName name="Anl._K.23" localSheetId="1">#REF!</definedName>
    <definedName name="Anl._K.23" localSheetId="0">#REF!</definedName>
    <definedName name="Anl._K.23" localSheetId="5">#REF!</definedName>
    <definedName name="Anl._K.23" localSheetId="6">#REF!</definedName>
    <definedName name="Anl._K.23" localSheetId="16">#REF!</definedName>
    <definedName name="Anl._K.23" localSheetId="7">#REF!</definedName>
    <definedName name="Anl._K.23">#REF!</definedName>
    <definedName name="Anl._K.23_a" localSheetId="18">#REF!</definedName>
    <definedName name="Anl._K.23_a" localSheetId="21">#REF!</definedName>
    <definedName name="Anl._K.23_a" localSheetId="1">#REF!</definedName>
    <definedName name="Anl._K.23_a" localSheetId="0">#REF!</definedName>
    <definedName name="Anl._K.23_a" localSheetId="5">#REF!</definedName>
    <definedName name="Anl._K.23_a" localSheetId="6">#REF!</definedName>
    <definedName name="Anl._K.23_a" localSheetId="16">#REF!</definedName>
    <definedName name="Anl._K.23_a" localSheetId="7">#REF!</definedName>
    <definedName name="Anl._K.23_a">#REF!</definedName>
    <definedName name="Anl._K.23_a1" localSheetId="18">#REF!</definedName>
    <definedName name="Anl._K.23_a1" localSheetId="21">#REF!</definedName>
    <definedName name="Anl._K.23_a1" localSheetId="1">#REF!</definedName>
    <definedName name="Anl._K.23_a1" localSheetId="0">#REF!</definedName>
    <definedName name="Anl._K.23_a1" localSheetId="5">#REF!</definedName>
    <definedName name="Anl._K.23_a1" localSheetId="6">#REF!</definedName>
    <definedName name="Anl._K.23_a1" localSheetId="16">#REF!</definedName>
    <definedName name="Anl._K.23_a1" localSheetId="7">#REF!</definedName>
    <definedName name="Anl._K.23_a1">#REF!</definedName>
    <definedName name="Anl._K.23_b" localSheetId="18">#REF!</definedName>
    <definedName name="Anl._K.23_b" localSheetId="21">#REF!</definedName>
    <definedName name="Anl._K.23_b" localSheetId="1">#REF!</definedName>
    <definedName name="Anl._K.23_b" localSheetId="0">#REF!</definedName>
    <definedName name="Anl._K.23_b" localSheetId="5">#REF!</definedName>
    <definedName name="Anl._K.23_b" localSheetId="6">#REF!</definedName>
    <definedName name="Anl._K.23_b" localSheetId="16">#REF!</definedName>
    <definedName name="Anl._K.23_b" localSheetId="7">#REF!</definedName>
    <definedName name="Anl._K.23_b">#REF!</definedName>
    <definedName name="Anl._K.23_b1" localSheetId="18">#REF!</definedName>
    <definedName name="Anl._K.23_b1" localSheetId="21">#REF!</definedName>
    <definedName name="Anl._K.23_b1" localSheetId="1">#REF!</definedName>
    <definedName name="Anl._K.23_b1" localSheetId="0">#REF!</definedName>
    <definedName name="Anl._K.23_b1" localSheetId="5">#REF!</definedName>
    <definedName name="Anl._K.23_b1" localSheetId="6">#REF!</definedName>
    <definedName name="Anl._K.23_b1" localSheetId="16">#REF!</definedName>
    <definedName name="Anl._K.23_b1" localSheetId="7">#REF!</definedName>
    <definedName name="Anl._K.23_b1">#REF!</definedName>
    <definedName name="Anl._K.23_c" localSheetId="18">#REF!</definedName>
    <definedName name="Anl._K.23_c" localSheetId="21">#REF!</definedName>
    <definedName name="Anl._K.23_c" localSheetId="1">#REF!</definedName>
    <definedName name="Anl._K.23_c" localSheetId="0">#REF!</definedName>
    <definedName name="Anl._K.23_c" localSheetId="5">#REF!</definedName>
    <definedName name="Anl._K.23_c" localSheetId="6">#REF!</definedName>
    <definedName name="Anl._K.23_c" localSheetId="16">#REF!</definedName>
    <definedName name="Anl._K.23_c" localSheetId="7">#REF!</definedName>
    <definedName name="Anl._K.23_c">#REF!</definedName>
    <definedName name="Anl._K.23_d" localSheetId="18">#REF!</definedName>
    <definedName name="Anl._K.23_d" localSheetId="21">#REF!</definedName>
    <definedName name="Anl._K.23_d" localSheetId="1">#REF!</definedName>
    <definedName name="Anl._K.23_d" localSheetId="0">#REF!</definedName>
    <definedName name="Anl._K.23_d" localSheetId="5">#REF!</definedName>
    <definedName name="Anl._K.23_d" localSheetId="6">#REF!</definedName>
    <definedName name="Anl._K.23_d" localSheetId="16">#REF!</definedName>
    <definedName name="Anl._K.23_d" localSheetId="7">#REF!</definedName>
    <definedName name="Anl._K.23_d">#REF!</definedName>
    <definedName name="Anl._K.23_d1" localSheetId="18">#REF!</definedName>
    <definedName name="Anl._K.23_d1" localSheetId="21">#REF!</definedName>
    <definedName name="Anl._K.23_d1" localSheetId="1">#REF!</definedName>
    <definedName name="Anl._K.23_d1" localSheetId="0">#REF!</definedName>
    <definedName name="Anl._K.23_d1" localSheetId="5">#REF!</definedName>
    <definedName name="Anl._K.23_d1" localSheetId="6">#REF!</definedName>
    <definedName name="Anl._K.23_d1" localSheetId="16">#REF!</definedName>
    <definedName name="Anl._K.23_d1" localSheetId="7">#REF!</definedName>
    <definedName name="Anl._K.23_d1">#REF!</definedName>
    <definedName name="Anl._K.23_e" localSheetId="18">#REF!</definedName>
    <definedName name="Anl._K.23_e" localSheetId="21">#REF!</definedName>
    <definedName name="Anl._K.23_e" localSheetId="1">#REF!</definedName>
    <definedName name="Anl._K.23_e" localSheetId="0">#REF!</definedName>
    <definedName name="Anl._K.23_e" localSheetId="5">#REF!</definedName>
    <definedName name="Anl._K.23_e" localSheetId="6">#REF!</definedName>
    <definedName name="Anl._K.23_e" localSheetId="16">#REF!</definedName>
    <definedName name="Anl._K.23_e" localSheetId="7">#REF!</definedName>
    <definedName name="Anl._K.23_e">#REF!</definedName>
    <definedName name="Anl._K.23_f" localSheetId="18">#REF!</definedName>
    <definedName name="Anl._K.23_f" localSheetId="21">#REF!</definedName>
    <definedName name="Anl._K.23_f" localSheetId="1">#REF!</definedName>
    <definedName name="Anl._K.23_f" localSheetId="0">#REF!</definedName>
    <definedName name="Anl._K.23_f" localSheetId="5">#REF!</definedName>
    <definedName name="Anl._K.23_f" localSheetId="6">#REF!</definedName>
    <definedName name="Anl._K.23_f" localSheetId="16">#REF!</definedName>
    <definedName name="Anl._K.23_f" localSheetId="7">#REF!</definedName>
    <definedName name="Anl._K.23_f">#REF!</definedName>
    <definedName name="Anl._L.11" localSheetId="18">#REF!</definedName>
    <definedName name="Anl._L.11" localSheetId="21">#REF!</definedName>
    <definedName name="Anl._L.11" localSheetId="1">#REF!</definedName>
    <definedName name="Anl._L.11" localSheetId="0">#REF!</definedName>
    <definedName name="Anl._L.11" localSheetId="5">#REF!</definedName>
    <definedName name="Anl._L.11" localSheetId="6">#REF!</definedName>
    <definedName name="Anl._L.11" localSheetId="16">#REF!</definedName>
    <definedName name="Anl._L.11" localSheetId="7">#REF!</definedName>
    <definedName name="Anl._L.11">#REF!</definedName>
    <definedName name="Anl._L.12" localSheetId="18">#REF!</definedName>
    <definedName name="Anl._L.12" localSheetId="21">#REF!</definedName>
    <definedName name="Anl._L.12" localSheetId="1">#REF!</definedName>
    <definedName name="Anl._L.12" localSheetId="0">#REF!</definedName>
    <definedName name="Anl._L.12" localSheetId="5">#REF!</definedName>
    <definedName name="Anl._L.12" localSheetId="6">#REF!</definedName>
    <definedName name="Anl._L.12" localSheetId="16">#REF!</definedName>
    <definedName name="Anl._L.12" localSheetId="7">#REF!</definedName>
    <definedName name="Anl._L.12">#REF!</definedName>
    <definedName name="Anl._L.4" localSheetId="18">#REF!</definedName>
    <definedName name="Anl._L.4" localSheetId="21">#REF!</definedName>
    <definedName name="Anl._L.4" localSheetId="1">#REF!</definedName>
    <definedName name="Anl._L.4" localSheetId="0">#REF!</definedName>
    <definedName name="Anl._L.4" localSheetId="5">#REF!</definedName>
    <definedName name="Anl._L.4" localSheetId="6">#REF!</definedName>
    <definedName name="Anl._L.4" localSheetId="16">#REF!</definedName>
    <definedName name="Anl._L.4" localSheetId="7">#REF!</definedName>
    <definedName name="Anl._L.4">#REF!</definedName>
    <definedName name="Anl._L.5" localSheetId="18">#REF!</definedName>
    <definedName name="Anl._L.5" localSheetId="21">#REF!</definedName>
    <definedName name="Anl._L.5" localSheetId="1">#REF!</definedName>
    <definedName name="Anl._L.5" localSheetId="0">#REF!</definedName>
    <definedName name="Anl._L.5" localSheetId="5">#REF!</definedName>
    <definedName name="Anl._L.5" localSheetId="6">#REF!</definedName>
    <definedName name="Anl._L.5" localSheetId="16">#REF!</definedName>
    <definedName name="Anl._L.5" localSheetId="7">#REF!</definedName>
    <definedName name="Anl._L.5">#REF!</definedName>
    <definedName name="Anl._L.6" localSheetId="18">#REF!</definedName>
    <definedName name="Anl._L.6" localSheetId="21">#REF!</definedName>
    <definedName name="Anl._L.6" localSheetId="1">#REF!</definedName>
    <definedName name="Anl._L.6" localSheetId="0">#REF!</definedName>
    <definedName name="Anl._L.6" localSheetId="5">#REF!</definedName>
    <definedName name="Anl._L.6" localSheetId="6">#REF!</definedName>
    <definedName name="Anl._L.6" localSheetId="16">#REF!</definedName>
    <definedName name="Anl._L.6" localSheetId="7">#REF!</definedName>
    <definedName name="Anl._L.6">#REF!</definedName>
    <definedName name="Anl._L.7" localSheetId="18">#REF!</definedName>
    <definedName name="Anl._L.7" localSheetId="21">#REF!</definedName>
    <definedName name="Anl._L.7" localSheetId="1">#REF!</definedName>
    <definedName name="Anl._L.7" localSheetId="0">#REF!</definedName>
    <definedName name="Anl._L.7" localSheetId="5">#REF!</definedName>
    <definedName name="Anl._L.7" localSheetId="6">#REF!</definedName>
    <definedName name="Anl._L.7" localSheetId="16">#REF!</definedName>
    <definedName name="Anl._L.7" localSheetId="7">#REF!</definedName>
    <definedName name="Anl._L.7">#REF!</definedName>
    <definedName name="Anl._L.8" localSheetId="18">#REF!</definedName>
    <definedName name="Anl._L.8" localSheetId="21">#REF!</definedName>
    <definedName name="Anl._L.8" localSheetId="1">#REF!</definedName>
    <definedName name="Anl._L.8" localSheetId="0">#REF!</definedName>
    <definedName name="Anl._L.8" localSheetId="5">#REF!</definedName>
    <definedName name="Anl._L.8" localSheetId="6">#REF!</definedName>
    <definedName name="Anl._L.8" localSheetId="16">#REF!</definedName>
    <definedName name="Anl._L.8" localSheetId="7">#REF!</definedName>
    <definedName name="Anl._L.8">#REF!</definedName>
    <definedName name="Anl._L.9" localSheetId="18">#REF!</definedName>
    <definedName name="Anl._L.9" localSheetId="21">#REF!</definedName>
    <definedName name="Anl._L.9" localSheetId="1">#REF!</definedName>
    <definedName name="Anl._L.9" localSheetId="0">#REF!</definedName>
    <definedName name="Anl._L.9" localSheetId="5">#REF!</definedName>
    <definedName name="Anl._L.9" localSheetId="6">#REF!</definedName>
    <definedName name="Anl._L.9" localSheetId="16">#REF!</definedName>
    <definedName name="Anl._L.9" localSheetId="7">#REF!</definedName>
    <definedName name="Anl._L.9">#REF!</definedName>
    <definedName name="Anl._Supl._VIII" localSheetId="18">#REF!</definedName>
    <definedName name="Anl._Supl._VIII" localSheetId="21">#REF!</definedName>
    <definedName name="Anl._Supl._VIII" localSheetId="1">#REF!</definedName>
    <definedName name="Anl._Supl._VIII" localSheetId="0">#REF!</definedName>
    <definedName name="Anl._Supl._VIII" localSheetId="5">#REF!</definedName>
    <definedName name="Anl._Supl._VIII" localSheetId="6">#REF!</definedName>
    <definedName name="Anl._Supl._VIII" localSheetId="16">#REF!</definedName>
    <definedName name="Anl._Supl._VIII" localSheetId="7">#REF!</definedName>
    <definedName name="Anl._Supl._VIII">#REF!</definedName>
    <definedName name="Anl._Supl._Villa" localSheetId="18">#REF!</definedName>
    <definedName name="Anl._Supl._Villa" localSheetId="21">#REF!</definedName>
    <definedName name="Anl._Supl._Villa" localSheetId="1">#REF!</definedName>
    <definedName name="Anl._Supl._Villa" localSheetId="0">#REF!</definedName>
    <definedName name="Anl._Supl._Villa" localSheetId="5">#REF!</definedName>
    <definedName name="Anl._Supl._Villa" localSheetId="6">#REF!</definedName>
    <definedName name="Anl._Supl._Villa" localSheetId="16">#REF!</definedName>
    <definedName name="Anl._Supl._Villa" localSheetId="7">#REF!</definedName>
    <definedName name="Anl._Supl._Villa">#REF!</definedName>
    <definedName name="Anl._SupLIV" localSheetId="18">#REF!</definedName>
    <definedName name="Anl._SupLIV" localSheetId="21">#REF!</definedName>
    <definedName name="Anl._SupLIV" localSheetId="1">#REF!</definedName>
    <definedName name="Anl._SupLIV" localSheetId="0">#REF!</definedName>
    <definedName name="Anl._SupLIV" localSheetId="5">#REF!</definedName>
    <definedName name="Anl._SupLIV" localSheetId="6">#REF!</definedName>
    <definedName name="Anl._SupLIV" localSheetId="16">#REF!</definedName>
    <definedName name="Anl._SupLIV" localSheetId="7">#REF!</definedName>
    <definedName name="Anl._SupLIV">#REF!</definedName>
    <definedName name="Anl._SupLIVa" localSheetId="18">#REF!</definedName>
    <definedName name="Anl._SupLIVa" localSheetId="21">#REF!</definedName>
    <definedName name="Anl._SupLIVa" localSheetId="1">#REF!</definedName>
    <definedName name="Anl._SupLIVa" localSheetId="0">#REF!</definedName>
    <definedName name="Anl._SupLIVa" localSheetId="5">#REF!</definedName>
    <definedName name="Anl._SupLIVa" localSheetId="6">#REF!</definedName>
    <definedName name="Anl._SupLIVa" localSheetId="16">#REF!</definedName>
    <definedName name="Anl._SupLIVa" localSheetId="7">#REF!</definedName>
    <definedName name="Anl._SupLIVa">#REF!</definedName>
    <definedName name="Anl._SupLIVb" localSheetId="18">#REF!</definedName>
    <definedName name="Anl._SupLIVb" localSheetId="21">#REF!</definedName>
    <definedName name="Anl._SupLIVb" localSheetId="1">#REF!</definedName>
    <definedName name="Anl._SupLIVb" localSheetId="0">#REF!</definedName>
    <definedName name="Anl._SupLIVb" localSheetId="5">#REF!</definedName>
    <definedName name="Anl._SupLIVb" localSheetId="6">#REF!</definedName>
    <definedName name="Anl._SupLIVb" localSheetId="16">#REF!</definedName>
    <definedName name="Anl._SupLIVb" localSheetId="7">#REF!</definedName>
    <definedName name="Anl._SupLIVb">#REF!</definedName>
    <definedName name="Anl._Taksir__a" localSheetId="18">#REF!</definedName>
    <definedName name="Anl._Taksir__a" localSheetId="21">#REF!</definedName>
    <definedName name="Anl._Taksir__a" localSheetId="1">#REF!</definedName>
    <definedName name="Anl._Taksir__a" localSheetId="0">#REF!</definedName>
    <definedName name="Anl._Taksir__a" localSheetId="5">#REF!</definedName>
    <definedName name="Anl._Taksir__a" localSheetId="6">#REF!</definedName>
    <definedName name="Anl._Taksir__a" localSheetId="16">#REF!</definedName>
    <definedName name="Anl._Taksir__a" localSheetId="7">#REF!</definedName>
    <definedName name="Anl._Taksir__a">#REF!</definedName>
    <definedName name="Anl._Taksir__b" localSheetId="18">#REF!</definedName>
    <definedName name="Anl._Taksir__b" localSheetId="21">#REF!</definedName>
    <definedName name="Anl._Taksir__b" localSheetId="1">#REF!</definedName>
    <definedName name="Anl._Taksir__b" localSheetId="0">#REF!</definedName>
    <definedName name="Anl._Taksir__b" localSheetId="5">#REF!</definedName>
    <definedName name="Anl._Taksir__b" localSheetId="6">#REF!</definedName>
    <definedName name="Anl._Taksir__b" localSheetId="16">#REF!</definedName>
    <definedName name="Anl._Taksir__b" localSheetId="7">#REF!</definedName>
    <definedName name="Anl._Taksir__b">#REF!</definedName>
    <definedName name="Anl._Taksir__c" localSheetId="18">#REF!</definedName>
    <definedName name="Anl._Taksir__c" localSheetId="21">#REF!</definedName>
    <definedName name="Anl._Taksir__c" localSheetId="1">#REF!</definedName>
    <definedName name="Anl._Taksir__c" localSheetId="0">#REF!</definedName>
    <definedName name="Anl._Taksir__c" localSheetId="5">#REF!</definedName>
    <definedName name="Anl._Taksir__c" localSheetId="6">#REF!</definedName>
    <definedName name="Anl._Taksir__c" localSheetId="16">#REF!</definedName>
    <definedName name="Anl._Taksir__c" localSheetId="7">#REF!</definedName>
    <definedName name="Anl._Taksir__c">#REF!</definedName>
    <definedName name="Anl._Taksir__d" localSheetId="18">#REF!</definedName>
    <definedName name="Anl._Taksir__d" localSheetId="21">#REF!</definedName>
    <definedName name="Anl._Taksir__d" localSheetId="1">#REF!</definedName>
    <definedName name="Anl._Taksir__d" localSheetId="0">#REF!</definedName>
    <definedName name="Anl._Taksir__d" localSheetId="5">#REF!</definedName>
    <definedName name="Anl._Taksir__d" localSheetId="6">#REF!</definedName>
    <definedName name="Anl._Taksir__d" localSheetId="16">#REF!</definedName>
    <definedName name="Anl._Taksir__d" localSheetId="7">#REF!</definedName>
    <definedName name="Anl._Taksir__d">#REF!</definedName>
    <definedName name="Anl._Taksir__e" localSheetId="18">#REF!</definedName>
    <definedName name="Anl._Taksir__e" localSheetId="21">#REF!</definedName>
    <definedName name="Anl._Taksir__e" localSheetId="1">#REF!</definedName>
    <definedName name="Anl._Taksir__e" localSheetId="0">#REF!</definedName>
    <definedName name="Anl._Taksir__e" localSheetId="5">#REF!</definedName>
    <definedName name="Anl._Taksir__e" localSheetId="6">#REF!</definedName>
    <definedName name="Anl._Taksir__e" localSheetId="16">#REF!</definedName>
    <definedName name="Anl._Taksir__e" localSheetId="7">#REF!</definedName>
    <definedName name="Anl._Taksir__e">#REF!</definedName>
    <definedName name="Anl._Taksir__f7" localSheetId="18">#REF!</definedName>
    <definedName name="Anl._Taksir__f7" localSheetId="21">#REF!</definedName>
    <definedName name="Anl._Taksir__f7" localSheetId="1">#REF!</definedName>
    <definedName name="Anl._Taksir__f7" localSheetId="0">#REF!</definedName>
    <definedName name="Anl._Taksir__f7" localSheetId="5">#REF!</definedName>
    <definedName name="Anl._Taksir__f7" localSheetId="6">#REF!</definedName>
    <definedName name="Anl._Taksir__f7" localSheetId="16">#REF!</definedName>
    <definedName name="Anl._Taksir__f7" localSheetId="7">#REF!</definedName>
    <definedName name="Anl._Taksir__f7">#REF!</definedName>
    <definedName name="Anl._Taksir__g" localSheetId="18">#REF!</definedName>
    <definedName name="Anl._Taksir__g" localSheetId="21">#REF!</definedName>
    <definedName name="Anl._Taksir__g" localSheetId="1">#REF!</definedName>
    <definedName name="Anl._Taksir__g" localSheetId="0">#REF!</definedName>
    <definedName name="Anl._Taksir__g" localSheetId="5">#REF!</definedName>
    <definedName name="Anl._Taksir__g" localSheetId="6">#REF!</definedName>
    <definedName name="Anl._Taksir__g" localSheetId="16">#REF!</definedName>
    <definedName name="Anl._Taksir__g" localSheetId="7">#REF!</definedName>
    <definedName name="Anl._Taksir__g">#REF!</definedName>
    <definedName name="Anl._Taksir__h" localSheetId="18">#REF!</definedName>
    <definedName name="Anl._Taksir__h" localSheetId="21">#REF!</definedName>
    <definedName name="Anl._Taksir__h" localSheetId="1">#REF!</definedName>
    <definedName name="Anl._Taksir__h" localSheetId="0">#REF!</definedName>
    <definedName name="Anl._Taksir__h" localSheetId="5">#REF!</definedName>
    <definedName name="Anl._Taksir__h" localSheetId="6">#REF!</definedName>
    <definedName name="Anl._Taksir__h" localSheetId="16">#REF!</definedName>
    <definedName name="Anl._Taksir__h" localSheetId="7">#REF!</definedName>
    <definedName name="Anl._Taksir__h">#REF!</definedName>
    <definedName name="Anl._W.1" localSheetId="18">#REF!</definedName>
    <definedName name="Anl._W.1" localSheetId="21">#REF!</definedName>
    <definedName name="Anl._W.1" localSheetId="1">#REF!</definedName>
    <definedName name="Anl._W.1" localSheetId="0">#REF!</definedName>
    <definedName name="Anl._W.1" localSheetId="5">#REF!</definedName>
    <definedName name="Anl._W.1" localSheetId="6">#REF!</definedName>
    <definedName name="Anl._W.1" localSheetId="16">#REF!</definedName>
    <definedName name="Anl._W.1" localSheetId="7">#REF!</definedName>
    <definedName name="Anl._W.1">#REF!</definedName>
    <definedName name="Anl._W.1a" localSheetId="18">#REF!</definedName>
    <definedName name="Anl._W.1a" localSheetId="21">#REF!</definedName>
    <definedName name="Anl._W.1a" localSheetId="1">#REF!</definedName>
    <definedName name="Anl._W.1a" localSheetId="0">#REF!</definedName>
    <definedName name="Anl._W.1a" localSheetId="5">#REF!</definedName>
    <definedName name="Anl._W.1a" localSheetId="6">#REF!</definedName>
    <definedName name="Anl._W.1a" localSheetId="16">#REF!</definedName>
    <definedName name="Anl._W.1a" localSheetId="7">#REF!</definedName>
    <definedName name="Anl._W.1a">#REF!</definedName>
    <definedName name="Anl._W.2" localSheetId="18">#REF!</definedName>
    <definedName name="Anl._W.2" localSheetId="21">#REF!</definedName>
    <definedName name="Anl._W.2" localSheetId="1">#REF!</definedName>
    <definedName name="Anl._W.2" localSheetId="0">#REF!</definedName>
    <definedName name="Anl._W.2" localSheetId="5">#REF!</definedName>
    <definedName name="Anl._W.2" localSheetId="6">#REF!</definedName>
    <definedName name="Anl._W.2" localSheetId="16">#REF!</definedName>
    <definedName name="Anl._W.2" localSheetId="7">#REF!</definedName>
    <definedName name="Anl._W.2">#REF!</definedName>
    <definedName name="Anl._W.3" localSheetId="18">#REF!</definedName>
    <definedName name="Anl._W.3" localSheetId="21">#REF!</definedName>
    <definedName name="Anl._W.3" localSheetId="1">#REF!</definedName>
    <definedName name="Anl._W.3" localSheetId="0">#REF!</definedName>
    <definedName name="Anl._W.3" localSheetId="5">#REF!</definedName>
    <definedName name="Anl._W.3" localSheetId="6">#REF!</definedName>
    <definedName name="Anl._W.3" localSheetId="16">#REF!</definedName>
    <definedName name="Anl._W.3" localSheetId="7">#REF!</definedName>
    <definedName name="Anl._W.3">#REF!</definedName>
    <definedName name="Anl._W.3a" localSheetId="18">#REF!</definedName>
    <definedName name="Anl._W.3a" localSheetId="21">#REF!</definedName>
    <definedName name="Anl._W.3a" localSheetId="1">#REF!</definedName>
    <definedName name="Anl._W.3a" localSheetId="0">#REF!</definedName>
    <definedName name="Anl._W.3a" localSheetId="5">#REF!</definedName>
    <definedName name="Anl._W.3a" localSheetId="6">#REF!</definedName>
    <definedName name="Anl._W.3a" localSheetId="16">#REF!</definedName>
    <definedName name="Anl._W.3a" localSheetId="7">#REF!</definedName>
    <definedName name="Anl._W.3a">#REF!</definedName>
    <definedName name="Anl._W.4" localSheetId="18">#REF!</definedName>
    <definedName name="Anl._W.4" localSheetId="21">#REF!</definedName>
    <definedName name="Anl._W.4" localSheetId="1">#REF!</definedName>
    <definedName name="Anl._W.4" localSheetId="0">#REF!</definedName>
    <definedName name="Anl._W.4" localSheetId="5">#REF!</definedName>
    <definedName name="Anl._W.4" localSheetId="6">#REF!</definedName>
    <definedName name="Anl._W.4" localSheetId="16">#REF!</definedName>
    <definedName name="Anl._W.4" localSheetId="7">#REF!</definedName>
    <definedName name="Anl._W.4">#REF!</definedName>
    <definedName name="Anl._W.5" localSheetId="18">#REF!</definedName>
    <definedName name="Anl._W.5" localSheetId="21">#REF!</definedName>
    <definedName name="Anl._W.5" localSheetId="1">#REF!</definedName>
    <definedName name="Anl._W.5" localSheetId="0">#REF!</definedName>
    <definedName name="Anl._W.5" localSheetId="5">#REF!</definedName>
    <definedName name="Anl._W.5" localSheetId="6">#REF!</definedName>
    <definedName name="Anl._W.5" localSheetId="16">#REF!</definedName>
    <definedName name="Anl._W.5" localSheetId="7">#REF!</definedName>
    <definedName name="Anl._W.5">#REF!</definedName>
    <definedName name="Anl._W.7" localSheetId="18">#REF!</definedName>
    <definedName name="Anl._W.7" localSheetId="21">#REF!</definedName>
    <definedName name="Anl._W.7" localSheetId="1">#REF!</definedName>
    <definedName name="Anl._W.7" localSheetId="0">#REF!</definedName>
    <definedName name="Anl._W.7" localSheetId="5">#REF!</definedName>
    <definedName name="Anl._W.7" localSheetId="6">#REF!</definedName>
    <definedName name="Anl._W.7" localSheetId="16">#REF!</definedName>
    <definedName name="Anl._W.7" localSheetId="7">#REF!</definedName>
    <definedName name="Anl._W.7">#REF!</definedName>
    <definedName name="Anl._W.7a" localSheetId="18">#REF!</definedName>
    <definedName name="Anl._W.7a" localSheetId="21">#REF!</definedName>
    <definedName name="Anl._W.7a" localSheetId="1">#REF!</definedName>
    <definedName name="Anl._W.7a" localSheetId="0">#REF!</definedName>
    <definedName name="Anl._W.7a" localSheetId="5">#REF!</definedName>
    <definedName name="Anl._W.7a" localSheetId="6">#REF!</definedName>
    <definedName name="Anl._W.7a" localSheetId="16">#REF!</definedName>
    <definedName name="Anl._W.7a" localSheetId="7">#REF!</definedName>
    <definedName name="Anl._W.7a">#REF!</definedName>
    <definedName name="Anl._W5_W.7" localSheetId="18">#REF!</definedName>
    <definedName name="Anl._W5_W.7" localSheetId="21">#REF!</definedName>
    <definedName name="Anl._W5_W.7" localSheetId="1">#REF!</definedName>
    <definedName name="Anl._W5_W.7" localSheetId="0">#REF!</definedName>
    <definedName name="Anl._W5_W.7" localSheetId="5">#REF!</definedName>
    <definedName name="Anl._W5_W.7" localSheetId="6">#REF!</definedName>
    <definedName name="Anl._W5_W.7" localSheetId="16">#REF!</definedName>
    <definedName name="Anl._W5_W.7" localSheetId="7">#REF!</definedName>
    <definedName name="Anl._W5_W.7">#REF!</definedName>
    <definedName name="Anl._WSa_W.7a" localSheetId="18">#REF!</definedName>
    <definedName name="Anl._WSa_W.7a" localSheetId="21">#REF!</definedName>
    <definedName name="Anl._WSa_W.7a" localSheetId="1">#REF!</definedName>
    <definedName name="Anl._WSa_W.7a" localSheetId="0">#REF!</definedName>
    <definedName name="Anl._WSa_W.7a" localSheetId="5">#REF!</definedName>
    <definedName name="Anl._WSa_W.7a" localSheetId="6">#REF!</definedName>
    <definedName name="Anl._WSa_W.7a" localSheetId="16">#REF!</definedName>
    <definedName name="Anl._WSa_W.7a" localSheetId="7">#REF!</definedName>
    <definedName name="Anl._WSa_W.7a">#REF!</definedName>
    <definedName name="AnlSirtu" localSheetId="18">#REF!</definedName>
    <definedName name="AnlSirtu" localSheetId="21">#REF!</definedName>
    <definedName name="AnlSirtu" localSheetId="1">#REF!</definedName>
    <definedName name="AnlSirtu" localSheetId="0">#REF!</definedName>
    <definedName name="AnlSirtu" localSheetId="5">#REF!</definedName>
    <definedName name="AnlSirtu" localSheetId="6">#REF!</definedName>
    <definedName name="AnlSirtu" localSheetId="16">#REF!</definedName>
    <definedName name="AnlSirtu" localSheetId="7">#REF!</definedName>
    <definedName name="AnlSirtu">#REF!</definedName>
    <definedName name="Anlurugpasir" localSheetId="18">#REF!</definedName>
    <definedName name="Anlurugpasir" localSheetId="10">#REF!</definedName>
    <definedName name="Anlurugpasir" localSheetId="21">#REF!</definedName>
    <definedName name="Anlurugpasir" localSheetId="1">#REF!</definedName>
    <definedName name="Anlurugpasir" localSheetId="0">#REF!</definedName>
    <definedName name="Anlurugpasir" localSheetId="5">#REF!</definedName>
    <definedName name="Anlurugpasir" localSheetId="6">#REF!</definedName>
    <definedName name="Anlurugpasir" localSheetId="16">#REF!</definedName>
    <definedName name="Anlurugpasir" localSheetId="7">#REF!</definedName>
    <definedName name="Anlurugpasir">#REF!</definedName>
    <definedName name="apakah">'[13]Upah&amp;Bahan'!$C$20</definedName>
    <definedName name="arsitek" localSheetId="18">#REF!</definedName>
    <definedName name="arsitek" localSheetId="21">#REF!</definedName>
    <definedName name="arsitek" localSheetId="1">#REF!</definedName>
    <definedName name="arsitek" localSheetId="0">#REF!</definedName>
    <definedName name="arsitek" localSheetId="5">#REF!</definedName>
    <definedName name="arsitek" localSheetId="6">#REF!</definedName>
    <definedName name="arsitek" localSheetId="16">#REF!</definedName>
    <definedName name="arsitek" localSheetId="7">#REF!</definedName>
    <definedName name="arsitek">#REF!</definedName>
    <definedName name="as">'[23]Upah&amp;Bahan'!$C$54</definedName>
    <definedName name="asbes" localSheetId="18">[24]cover!#REF!</definedName>
    <definedName name="asbes" localSheetId="10">[24]cover!#REF!</definedName>
    <definedName name="asbes" localSheetId="21">[24]cover!#REF!</definedName>
    <definedName name="asbes" localSheetId="1">[24]cover!#REF!</definedName>
    <definedName name="asbes" localSheetId="0">[24]cover!#REF!</definedName>
    <definedName name="asbes" localSheetId="5">[24]cover!#REF!</definedName>
    <definedName name="asbes" localSheetId="6">[24]cover!#REF!</definedName>
    <definedName name="asbes" localSheetId="16">[24]cover!#REF!</definedName>
    <definedName name="asbes" localSheetId="7">[24]cover!#REF!</definedName>
    <definedName name="asbes">[24]cover!#REF!</definedName>
    <definedName name="ASD" localSheetId="21">#REF!</definedName>
    <definedName name="ASD" localSheetId="1">#REF!</definedName>
    <definedName name="ASD" localSheetId="0">#REF!</definedName>
    <definedName name="ASD" localSheetId="5">#REF!</definedName>
    <definedName name="ASD" localSheetId="6">#REF!</definedName>
    <definedName name="ASD" localSheetId="16">#REF!</definedName>
    <definedName name="ASD" localSheetId="7">#REF!</definedName>
    <definedName name="ASD">#REF!</definedName>
    <definedName name="asp" localSheetId="18">#REF!</definedName>
    <definedName name="asp" localSheetId="11">#REF!</definedName>
    <definedName name="asp" localSheetId="10">#REF!</definedName>
    <definedName name="asp" localSheetId="21">#REF!</definedName>
    <definedName name="asp" localSheetId="12">#REF!</definedName>
    <definedName name="asp" localSheetId="1">#REF!</definedName>
    <definedName name="asp" localSheetId="0">#REF!</definedName>
    <definedName name="asp" localSheetId="14">#REF!</definedName>
    <definedName name="asp" localSheetId="5">#REF!</definedName>
    <definedName name="asp" localSheetId="6">#REF!</definedName>
    <definedName name="asp" localSheetId="16">#REF!</definedName>
    <definedName name="asp" localSheetId="7">#REF!</definedName>
    <definedName name="asp">#REF!</definedName>
    <definedName name="ASPAL" localSheetId="18">'[12]Kuantitas &amp; Harga'!#REF!</definedName>
    <definedName name="ASPAL" localSheetId="11">'[12]Kuantitas &amp; Harga'!#REF!</definedName>
    <definedName name="ASPAL" localSheetId="10">'[12]Kuantitas &amp; Harga'!#REF!</definedName>
    <definedName name="ASPAL" localSheetId="21">'[12]Kuantitas &amp; Harga'!#REF!</definedName>
    <definedName name="ASPAL" localSheetId="12">'[12]Kuantitas &amp; Harga'!#REF!</definedName>
    <definedName name="ASPAL" localSheetId="1">'[12]Kuantitas &amp; Harga'!#REF!</definedName>
    <definedName name="ASPAL" localSheetId="0">'[12]Kuantitas &amp; Harga'!#REF!</definedName>
    <definedName name="ASPAL" localSheetId="14">'[12]Kuantitas &amp; Harga'!#REF!</definedName>
    <definedName name="ASPAL" localSheetId="5">'[12]Kuantitas &amp; Harga'!#REF!</definedName>
    <definedName name="ASPAL" localSheetId="6">'[12]Kuantitas &amp; Harga'!#REF!</definedName>
    <definedName name="ASPAL" localSheetId="16">'[12]Kuantitas &amp; Harga'!#REF!</definedName>
    <definedName name="ASPAL" localSheetId="7">'[12]Kuantitas &amp; Harga'!#REF!</definedName>
    <definedName name="ASPAL">'[12]Kuantitas &amp; Harga'!#REF!</definedName>
    <definedName name="ataponduline" localSheetId="18">[24]cover!#REF!</definedName>
    <definedName name="ataponduline" localSheetId="10">[24]cover!#REF!</definedName>
    <definedName name="ataponduline" localSheetId="21">[24]cover!#REF!</definedName>
    <definedName name="ataponduline" localSheetId="1">[24]cover!#REF!</definedName>
    <definedName name="ataponduline" localSheetId="0">[24]cover!#REF!</definedName>
    <definedName name="ataponduline" localSheetId="5">[24]cover!#REF!</definedName>
    <definedName name="ataponduline" localSheetId="6">[24]cover!#REF!</definedName>
    <definedName name="ataponduline" localSheetId="16">[24]cover!#REF!</definedName>
    <definedName name="ataponduline" localSheetId="7">[24]cover!#REF!</definedName>
    <definedName name="ataponduline">[24]cover!#REF!</definedName>
    <definedName name="ATB" localSheetId="18">#REF!</definedName>
    <definedName name="ATB" localSheetId="11">#REF!</definedName>
    <definedName name="ATB" localSheetId="10">#REF!</definedName>
    <definedName name="ATB" localSheetId="21">#REF!</definedName>
    <definedName name="ATB" localSheetId="12">#REF!</definedName>
    <definedName name="ATB" localSheetId="1">#REF!</definedName>
    <definedName name="ATB" localSheetId="0">#REF!</definedName>
    <definedName name="ATB" localSheetId="14">#REF!</definedName>
    <definedName name="ATB" localSheetId="5">#REF!</definedName>
    <definedName name="ATB" localSheetId="6">#REF!</definedName>
    <definedName name="ATB" localSheetId="16">#REF!</definedName>
    <definedName name="ATB" localSheetId="7">#REF!</definedName>
    <definedName name="ATB">#REF!</definedName>
    <definedName name="atc" localSheetId="18">#REF!</definedName>
    <definedName name="atc" localSheetId="11">#REF!</definedName>
    <definedName name="atc" localSheetId="10">#REF!</definedName>
    <definedName name="atc" localSheetId="21">#REF!</definedName>
    <definedName name="atc" localSheetId="12">#REF!</definedName>
    <definedName name="atc" localSheetId="1">#REF!</definedName>
    <definedName name="atc" localSheetId="0">#REF!</definedName>
    <definedName name="atc" localSheetId="14">#REF!</definedName>
    <definedName name="atc" localSheetId="5">#REF!</definedName>
    <definedName name="atc" localSheetId="6">#REF!</definedName>
    <definedName name="atc" localSheetId="16">#REF!</definedName>
    <definedName name="atc" localSheetId="7">#REF!</definedName>
    <definedName name="atc">#REF!</definedName>
    <definedName name="ATK" localSheetId="21">#REF!</definedName>
    <definedName name="ATK" localSheetId="1">#REF!</definedName>
    <definedName name="ATK" localSheetId="0">#REF!</definedName>
    <definedName name="ATK" localSheetId="5">#REF!</definedName>
    <definedName name="ATK" localSheetId="6">#REF!</definedName>
    <definedName name="ATK" localSheetId="16">#REF!</definedName>
    <definedName name="ATK" localSheetId="7">#REF!</definedName>
    <definedName name="ATK">#REF!</definedName>
    <definedName name="audy" localSheetId="11">'[13]Kuantitas &amp; Harga'!#REF!</definedName>
    <definedName name="audy" localSheetId="10">'[13]Kuantitas &amp; Harga'!#REF!</definedName>
    <definedName name="audy" localSheetId="21">'[13]Kuantitas &amp; Harga'!#REF!</definedName>
    <definedName name="audy" localSheetId="12">'[13]Kuantitas &amp; Harga'!#REF!</definedName>
    <definedName name="audy" localSheetId="1">'[13]Kuantitas &amp; Harga'!#REF!</definedName>
    <definedName name="audy" localSheetId="0">'[13]Kuantitas &amp; Harga'!#REF!</definedName>
    <definedName name="audy" localSheetId="14">'[13]Kuantitas &amp; Harga'!#REF!</definedName>
    <definedName name="audy" localSheetId="5">'[13]Kuantitas &amp; Harga'!#REF!</definedName>
    <definedName name="audy" localSheetId="6">'[13]Kuantitas &amp; Harga'!#REF!</definedName>
    <definedName name="audy" localSheetId="16">'[13]Kuantitas &amp; Harga'!#REF!</definedName>
    <definedName name="audy" localSheetId="7">'[13]Kuantitas &amp; Harga'!#REF!</definedName>
    <definedName name="audy">'[13]Kuantitas &amp; Harga'!#REF!</definedName>
    <definedName name="B" localSheetId="21">#REF!</definedName>
    <definedName name="B" localSheetId="1">#REF!</definedName>
    <definedName name="B" localSheetId="0">#REF!</definedName>
    <definedName name="B" localSheetId="5">#REF!</definedName>
    <definedName name="B" localSheetId="6">#REF!</definedName>
    <definedName name="B" localSheetId="16">#REF!</definedName>
    <definedName name="B" localSheetId="7">#REF!</definedName>
    <definedName name="B">#REF!</definedName>
    <definedName name="b.1001">[23]ANGKUT!$H$24</definedName>
    <definedName name="b.11">[23]ANGKUT!$H$15</definedName>
    <definedName name="b.22">[23]ANGKUT!$H$16</definedName>
    <definedName name="b.31">[23]ANGKUT!$H$17</definedName>
    <definedName name="b.41">[23]ANGKUT!$H$18</definedName>
    <definedName name="b.51">[23]ANGKUT!$H$19</definedName>
    <definedName name="b.61">[23]ANGKUT!$H$20</definedName>
    <definedName name="b.71">[23]ANGKUT!$H$21</definedName>
    <definedName name="b.81">[23]ANGKUT!$H$22</definedName>
    <definedName name="b.91">[23]ANGKUT!$H$23</definedName>
    <definedName name="b.super.5.10" localSheetId="18">#REF!</definedName>
    <definedName name="b.super.5.10" localSheetId="11">#REF!</definedName>
    <definedName name="b.super.5.10" localSheetId="10">#REF!</definedName>
    <definedName name="b.super.5.10" localSheetId="21">#REF!</definedName>
    <definedName name="b.super.5.10" localSheetId="12">#REF!</definedName>
    <definedName name="b.super.5.10" localSheetId="1">#REF!</definedName>
    <definedName name="b.super.5.10" localSheetId="0">#REF!</definedName>
    <definedName name="b.super.5.10" localSheetId="14">#REF!</definedName>
    <definedName name="b.super.5.10" localSheetId="5">#REF!</definedName>
    <definedName name="b.super.5.10" localSheetId="6">#REF!</definedName>
    <definedName name="b.super.5.10" localSheetId="16">#REF!</definedName>
    <definedName name="b.super.5.10" localSheetId="7">#REF!</definedName>
    <definedName name="b.super.5.10">#REF!</definedName>
    <definedName name="backhoe" localSheetId="18">#REF!</definedName>
    <definedName name="backhoe" localSheetId="21">#REF!</definedName>
    <definedName name="backhoe" localSheetId="1">#REF!</definedName>
    <definedName name="backhoe" localSheetId="0">#REF!</definedName>
    <definedName name="backhoe" localSheetId="5">#REF!</definedName>
    <definedName name="backhoe" localSheetId="6">#REF!</definedName>
    <definedName name="backhoe" localSheetId="16">#REF!</definedName>
    <definedName name="backhoe" localSheetId="7">#REF!</definedName>
    <definedName name="backhoe">#REF!</definedName>
    <definedName name="bagaiman">'[13]Upah&amp;Bahan'!$C$23</definedName>
    <definedName name="BAHU" localSheetId="18">'[12]Kuantitas &amp; Harga'!#REF!</definedName>
    <definedName name="BAHU" localSheetId="11">'[12]Kuantitas &amp; Harga'!#REF!</definedName>
    <definedName name="BAHU" localSheetId="10">'[12]Kuantitas &amp; Harga'!#REF!</definedName>
    <definedName name="BAHU" localSheetId="21">'[12]Kuantitas &amp; Harga'!#REF!</definedName>
    <definedName name="BAHU" localSheetId="12">'[12]Kuantitas &amp; Harga'!#REF!</definedName>
    <definedName name="BAHU" localSheetId="1">'[12]Kuantitas &amp; Harga'!#REF!</definedName>
    <definedName name="BAHU" localSheetId="0">'[12]Kuantitas &amp; Harga'!#REF!</definedName>
    <definedName name="BAHU" localSheetId="14">'[12]Kuantitas &amp; Harga'!#REF!</definedName>
    <definedName name="BAHU" localSheetId="5">'[12]Kuantitas &amp; Harga'!#REF!</definedName>
    <definedName name="BAHU" localSheetId="6">'[12]Kuantitas &amp; Harga'!#REF!</definedName>
    <definedName name="BAHU" localSheetId="16">'[12]Kuantitas &amp; Harga'!#REF!</definedName>
    <definedName name="BAHU" localSheetId="7">'[12]Kuantitas &amp; Harga'!#REF!</definedName>
    <definedName name="BAHU">'[12]Kuantitas &amp; Harga'!#REF!</definedName>
    <definedName name="baja" localSheetId="18">#REF!</definedName>
    <definedName name="baja" localSheetId="21">#REF!</definedName>
    <definedName name="baja" localSheetId="1">#REF!</definedName>
    <definedName name="baja" localSheetId="0">#REF!</definedName>
    <definedName name="baja" localSheetId="5">#REF!</definedName>
    <definedName name="baja" localSheetId="6">#REF!</definedName>
    <definedName name="baja" localSheetId="16">#REF!</definedName>
    <definedName name="baja" localSheetId="7">#REF!</definedName>
    <definedName name="baja">#REF!</definedName>
    <definedName name="Bakau" localSheetId="21">#REF!</definedName>
    <definedName name="Bakau" localSheetId="1">#REF!</definedName>
    <definedName name="Bakau" localSheetId="0">#REF!</definedName>
    <definedName name="Bakau" localSheetId="5">#REF!</definedName>
    <definedName name="Bakau" localSheetId="6">#REF!</definedName>
    <definedName name="Bakau" localSheetId="16">#REF!</definedName>
    <definedName name="Bakau" localSheetId="7">#REF!</definedName>
    <definedName name="Bakau">#REF!</definedName>
    <definedName name="Balok" localSheetId="18">#REF!</definedName>
    <definedName name="Balok" localSheetId="10">#REF!</definedName>
    <definedName name="Balok" localSheetId="21">#REF!</definedName>
    <definedName name="Balok" localSheetId="1">#REF!</definedName>
    <definedName name="Balok" localSheetId="0">#REF!</definedName>
    <definedName name="Balok" localSheetId="5">#REF!</definedName>
    <definedName name="Balok" localSheetId="6">#REF!</definedName>
    <definedName name="Balok" localSheetId="16">#REF!</definedName>
    <definedName name="Balok" localSheetId="7">#REF!</definedName>
    <definedName name="Balok">#REF!</definedName>
    <definedName name="baloklantaiI" localSheetId="18">[25]Analisis!#REF!</definedName>
    <definedName name="baloklantaiI" localSheetId="10">[25]Analisis!#REF!</definedName>
    <definedName name="baloklantaiI" localSheetId="21">[25]Analisis!#REF!</definedName>
    <definedName name="baloklantaiI" localSheetId="1">[25]Analisis!#REF!</definedName>
    <definedName name="baloklantaiI" localSheetId="0">[25]Analisis!#REF!</definedName>
    <definedName name="baloklantaiI" localSheetId="5">[25]Analisis!#REF!</definedName>
    <definedName name="baloklantaiI" localSheetId="6">[25]Analisis!#REF!</definedName>
    <definedName name="baloklantaiI" localSheetId="16">[25]Analisis!#REF!</definedName>
    <definedName name="baloklantaiI" localSheetId="7">[25]Analisis!#REF!</definedName>
    <definedName name="baloklantaiI">[25]Analisis!#REF!</definedName>
    <definedName name="baloklantaiII" localSheetId="18">[25]Analisis!#REF!</definedName>
    <definedName name="baloklantaiII" localSheetId="10">[25]Analisis!#REF!</definedName>
    <definedName name="baloklantaiII" localSheetId="21">[25]Analisis!#REF!</definedName>
    <definedName name="baloklantaiII" localSheetId="1">[25]Analisis!#REF!</definedName>
    <definedName name="baloklantaiII" localSheetId="0">[25]Analisis!#REF!</definedName>
    <definedName name="baloklantaiII" localSheetId="5">[25]Analisis!#REF!</definedName>
    <definedName name="baloklantaiII" localSheetId="6">[25]Analisis!#REF!</definedName>
    <definedName name="baloklantaiII" localSheetId="16">[25]Analisis!#REF!</definedName>
    <definedName name="baloklantaiII" localSheetId="7">[25]Analisis!#REF!</definedName>
    <definedName name="baloklantaiII">[25]Analisis!#REF!</definedName>
    <definedName name="bantu" localSheetId="18">#REF!</definedName>
    <definedName name="bantu" localSheetId="21">#REF!</definedName>
    <definedName name="bantu" localSheetId="1">#REF!</definedName>
    <definedName name="bantu" localSheetId="0">#REF!</definedName>
    <definedName name="bantu" localSheetId="5">#REF!</definedName>
    <definedName name="bantu" localSheetId="6">#REF!</definedName>
    <definedName name="bantu" localSheetId="16">#REF!</definedName>
    <definedName name="bantu" localSheetId="7">#REF!</definedName>
    <definedName name="bantu">#REF!</definedName>
    <definedName name="base" localSheetId="21">[10]HSP!#REF!</definedName>
    <definedName name="base" localSheetId="1">[10]HSP!#REF!</definedName>
    <definedName name="base" localSheetId="0">[10]HSP!#REF!</definedName>
    <definedName name="base" localSheetId="5">[10]HSP!#REF!</definedName>
    <definedName name="base" localSheetId="6">[10]HSP!#REF!</definedName>
    <definedName name="base" localSheetId="16">[10]HSP!#REF!</definedName>
    <definedName name="base" localSheetId="7">[10]HSP!#REF!</definedName>
    <definedName name="base">[10]HSP!#REF!</definedName>
    <definedName name="BATA" localSheetId="21">#REF!</definedName>
    <definedName name="BATA" localSheetId="1">#REF!</definedName>
    <definedName name="BATA" localSheetId="0">#REF!</definedName>
    <definedName name="BATA" localSheetId="5">#REF!</definedName>
    <definedName name="BATA" localSheetId="6">#REF!</definedName>
    <definedName name="BATA" localSheetId="16">#REF!</definedName>
    <definedName name="BATA" localSheetId="7">#REF!</definedName>
    <definedName name="BATA">#REF!</definedName>
    <definedName name="batu" localSheetId="18">#REF!</definedName>
    <definedName name="batu" localSheetId="21">#REF!</definedName>
    <definedName name="batu" localSheetId="1">#REF!</definedName>
    <definedName name="batu" localSheetId="0">#REF!</definedName>
    <definedName name="batu" localSheetId="5">#REF!</definedName>
    <definedName name="batu" localSheetId="6">#REF!</definedName>
    <definedName name="batu" localSheetId="16">#REF!</definedName>
    <definedName name="batu" localSheetId="7">#REF!</definedName>
    <definedName name="batu">#REF!</definedName>
    <definedName name="Batukali" localSheetId="21">#REF!</definedName>
    <definedName name="Batukali" localSheetId="1">#REF!</definedName>
    <definedName name="Batukali" localSheetId="0">#REF!</definedName>
    <definedName name="Batukali" localSheetId="5">#REF!</definedName>
    <definedName name="Batukali" localSheetId="6">#REF!</definedName>
    <definedName name="Batukali" localSheetId="16">#REF!</definedName>
    <definedName name="Batukali" localSheetId="7">#REF!</definedName>
    <definedName name="Batukali">#REF!</definedName>
    <definedName name="batukosong" localSheetId="18">[25]Analisis!#REF!</definedName>
    <definedName name="batukosong" localSheetId="10">[25]Analisis!#REF!</definedName>
    <definedName name="batukosong" localSheetId="21">[25]Analisis!#REF!</definedName>
    <definedName name="batukosong" localSheetId="1">[25]Analisis!#REF!</definedName>
    <definedName name="batukosong" localSheetId="0">[25]Analisis!#REF!</definedName>
    <definedName name="batukosong" localSheetId="5">[25]Analisis!#REF!</definedName>
    <definedName name="batukosong" localSheetId="6">[25]Analisis!#REF!</definedName>
    <definedName name="batukosong" localSheetId="16">[25]Analisis!#REF!</definedName>
    <definedName name="batukosong" localSheetId="7">[25]Analisis!#REF!</definedName>
    <definedName name="batukosong">[25]Analisis!#REF!</definedName>
    <definedName name="batusaring" localSheetId="18">#REF!</definedName>
    <definedName name="batusaring" localSheetId="10">#REF!</definedName>
    <definedName name="batusaring" localSheetId="21">#REF!</definedName>
    <definedName name="batusaring" localSheetId="1">#REF!</definedName>
    <definedName name="batusaring" localSheetId="0">#REF!</definedName>
    <definedName name="batusaring" localSheetId="5">#REF!</definedName>
    <definedName name="batusaring" localSheetId="6">#REF!</definedName>
    <definedName name="batusaring" localSheetId="16">#REF!</definedName>
    <definedName name="batusaring" localSheetId="7">#REF!</definedName>
    <definedName name="batusaring">#REF!</definedName>
    <definedName name="Baut" localSheetId="21">'[10]Daf HrG'!#REF!</definedName>
    <definedName name="Baut" localSheetId="1">'[10]Daf HrG'!#REF!</definedName>
    <definedName name="Baut" localSheetId="0">'[10]Daf HrG'!#REF!</definedName>
    <definedName name="Baut" localSheetId="5">'[10]Daf HrG'!#REF!</definedName>
    <definedName name="Baut" localSheetId="6">'[10]Daf HrG'!#REF!</definedName>
    <definedName name="Baut" localSheetId="16">'[10]Daf HrG'!#REF!</definedName>
    <definedName name="Baut" localSheetId="7">'[10]Daf HrG'!#REF!</definedName>
    <definedName name="Baut">'[10]Daf HrG'!#REF!</definedName>
    <definedName name="Baut34" localSheetId="21">#REF!</definedName>
    <definedName name="Baut34" localSheetId="1">#REF!</definedName>
    <definedName name="Baut34" localSheetId="0">#REF!</definedName>
    <definedName name="Baut34" localSheetId="5">#REF!</definedName>
    <definedName name="Baut34" localSheetId="6">#REF!</definedName>
    <definedName name="Baut34" localSheetId="16">#REF!</definedName>
    <definedName name="Baut34" localSheetId="7">#REF!</definedName>
    <definedName name="Baut34">#REF!</definedName>
    <definedName name="Bbet" localSheetId="21">[10]HSP!#REF!</definedName>
    <definedName name="Bbet" localSheetId="1">[10]HSP!#REF!</definedName>
    <definedName name="Bbet" localSheetId="0">[10]HSP!#REF!</definedName>
    <definedName name="Bbet" localSheetId="5">[10]HSP!#REF!</definedName>
    <definedName name="Bbet" localSheetId="6">[10]HSP!#REF!</definedName>
    <definedName name="Bbet" localSheetId="16">[10]HSP!#REF!</definedName>
    <definedName name="Bbet" localSheetId="7">[10]HSP!#REF!</definedName>
    <definedName name="Bbet">[10]HSP!#REF!</definedName>
    <definedName name="Bbeton" localSheetId="21">'[26]Daftar Harga'!#REF!</definedName>
    <definedName name="Bbeton" localSheetId="1">'[26]Daftar Harga'!#REF!</definedName>
    <definedName name="Bbeton" localSheetId="0">'[26]Daftar Harga'!#REF!</definedName>
    <definedName name="Bbeton" localSheetId="5">'[26]Daftar Harga'!#REF!</definedName>
    <definedName name="Bbeton" localSheetId="6">'[26]Daftar Harga'!#REF!</definedName>
    <definedName name="Bbeton" localSheetId="16">'[26]Daftar Harga'!#REF!</definedName>
    <definedName name="Bbeton" localSheetId="7">'[26]Daftar Harga'!#REF!</definedName>
    <definedName name="Bbeton">'[26]Daftar Harga'!#REF!</definedName>
    <definedName name="be" localSheetId="18">#REF!</definedName>
    <definedName name="be" localSheetId="21">#REF!</definedName>
    <definedName name="be" localSheetId="1">#REF!</definedName>
    <definedName name="be" localSheetId="0">#REF!</definedName>
    <definedName name="be" localSheetId="5">#REF!</definedName>
    <definedName name="be" localSheetId="6">#REF!</definedName>
    <definedName name="be" localSheetId="16">#REF!</definedName>
    <definedName name="be" localSheetId="7">#REF!</definedName>
    <definedName name="be">#REF!</definedName>
    <definedName name="bekisting" localSheetId="21">[10]HSP!#REF!</definedName>
    <definedName name="bekisting" localSheetId="1">[10]HSP!#REF!</definedName>
    <definedName name="bekisting" localSheetId="0">[10]HSP!#REF!</definedName>
    <definedName name="bekisting" localSheetId="5">[10]HSP!#REF!</definedName>
    <definedName name="bekisting" localSheetId="6">[10]HSP!#REF!</definedName>
    <definedName name="bekisting" localSheetId="16">[10]HSP!#REF!</definedName>
    <definedName name="bekisting" localSheetId="7">[10]HSP!#REF!</definedName>
    <definedName name="bekisting">[10]HSP!#REF!</definedName>
    <definedName name="Belincong" localSheetId="21">[26]Analisa!#REF!</definedName>
    <definedName name="Belincong" localSheetId="1">[26]Analisa!#REF!</definedName>
    <definedName name="Belincong" localSheetId="0">[26]Analisa!#REF!</definedName>
    <definedName name="Belincong" localSheetId="5">[26]Analisa!#REF!</definedName>
    <definedName name="Belincong" localSheetId="6">[26]Analisa!#REF!</definedName>
    <definedName name="Belincong" localSheetId="16">[26]Analisa!#REF!</definedName>
    <definedName name="Belincong" localSheetId="7">[26]Analisa!#REF!</definedName>
    <definedName name="Belincong">[26]Analisa!#REF!</definedName>
    <definedName name="BENSIN" localSheetId="18">#REF!</definedName>
    <definedName name="BENSIN" localSheetId="21">#REF!</definedName>
    <definedName name="BENSIN" localSheetId="1">#REF!</definedName>
    <definedName name="BENSIN" localSheetId="0">#REF!</definedName>
    <definedName name="BENSIN" localSheetId="5">#REF!</definedName>
    <definedName name="BENSIN" localSheetId="6">#REF!</definedName>
    <definedName name="BENSIN" localSheetId="16">#REF!</definedName>
    <definedName name="BENSIN" localSheetId="7">#REF!</definedName>
    <definedName name="BENSIN">#REF!</definedName>
    <definedName name="Bersih" localSheetId="21">[10]HSP!#REF!</definedName>
    <definedName name="Bersih" localSheetId="1">[10]HSP!#REF!</definedName>
    <definedName name="Bersih" localSheetId="0">[10]HSP!#REF!</definedName>
    <definedName name="Bersih" localSheetId="5">[10]HSP!#REF!</definedName>
    <definedName name="Bersih" localSheetId="6">[10]HSP!#REF!</definedName>
    <definedName name="Bersih" localSheetId="16">[10]HSP!#REF!</definedName>
    <definedName name="Bersih" localSheetId="7">[10]HSP!#REF!</definedName>
    <definedName name="Bersih">[10]HSP!#REF!</definedName>
    <definedName name="Besi" localSheetId="21">[10]HSP!#REF!</definedName>
    <definedName name="Besi" localSheetId="1">[10]HSP!#REF!</definedName>
    <definedName name="Besi" localSheetId="0">[10]HSP!#REF!</definedName>
    <definedName name="Besi" localSheetId="5">[10]HSP!#REF!</definedName>
    <definedName name="Besi" localSheetId="6">[10]HSP!#REF!</definedName>
    <definedName name="Besi" localSheetId="16">[10]HSP!#REF!</definedName>
    <definedName name="Besi" localSheetId="7">[10]HSP!#REF!</definedName>
    <definedName name="Besi">[10]HSP!#REF!</definedName>
    <definedName name="besi13u" localSheetId="18">#REF!</definedName>
    <definedName name="besi13u" localSheetId="11">#REF!</definedName>
    <definedName name="besi13u" localSheetId="10">#REF!</definedName>
    <definedName name="besi13u" localSheetId="21">#REF!</definedName>
    <definedName name="besi13u" localSheetId="12">#REF!</definedName>
    <definedName name="besi13u" localSheetId="1">#REF!</definedName>
    <definedName name="besi13u" localSheetId="0">#REF!</definedName>
    <definedName name="besi13u" localSheetId="14">#REF!</definedName>
    <definedName name="besi13u" localSheetId="5">#REF!</definedName>
    <definedName name="besi13u" localSheetId="6">#REF!</definedName>
    <definedName name="besi13u" localSheetId="16">#REF!</definedName>
    <definedName name="besi13u" localSheetId="7">#REF!</definedName>
    <definedName name="besi13u">#REF!</definedName>
    <definedName name="besi16" localSheetId="18">#REF!</definedName>
    <definedName name="besi16" localSheetId="11">#REF!</definedName>
    <definedName name="besi16" localSheetId="10">#REF!</definedName>
    <definedName name="besi16" localSheetId="21">#REF!</definedName>
    <definedName name="besi16" localSheetId="12">#REF!</definedName>
    <definedName name="besi16" localSheetId="1">#REF!</definedName>
    <definedName name="besi16" localSheetId="0">#REF!</definedName>
    <definedName name="besi16" localSheetId="14">#REF!</definedName>
    <definedName name="besi16" localSheetId="5">#REF!</definedName>
    <definedName name="besi16" localSheetId="6">#REF!</definedName>
    <definedName name="besi16" localSheetId="16">#REF!</definedName>
    <definedName name="besi16" localSheetId="7">#REF!</definedName>
    <definedName name="besi16">#REF!</definedName>
    <definedName name="besi16sii" localSheetId="18">#REF!</definedName>
    <definedName name="besi16sii" localSheetId="11">#REF!</definedName>
    <definedName name="besi16sii" localSheetId="10">#REF!</definedName>
    <definedName name="besi16sii" localSheetId="21">#REF!</definedName>
    <definedName name="besi16sii" localSheetId="12">#REF!</definedName>
    <definedName name="besi16sii" localSheetId="1">#REF!</definedName>
    <definedName name="besi16sii" localSheetId="0">#REF!</definedName>
    <definedName name="besi16sii" localSheetId="14">#REF!</definedName>
    <definedName name="besi16sii" localSheetId="5">#REF!</definedName>
    <definedName name="besi16sii" localSheetId="6">#REF!</definedName>
    <definedName name="besi16sii" localSheetId="16">#REF!</definedName>
    <definedName name="besi16sii" localSheetId="7">#REF!</definedName>
    <definedName name="besi16sii">#REF!</definedName>
    <definedName name="besi16u" localSheetId="18">#REF!</definedName>
    <definedName name="besi16u" localSheetId="11">#REF!</definedName>
    <definedName name="besi16u" localSheetId="10">#REF!</definedName>
    <definedName name="besi16u" localSheetId="21">#REF!</definedName>
    <definedName name="besi16u" localSheetId="12">#REF!</definedName>
    <definedName name="besi16u" localSheetId="1">#REF!</definedName>
    <definedName name="besi16u" localSheetId="0">#REF!</definedName>
    <definedName name="besi16u" localSheetId="14">#REF!</definedName>
    <definedName name="besi16u" localSheetId="5">#REF!</definedName>
    <definedName name="besi16u" localSheetId="6">#REF!</definedName>
    <definedName name="besi16u" localSheetId="16">#REF!</definedName>
    <definedName name="besi16u" localSheetId="7">#REF!</definedName>
    <definedName name="besi16u">#REF!</definedName>
    <definedName name="besi19u" localSheetId="18">#REF!</definedName>
    <definedName name="besi19u" localSheetId="11">#REF!</definedName>
    <definedName name="besi19u" localSheetId="10">#REF!</definedName>
    <definedName name="besi19u" localSheetId="21">#REF!</definedName>
    <definedName name="besi19u" localSheetId="12">#REF!</definedName>
    <definedName name="besi19u" localSheetId="1">#REF!</definedName>
    <definedName name="besi19u" localSheetId="0">#REF!</definedName>
    <definedName name="besi19u" localSheetId="14">#REF!</definedName>
    <definedName name="besi19u" localSheetId="5">#REF!</definedName>
    <definedName name="besi19u" localSheetId="6">#REF!</definedName>
    <definedName name="besi19u" localSheetId="16">#REF!</definedName>
    <definedName name="besi19u" localSheetId="7">#REF!</definedName>
    <definedName name="besi19u">#REF!</definedName>
    <definedName name="besi6.sii" localSheetId="18">#REF!</definedName>
    <definedName name="besi6.sii" localSheetId="11">#REF!</definedName>
    <definedName name="besi6.sii" localSheetId="10">#REF!</definedName>
    <definedName name="besi6.sii" localSheetId="21">#REF!</definedName>
    <definedName name="besi6.sii" localSheetId="12">#REF!</definedName>
    <definedName name="besi6.sii" localSheetId="1">#REF!</definedName>
    <definedName name="besi6.sii" localSheetId="0">#REF!</definedName>
    <definedName name="besi6.sii" localSheetId="14">#REF!</definedName>
    <definedName name="besi6.sii" localSheetId="5">#REF!</definedName>
    <definedName name="besi6.sii" localSheetId="6">#REF!</definedName>
    <definedName name="besi6.sii" localSheetId="16">#REF!</definedName>
    <definedName name="besi6.sii" localSheetId="7">#REF!</definedName>
    <definedName name="besi6.sii">#REF!</definedName>
    <definedName name="besi6sii" localSheetId="18">#REF!</definedName>
    <definedName name="besi6sii" localSheetId="11">#REF!</definedName>
    <definedName name="besi6sii" localSheetId="10">#REF!</definedName>
    <definedName name="besi6sii" localSheetId="21">#REF!</definedName>
    <definedName name="besi6sii" localSheetId="12">#REF!</definedName>
    <definedName name="besi6sii" localSheetId="1">#REF!</definedName>
    <definedName name="besi6sii" localSheetId="0">#REF!</definedName>
    <definedName name="besi6sii" localSheetId="14">#REF!</definedName>
    <definedName name="besi6sii" localSheetId="5">#REF!</definedName>
    <definedName name="besi6sii" localSheetId="6">#REF!</definedName>
    <definedName name="besi6sii" localSheetId="16">#REF!</definedName>
    <definedName name="besi6sii" localSheetId="7">#REF!</definedName>
    <definedName name="besi6sii">#REF!</definedName>
    <definedName name="besi8sii" localSheetId="18">#REF!</definedName>
    <definedName name="besi8sii" localSheetId="11">#REF!</definedName>
    <definedName name="besi8sii" localSheetId="10">#REF!</definedName>
    <definedName name="besi8sii" localSheetId="21">#REF!</definedName>
    <definedName name="besi8sii" localSheetId="12">#REF!</definedName>
    <definedName name="besi8sii" localSheetId="1">#REF!</definedName>
    <definedName name="besi8sii" localSheetId="0">#REF!</definedName>
    <definedName name="besi8sii" localSheetId="14">#REF!</definedName>
    <definedName name="besi8sii" localSheetId="5">#REF!</definedName>
    <definedName name="besi8sii" localSheetId="6">#REF!</definedName>
    <definedName name="besi8sii" localSheetId="16">#REF!</definedName>
    <definedName name="besi8sii" localSheetId="7">#REF!</definedName>
    <definedName name="besi8sii">#REF!</definedName>
    <definedName name="BesiBeton" localSheetId="21">'[10]Daf HrG'!#REF!</definedName>
    <definedName name="BesiBeton" localSheetId="1">'[10]Daf HrG'!#REF!</definedName>
    <definedName name="BesiBeton" localSheetId="0">'[10]Daf HrG'!#REF!</definedName>
    <definedName name="BesiBeton" localSheetId="5">'[10]Daf HrG'!#REF!</definedName>
    <definedName name="BesiBeton" localSheetId="6">'[10]Daf HrG'!#REF!</definedName>
    <definedName name="BesiBeton" localSheetId="16">'[10]Daf HrG'!#REF!</definedName>
    <definedName name="BesiBeton" localSheetId="7">'[10]Daf HrG'!#REF!</definedName>
    <definedName name="BesiBeton">'[10]Daf HrG'!#REF!</definedName>
    <definedName name="besipegangan" localSheetId="18">[24]cover!#REF!</definedName>
    <definedName name="besipegangan" localSheetId="10">[24]cover!#REF!</definedName>
    <definedName name="besipegangan" localSheetId="21">[24]cover!#REF!</definedName>
    <definedName name="besipegangan" localSheetId="1">[24]cover!#REF!</definedName>
    <definedName name="besipegangan" localSheetId="0">[24]cover!#REF!</definedName>
    <definedName name="besipegangan" localSheetId="5">[24]cover!#REF!</definedName>
    <definedName name="besipegangan" localSheetId="6">[24]cover!#REF!</definedName>
    <definedName name="besipegangan" localSheetId="16">[24]cover!#REF!</definedName>
    <definedName name="besipegangan" localSheetId="7">[24]cover!#REF!</definedName>
    <definedName name="besipegangan">[24]cover!#REF!</definedName>
    <definedName name="beton" localSheetId="18">#REF!</definedName>
    <definedName name="beton" localSheetId="21">#REF!</definedName>
    <definedName name="beton" localSheetId="1">#REF!</definedName>
    <definedName name="beton" localSheetId="0">#REF!</definedName>
    <definedName name="beton" localSheetId="5">#REF!</definedName>
    <definedName name="beton" localSheetId="6">#REF!</definedName>
    <definedName name="beton" localSheetId="16">#REF!</definedName>
    <definedName name="beton" localSheetId="7">#REF!</definedName>
    <definedName name="beton">#REF!</definedName>
    <definedName name="beton.225m" localSheetId="18">#REF!</definedName>
    <definedName name="beton.225m" localSheetId="11">#REF!</definedName>
    <definedName name="beton.225m" localSheetId="10">#REF!</definedName>
    <definedName name="beton.225m" localSheetId="21">#REF!</definedName>
    <definedName name="beton.225m" localSheetId="12">#REF!</definedName>
    <definedName name="beton.225m" localSheetId="1">#REF!</definedName>
    <definedName name="beton.225m" localSheetId="0">#REF!</definedName>
    <definedName name="beton.225m" localSheetId="14">#REF!</definedName>
    <definedName name="beton.225m" localSheetId="5">#REF!</definedName>
    <definedName name="beton.225m" localSheetId="6">#REF!</definedName>
    <definedName name="beton.225m" localSheetId="16">#REF!</definedName>
    <definedName name="beton.225m" localSheetId="7">#REF!</definedName>
    <definedName name="beton.225m">#REF!</definedName>
    <definedName name="beton.tumbuk" localSheetId="18">#REF!</definedName>
    <definedName name="beton.tumbuk" localSheetId="11">#REF!</definedName>
    <definedName name="beton.tumbuk" localSheetId="10">#REF!</definedName>
    <definedName name="beton.tumbuk" localSheetId="21">#REF!</definedName>
    <definedName name="beton.tumbuk" localSheetId="12">#REF!</definedName>
    <definedName name="beton.tumbuk" localSheetId="1">#REF!</definedName>
    <definedName name="beton.tumbuk" localSheetId="0">#REF!</definedName>
    <definedName name="beton.tumbuk" localSheetId="14">#REF!</definedName>
    <definedName name="beton.tumbuk" localSheetId="5">#REF!</definedName>
    <definedName name="beton.tumbuk" localSheetId="6">#REF!</definedName>
    <definedName name="beton.tumbuk" localSheetId="16">#REF!</definedName>
    <definedName name="beton.tumbuk" localSheetId="7">#REF!</definedName>
    <definedName name="beton.tumbuk">#REF!</definedName>
    <definedName name="Beton135" localSheetId="21">[10]HSP!#REF!</definedName>
    <definedName name="Beton135" localSheetId="1">[10]HSP!#REF!</definedName>
    <definedName name="Beton135" localSheetId="0">[10]HSP!#REF!</definedName>
    <definedName name="Beton135" localSheetId="5">[10]HSP!#REF!</definedName>
    <definedName name="Beton135" localSheetId="6">[10]HSP!#REF!</definedName>
    <definedName name="Beton135" localSheetId="16">[10]HSP!#REF!</definedName>
    <definedName name="Beton135" localSheetId="7">[10]HSP!#REF!</definedName>
    <definedName name="Beton135">[10]HSP!#REF!</definedName>
    <definedName name="Beton175" localSheetId="21">[10]HSP!#REF!</definedName>
    <definedName name="Beton175" localSheetId="1">[10]HSP!#REF!</definedName>
    <definedName name="Beton175" localSheetId="0">[10]HSP!#REF!</definedName>
    <definedName name="Beton175" localSheetId="5">[10]HSP!#REF!</definedName>
    <definedName name="Beton175" localSheetId="6">[10]HSP!#REF!</definedName>
    <definedName name="Beton175" localSheetId="16">[10]HSP!#REF!</definedName>
    <definedName name="Beton175" localSheetId="7">[10]HSP!#REF!</definedName>
    <definedName name="Beton175">[10]HSP!#REF!</definedName>
    <definedName name="beton175m" localSheetId="18">#REF!</definedName>
    <definedName name="beton175m" localSheetId="11">#REF!</definedName>
    <definedName name="beton175m" localSheetId="10">#REF!</definedName>
    <definedName name="beton175m" localSheetId="21">#REF!</definedName>
    <definedName name="beton175m" localSheetId="12">#REF!</definedName>
    <definedName name="beton175m" localSheetId="1">#REF!</definedName>
    <definedName name="beton175m" localSheetId="0">#REF!</definedName>
    <definedName name="beton175m" localSheetId="14">#REF!</definedName>
    <definedName name="beton175m" localSheetId="5">#REF!</definedName>
    <definedName name="beton175m" localSheetId="6">#REF!</definedName>
    <definedName name="beton175m" localSheetId="16">#REF!</definedName>
    <definedName name="beton175m" localSheetId="7">#REF!</definedName>
    <definedName name="beton175m">#REF!</definedName>
    <definedName name="beton175R" localSheetId="18">#REF!</definedName>
    <definedName name="beton175R" localSheetId="11">#REF!</definedName>
    <definedName name="beton175R" localSheetId="10">#REF!</definedName>
    <definedName name="beton175R" localSheetId="21">#REF!</definedName>
    <definedName name="beton175R" localSheetId="12">#REF!</definedName>
    <definedName name="beton175R" localSheetId="1">#REF!</definedName>
    <definedName name="beton175R" localSheetId="0">#REF!</definedName>
    <definedName name="beton175R" localSheetId="14">#REF!</definedName>
    <definedName name="beton175R" localSheetId="5">#REF!</definedName>
    <definedName name="beton175R" localSheetId="6">#REF!</definedName>
    <definedName name="beton175R" localSheetId="16">#REF!</definedName>
    <definedName name="beton175R" localSheetId="7">#REF!</definedName>
    <definedName name="beton175R">#REF!</definedName>
    <definedName name="Beton225" localSheetId="21">[10]HSP!#REF!</definedName>
    <definedName name="Beton225" localSheetId="1">[10]HSP!#REF!</definedName>
    <definedName name="Beton225" localSheetId="0">[10]HSP!#REF!</definedName>
    <definedName name="Beton225" localSheetId="5">[10]HSP!#REF!</definedName>
    <definedName name="Beton225" localSheetId="6">[10]HSP!#REF!</definedName>
    <definedName name="Beton225" localSheetId="16">[10]HSP!#REF!</definedName>
    <definedName name="Beton225" localSheetId="7">[10]HSP!#REF!</definedName>
    <definedName name="Beton225">[10]HSP!#REF!</definedName>
    <definedName name="beton225r" localSheetId="18">#REF!</definedName>
    <definedName name="beton225r" localSheetId="11">#REF!</definedName>
    <definedName name="beton225r" localSheetId="10">#REF!</definedName>
    <definedName name="beton225r" localSheetId="21">#REF!</definedName>
    <definedName name="beton225r" localSheetId="12">#REF!</definedName>
    <definedName name="beton225r" localSheetId="1">#REF!</definedName>
    <definedName name="beton225r" localSheetId="0">#REF!</definedName>
    <definedName name="beton225r" localSheetId="14">#REF!</definedName>
    <definedName name="beton225r" localSheetId="5">#REF!</definedName>
    <definedName name="beton225r" localSheetId="6">#REF!</definedName>
    <definedName name="beton225r" localSheetId="16">#REF!</definedName>
    <definedName name="beton225r" localSheetId="7">#REF!</definedName>
    <definedName name="beton225r">#REF!</definedName>
    <definedName name="beton250m" localSheetId="18">#REF!</definedName>
    <definedName name="beton250m" localSheetId="11">#REF!</definedName>
    <definedName name="beton250m" localSheetId="10">#REF!</definedName>
    <definedName name="beton250m" localSheetId="21">#REF!</definedName>
    <definedName name="beton250m" localSheetId="12">#REF!</definedName>
    <definedName name="beton250m" localSheetId="1">#REF!</definedName>
    <definedName name="beton250m" localSheetId="0">#REF!</definedName>
    <definedName name="beton250m" localSheetId="14">#REF!</definedName>
    <definedName name="beton250m" localSheetId="5">#REF!</definedName>
    <definedName name="beton250m" localSheetId="6">#REF!</definedName>
    <definedName name="beton250m" localSheetId="16">#REF!</definedName>
    <definedName name="beton250m" localSheetId="7">#REF!</definedName>
    <definedName name="beton250m">#REF!</definedName>
    <definedName name="beton250r" localSheetId="18">#REF!</definedName>
    <definedName name="beton250r" localSheetId="11">#REF!</definedName>
    <definedName name="beton250r" localSheetId="10">#REF!</definedName>
    <definedName name="beton250r" localSheetId="21">#REF!</definedName>
    <definedName name="beton250r" localSheetId="12">#REF!</definedName>
    <definedName name="beton250r" localSheetId="1">#REF!</definedName>
    <definedName name="beton250r" localSheetId="0">#REF!</definedName>
    <definedName name="beton250r" localSheetId="14">#REF!</definedName>
    <definedName name="beton250r" localSheetId="5">#REF!</definedName>
    <definedName name="beton250r" localSheetId="6">#REF!</definedName>
    <definedName name="beton250r" localSheetId="16">#REF!</definedName>
    <definedName name="beton250r" localSheetId="7">#REF!</definedName>
    <definedName name="beton250r">#REF!</definedName>
    <definedName name="betonmassa" localSheetId="18">#REF!</definedName>
    <definedName name="betonmassa" localSheetId="21">#REF!</definedName>
    <definedName name="betonmassa" localSheetId="1">#REF!</definedName>
    <definedName name="betonmassa" localSheetId="0">#REF!</definedName>
    <definedName name="betonmassa" localSheetId="5">#REF!</definedName>
    <definedName name="betonmassa" localSheetId="6">#REF!</definedName>
    <definedName name="betonmassa" localSheetId="16">#REF!</definedName>
    <definedName name="betonmassa" localSheetId="7">#REF!</definedName>
    <definedName name="betonmassa">#REF!</definedName>
    <definedName name="bg" localSheetId="18">#REF!</definedName>
    <definedName name="bg" localSheetId="11">#REF!</definedName>
    <definedName name="bg" localSheetId="10">#REF!</definedName>
    <definedName name="bg" localSheetId="21">#REF!</definedName>
    <definedName name="bg" localSheetId="12">#REF!</definedName>
    <definedName name="bg" localSheetId="1">#REF!</definedName>
    <definedName name="bg" localSheetId="0">#REF!</definedName>
    <definedName name="bg" localSheetId="14">#REF!</definedName>
    <definedName name="bg" localSheetId="5">#REF!</definedName>
    <definedName name="bg" localSheetId="6">#REF!</definedName>
    <definedName name="bg" localSheetId="16">#REF!</definedName>
    <definedName name="bg" localSheetId="7">#REF!</definedName>
    <definedName name="bg">#REF!</definedName>
    <definedName name="Biayadozer" localSheetId="21">#REF!</definedName>
    <definedName name="Biayadozer" localSheetId="1">#REF!</definedName>
    <definedName name="Biayadozer" localSheetId="0">#REF!</definedName>
    <definedName name="Biayadozer" localSheetId="5">#REF!</definedName>
    <definedName name="Biayadozer" localSheetId="6">#REF!</definedName>
    <definedName name="Biayadozer" localSheetId="16">#REF!</definedName>
    <definedName name="Biayadozer" localSheetId="7">#REF!</definedName>
    <definedName name="Biayadozer">#REF!</definedName>
    <definedName name="Biayadump" localSheetId="21">'[10]HSP Alat'!#REF!</definedName>
    <definedName name="Biayadump" localSheetId="1">'[10]HSP Alat'!#REF!</definedName>
    <definedName name="Biayadump" localSheetId="0">'[10]HSP Alat'!#REF!</definedName>
    <definedName name="Biayadump" localSheetId="5">'[10]HSP Alat'!#REF!</definedName>
    <definedName name="Biayadump" localSheetId="6">'[10]HSP Alat'!#REF!</definedName>
    <definedName name="Biayadump" localSheetId="16">'[10]HSP Alat'!#REF!</definedName>
    <definedName name="Biayadump" localSheetId="7">'[10]HSP Alat'!#REF!</definedName>
    <definedName name="Biayadump">'[10]HSP Alat'!#REF!</definedName>
    <definedName name="BiayaExcavator" localSheetId="21">'[10]HSP Alat'!#REF!</definedName>
    <definedName name="BiayaExcavator" localSheetId="1">'[10]HSP Alat'!#REF!</definedName>
    <definedName name="BiayaExcavator" localSheetId="0">'[10]HSP Alat'!#REF!</definedName>
    <definedName name="BiayaExcavator" localSheetId="5">'[10]HSP Alat'!#REF!</definedName>
    <definedName name="BiayaExcavator" localSheetId="6">'[10]HSP Alat'!#REF!</definedName>
    <definedName name="BiayaExcavator" localSheetId="16">'[10]HSP Alat'!#REF!</definedName>
    <definedName name="BiayaExcavator" localSheetId="7">'[10]HSP Alat'!#REF!</definedName>
    <definedName name="BiayaExcavator">'[10]HSP Alat'!#REF!</definedName>
    <definedName name="Biayamolen" localSheetId="21">'[10]HSP Alat'!#REF!</definedName>
    <definedName name="Biayamolen" localSheetId="1">'[10]HSP Alat'!#REF!</definedName>
    <definedName name="Biayamolen" localSheetId="0">'[10]HSP Alat'!#REF!</definedName>
    <definedName name="Biayamolen" localSheetId="5">'[10]HSP Alat'!#REF!</definedName>
    <definedName name="Biayamolen" localSheetId="6">'[10]HSP Alat'!#REF!</definedName>
    <definedName name="Biayamolen" localSheetId="16">'[10]HSP Alat'!#REF!</definedName>
    <definedName name="Biayamolen" localSheetId="7">'[10]HSP Alat'!#REF!</definedName>
    <definedName name="Biayamolen">'[10]HSP Alat'!#REF!</definedName>
    <definedName name="BiayaVibro" localSheetId="21">'[10]HSP Alat'!#REF!</definedName>
    <definedName name="BiayaVibro" localSheetId="1">'[10]HSP Alat'!#REF!</definedName>
    <definedName name="BiayaVibro" localSheetId="0">'[10]HSP Alat'!#REF!</definedName>
    <definedName name="BiayaVibro" localSheetId="5">'[10]HSP Alat'!#REF!</definedName>
    <definedName name="BiayaVibro" localSheetId="6">'[10]HSP Alat'!#REF!</definedName>
    <definedName name="BiayaVibro" localSheetId="16">'[10]HSP Alat'!#REF!</definedName>
    <definedName name="BiayaVibro" localSheetId="7">'[10]HSP Alat'!#REF!</definedName>
    <definedName name="BiayaVibro">'[10]HSP Alat'!#REF!</definedName>
    <definedName name="boker" localSheetId="11">'[13]Kuantitas &amp; Harga'!#REF!</definedName>
    <definedName name="boker" localSheetId="10">'[13]Kuantitas &amp; Harga'!#REF!</definedName>
    <definedName name="boker" localSheetId="21">'[13]Kuantitas &amp; Harga'!#REF!</definedName>
    <definedName name="boker" localSheetId="12">'[13]Kuantitas &amp; Harga'!#REF!</definedName>
    <definedName name="boker" localSheetId="1">'[13]Kuantitas &amp; Harga'!#REF!</definedName>
    <definedName name="boker" localSheetId="0">'[13]Kuantitas &amp; Harga'!#REF!</definedName>
    <definedName name="boker" localSheetId="14">'[13]Kuantitas &amp; Harga'!#REF!</definedName>
    <definedName name="boker" localSheetId="5">'[13]Kuantitas &amp; Harga'!#REF!</definedName>
    <definedName name="boker" localSheetId="6">'[13]Kuantitas &amp; Harga'!#REF!</definedName>
    <definedName name="boker" localSheetId="16">'[13]Kuantitas &amp; Harga'!#REF!</definedName>
    <definedName name="boker" localSheetId="7">'[13]Kuantitas &amp; Harga'!#REF!</definedName>
    <definedName name="boker">'[13]Kuantitas &amp; Harga'!#REF!</definedName>
    <definedName name="bongkar">'[22]Anls Bahan'!$E$132</definedName>
    <definedName name="borneo6.12" localSheetId="18">#REF!</definedName>
    <definedName name="borneo6.12" localSheetId="11">#REF!</definedName>
    <definedName name="borneo6.12" localSheetId="10">#REF!</definedName>
    <definedName name="borneo6.12" localSheetId="21">#REF!</definedName>
    <definedName name="borneo6.12" localSheetId="12">#REF!</definedName>
    <definedName name="borneo6.12" localSheetId="1">#REF!</definedName>
    <definedName name="borneo6.12" localSheetId="0">#REF!</definedName>
    <definedName name="borneo6.12" localSheetId="14">#REF!</definedName>
    <definedName name="borneo6.12" localSheetId="5">#REF!</definedName>
    <definedName name="borneo6.12" localSheetId="6">#REF!</definedName>
    <definedName name="borneo6.12" localSheetId="16">#REF!</definedName>
    <definedName name="borneo6.12" localSheetId="7">#REF!</definedName>
    <definedName name="borneo6.12">#REF!</definedName>
    <definedName name="BOSS" localSheetId="21">#REF!</definedName>
    <definedName name="BOSS" localSheetId="1">#REF!</definedName>
    <definedName name="BOSS" localSheetId="0">#REF!</definedName>
    <definedName name="BOSS" localSheetId="5">#REF!</definedName>
    <definedName name="BOSS" localSheetId="6">#REF!</definedName>
    <definedName name="BOSS" localSheetId="16">#REF!</definedName>
    <definedName name="BOSS" localSheetId="7">#REF!</definedName>
    <definedName name="BOSS">#REF!</definedName>
    <definedName name="bouplank" localSheetId="18">[25]Analisis!#REF!</definedName>
    <definedName name="bouplank" localSheetId="10">[25]Analisis!#REF!</definedName>
    <definedName name="bouplank" localSheetId="21">[25]Analisis!#REF!</definedName>
    <definedName name="bouplank" localSheetId="1">[25]Analisis!#REF!</definedName>
    <definedName name="bouplank" localSheetId="0">[25]Analisis!#REF!</definedName>
    <definedName name="bouplank" localSheetId="5">[25]Analisis!#REF!</definedName>
    <definedName name="bouplank" localSheetId="6">[25]Analisis!#REF!</definedName>
    <definedName name="bouplank" localSheetId="16">[25]Analisis!#REF!</definedName>
    <definedName name="bouplank" localSheetId="7">[25]Analisis!#REF!</definedName>
    <definedName name="bouplank">[25]Analisis!#REF!</definedName>
    <definedName name="bouwplnk" localSheetId="18">#REF!</definedName>
    <definedName name="bouwplnk" localSheetId="11">#REF!</definedName>
    <definedName name="bouwplnk" localSheetId="10">#REF!</definedName>
    <definedName name="bouwplnk" localSheetId="21">#REF!</definedName>
    <definedName name="bouwplnk" localSheetId="12">#REF!</definedName>
    <definedName name="bouwplnk" localSheetId="1">#REF!</definedName>
    <definedName name="bouwplnk" localSheetId="0">#REF!</definedName>
    <definedName name="bouwplnk" localSheetId="14">#REF!</definedName>
    <definedName name="bouwplnk" localSheetId="5">#REF!</definedName>
    <definedName name="bouwplnk" localSheetId="6">#REF!</definedName>
    <definedName name="bouwplnk" localSheetId="16">#REF!</definedName>
    <definedName name="bouwplnk" localSheetId="7">#REF!</definedName>
    <definedName name="bouwplnk">#REF!</definedName>
    <definedName name="bq" localSheetId="18">#REF!</definedName>
    <definedName name="bq" localSheetId="10">#REF!</definedName>
    <definedName name="bq" localSheetId="21">#REF!</definedName>
    <definedName name="bq" localSheetId="1">#REF!</definedName>
    <definedName name="bq" localSheetId="0">#REF!</definedName>
    <definedName name="bq" localSheetId="5">#REF!</definedName>
    <definedName name="bq" localSheetId="6">#REF!</definedName>
    <definedName name="bq" localSheetId="16">#REF!</definedName>
    <definedName name="bq" localSheetId="7">#REF!</definedName>
    <definedName name="bq">#REF!</definedName>
    <definedName name="BQEX">[27]BQ!$B$12:$K$425</definedName>
    <definedName name="Bronjong">[26]Analisa!$I$70</definedName>
    <definedName name="bsk" localSheetId="18">#REF!</definedName>
    <definedName name="bsk" localSheetId="21">#REF!</definedName>
    <definedName name="bsk" localSheetId="1">#REF!</definedName>
    <definedName name="bsk" localSheetId="0">#REF!</definedName>
    <definedName name="bsk" localSheetId="5">#REF!</definedName>
    <definedName name="bsk" localSheetId="6">#REF!</definedName>
    <definedName name="bsk" localSheetId="16">#REF!</definedName>
    <definedName name="bsk" localSheetId="7">#REF!</definedName>
    <definedName name="bsk">#REF!</definedName>
    <definedName name="BST" localSheetId="18">#REF!</definedName>
    <definedName name="BST" localSheetId="21">#REF!</definedName>
    <definedName name="BST" localSheetId="1">#REF!</definedName>
    <definedName name="BST" localSheetId="0">#REF!</definedName>
    <definedName name="BST" localSheetId="5">#REF!</definedName>
    <definedName name="BST" localSheetId="6">#REF!</definedName>
    <definedName name="BST" localSheetId="16">#REF!</definedName>
    <definedName name="BST" localSheetId="7">#REF!</definedName>
    <definedName name="BST">#REF!</definedName>
    <definedName name="BT" localSheetId="18">#REF!</definedName>
    <definedName name="BT" localSheetId="21">#REF!</definedName>
    <definedName name="BT" localSheetId="1">#REF!</definedName>
    <definedName name="BT" localSheetId="0">#REF!</definedName>
    <definedName name="BT" localSheetId="5">#REF!</definedName>
    <definedName name="BT" localSheetId="6">#REF!</definedName>
    <definedName name="BT" localSheetId="16">#REF!</definedName>
    <definedName name="BT" localSheetId="7">#REF!</definedName>
    <definedName name="BT">#REF!</definedName>
    <definedName name="BTT" localSheetId="18">#REF!</definedName>
    <definedName name="BTT" localSheetId="21">#REF!</definedName>
    <definedName name="BTT" localSheetId="1">#REF!</definedName>
    <definedName name="BTT" localSheetId="0">#REF!</definedName>
    <definedName name="BTT" localSheetId="5">#REF!</definedName>
    <definedName name="BTT" localSheetId="6">#REF!</definedName>
    <definedName name="BTT" localSheetId="16">#REF!</definedName>
    <definedName name="BTT" localSheetId="7">#REF!</definedName>
    <definedName name="BTT">#REF!</definedName>
    <definedName name="bubunganseng" localSheetId="18">[25]Analisis!#REF!</definedName>
    <definedName name="bubunganseng" localSheetId="10">[25]Analisis!#REF!</definedName>
    <definedName name="bubunganseng" localSheetId="21">[25]Analisis!#REF!</definedName>
    <definedName name="bubunganseng" localSheetId="1">[25]Analisis!#REF!</definedName>
    <definedName name="bubunganseng" localSheetId="0">[25]Analisis!#REF!</definedName>
    <definedName name="bubunganseng" localSheetId="5">[25]Analisis!#REF!</definedName>
    <definedName name="bubunganseng" localSheetId="6">[25]Analisis!#REF!</definedName>
    <definedName name="bubunganseng" localSheetId="16">[25]Analisis!#REF!</definedName>
    <definedName name="bubunganseng" localSheetId="7">[25]Analisis!#REF!</definedName>
    <definedName name="bubunganseng">[25]Analisis!#REF!</definedName>
    <definedName name="buldozer" localSheetId="18">#REF!</definedName>
    <definedName name="buldozer" localSheetId="21">#REF!</definedName>
    <definedName name="buldozer" localSheetId="1">#REF!</definedName>
    <definedName name="buldozer" localSheetId="0">#REF!</definedName>
    <definedName name="buldozer" localSheetId="5">#REF!</definedName>
    <definedName name="buldozer" localSheetId="6">#REF!</definedName>
    <definedName name="buldozer" localSheetId="16">#REF!</definedName>
    <definedName name="buldozer" localSheetId="7">#REF!</definedName>
    <definedName name="buldozer">#REF!</definedName>
    <definedName name="bull" localSheetId="21">#REF!</definedName>
    <definedName name="bull" localSheetId="1">#REF!</definedName>
    <definedName name="bull" localSheetId="0">#REF!</definedName>
    <definedName name="bull" localSheetId="5">#REF!</definedName>
    <definedName name="bull" localSheetId="6">#REF!</definedName>
    <definedName name="bull" localSheetId="16">#REF!</definedName>
    <definedName name="bull" localSheetId="7">#REF!</definedName>
    <definedName name="bull">#REF!</definedName>
    <definedName name="BULLDOZER" localSheetId="21">[7]Peralatan!#REF!</definedName>
    <definedName name="BULLDOZER" localSheetId="1">[7]Peralatan!#REF!</definedName>
    <definedName name="BULLDOZER" localSheetId="0">[7]Peralatan!#REF!</definedName>
    <definedName name="BULLDOZER" localSheetId="5">[7]Peralatan!#REF!</definedName>
    <definedName name="BULLDOZER" localSheetId="6">[7]Peralatan!#REF!</definedName>
    <definedName name="BULLDOZER" localSheetId="16">[7]Peralatan!#REF!</definedName>
    <definedName name="BULLDOZER" localSheetId="7">[7]Peralatan!#REF!</definedName>
    <definedName name="BULLDOZER">[7]Peralatan!#REF!</definedName>
    <definedName name="Buruh" localSheetId="21">#REF!</definedName>
    <definedName name="Buruh" localSheetId="1">#REF!</definedName>
    <definedName name="Buruh" localSheetId="0">#REF!</definedName>
    <definedName name="Buruh" localSheetId="5">#REF!</definedName>
    <definedName name="Buruh" localSheetId="6">#REF!</definedName>
    <definedName name="Buruh" localSheetId="16">#REF!</definedName>
    <definedName name="Buruh" localSheetId="7">#REF!</definedName>
    <definedName name="Buruh">#REF!</definedName>
    <definedName name="c.mowi.luar" localSheetId="18">#REF!</definedName>
    <definedName name="c.mowi.luar" localSheetId="11">#REF!</definedName>
    <definedName name="c.mowi.luar" localSheetId="10">#REF!</definedName>
    <definedName name="c.mowi.luar" localSheetId="21">#REF!</definedName>
    <definedName name="c.mowi.luar" localSheetId="12">#REF!</definedName>
    <definedName name="c.mowi.luar" localSheetId="1">#REF!</definedName>
    <definedName name="c.mowi.luar" localSheetId="0">#REF!</definedName>
    <definedName name="c.mowi.luar" localSheetId="14">#REF!</definedName>
    <definedName name="c.mowi.luar" localSheetId="5">#REF!</definedName>
    <definedName name="c.mowi.luar" localSheetId="6">#REF!</definedName>
    <definedName name="c.mowi.luar" localSheetId="16">#REF!</definedName>
    <definedName name="c.mowi.luar" localSheetId="7">#REF!</definedName>
    <definedName name="c.mowi.luar">#REF!</definedName>
    <definedName name="c.vinilex.dlm" localSheetId="18">#REF!</definedName>
    <definedName name="c.vinilex.dlm" localSheetId="11">#REF!</definedName>
    <definedName name="c.vinilex.dlm" localSheetId="10">#REF!</definedName>
    <definedName name="c.vinilex.dlm" localSheetId="21">#REF!</definedName>
    <definedName name="c.vinilex.dlm" localSheetId="12">#REF!</definedName>
    <definedName name="c.vinilex.dlm" localSheetId="1">#REF!</definedName>
    <definedName name="c.vinilex.dlm" localSheetId="0">#REF!</definedName>
    <definedName name="c.vinilex.dlm" localSheetId="14">#REF!</definedName>
    <definedName name="c.vinilex.dlm" localSheetId="5">#REF!</definedName>
    <definedName name="c.vinilex.dlm" localSheetId="6">#REF!</definedName>
    <definedName name="c.vinilex.dlm" localSheetId="16">#REF!</definedName>
    <definedName name="c.vinilex.dlm" localSheetId="7">#REF!</definedName>
    <definedName name="c.vinilex.dlm">#REF!</definedName>
    <definedName name="c.vinilex.sjs" localSheetId="18">#REF!</definedName>
    <definedName name="c.vinilex.sjs" localSheetId="11">#REF!</definedName>
    <definedName name="c.vinilex.sjs" localSheetId="10">#REF!</definedName>
    <definedName name="c.vinilex.sjs" localSheetId="21">#REF!</definedName>
    <definedName name="c.vinilex.sjs" localSheetId="12">#REF!</definedName>
    <definedName name="c.vinilex.sjs" localSheetId="1">#REF!</definedName>
    <definedName name="c.vinilex.sjs" localSheetId="0">#REF!</definedName>
    <definedName name="c.vinilex.sjs" localSheetId="14">#REF!</definedName>
    <definedName name="c.vinilex.sjs" localSheetId="5">#REF!</definedName>
    <definedName name="c.vinilex.sjs" localSheetId="6">#REF!</definedName>
    <definedName name="c.vinilex.sjs" localSheetId="16">#REF!</definedName>
    <definedName name="c.vinilex.sjs" localSheetId="7">#REF!</definedName>
    <definedName name="c.vinilex.sjs">#REF!</definedName>
    <definedName name="C_" localSheetId="21">#REF!</definedName>
    <definedName name="C_" localSheetId="1">#REF!</definedName>
    <definedName name="C_" localSheetId="0">#REF!</definedName>
    <definedName name="C_" localSheetId="5">#REF!</definedName>
    <definedName name="C_" localSheetId="6">#REF!</definedName>
    <definedName name="C_" localSheetId="16">#REF!</definedName>
    <definedName name="C_" localSheetId="7">#REF!</definedName>
    <definedName name="C_">#REF!</definedName>
    <definedName name="campuranpanaslatasir" localSheetId="18">#REF!</definedName>
    <definedName name="campuranpanaslatasir" localSheetId="21">#REF!</definedName>
    <definedName name="campuranpanaslatasir" localSheetId="1">#REF!</definedName>
    <definedName name="campuranpanaslatasir" localSheetId="0">#REF!</definedName>
    <definedName name="campuranpanaslatasir" localSheetId="5">#REF!</definedName>
    <definedName name="campuranpanaslatasir" localSheetId="6">#REF!</definedName>
    <definedName name="campuranpanaslatasir" localSheetId="16">#REF!</definedName>
    <definedName name="campuranpanaslatasir" localSheetId="7">#REF!</definedName>
    <definedName name="campuranpanaslatasir">#REF!</definedName>
    <definedName name="cat" localSheetId="18">#REF!</definedName>
    <definedName name="cat" localSheetId="10">#REF!</definedName>
    <definedName name="cat" localSheetId="21">#REF!</definedName>
    <definedName name="cat" localSheetId="1">#REF!</definedName>
    <definedName name="cat" localSheetId="0">#REF!</definedName>
    <definedName name="cat" localSheetId="5">#REF!</definedName>
    <definedName name="cat" localSheetId="6">#REF!</definedName>
    <definedName name="cat" localSheetId="16">#REF!</definedName>
    <definedName name="cat" localSheetId="7">#REF!</definedName>
    <definedName name="cat">#REF!</definedName>
    <definedName name="catkosen" localSheetId="18">[25]Analisis!#REF!</definedName>
    <definedName name="catkosen" localSheetId="10">[25]Analisis!#REF!</definedName>
    <definedName name="catkosen" localSheetId="21">[25]Analisis!#REF!</definedName>
    <definedName name="catkosen" localSheetId="1">[25]Analisis!#REF!</definedName>
    <definedName name="catkosen" localSheetId="0">[25]Analisis!#REF!</definedName>
    <definedName name="catkosen" localSheetId="5">[25]Analisis!#REF!</definedName>
    <definedName name="catkosen" localSheetId="6">[25]Analisis!#REF!</definedName>
    <definedName name="catkosen" localSheetId="16">[25]Analisis!#REF!</definedName>
    <definedName name="catkosen" localSheetId="7">[25]Analisis!#REF!</definedName>
    <definedName name="catkosen">[25]Analisis!#REF!</definedName>
    <definedName name="catmeni" localSheetId="18">[25]Analisis!#REF!</definedName>
    <definedName name="catmeni" localSheetId="10">[25]Analisis!#REF!</definedName>
    <definedName name="catmeni" localSheetId="21">[25]Analisis!#REF!</definedName>
    <definedName name="catmeni" localSheetId="1">[25]Analisis!#REF!</definedName>
    <definedName name="catmeni" localSheetId="0">[25]Analisis!#REF!</definedName>
    <definedName name="catmeni" localSheetId="5">[25]Analisis!#REF!</definedName>
    <definedName name="catmeni" localSheetId="6">[25]Analisis!#REF!</definedName>
    <definedName name="catmeni" localSheetId="16">[25]Analisis!#REF!</definedName>
    <definedName name="catmeni" localSheetId="7">[25]Analisis!#REF!</definedName>
    <definedName name="catmeni">[25]Analisis!#REF!</definedName>
    <definedName name="Catminyak" localSheetId="21">'[26]Daftar Harga'!#REF!</definedName>
    <definedName name="Catminyak" localSheetId="1">'[26]Daftar Harga'!#REF!</definedName>
    <definedName name="Catminyak" localSheetId="0">'[26]Daftar Harga'!#REF!</definedName>
    <definedName name="Catminyak" localSheetId="5">'[26]Daftar Harga'!#REF!</definedName>
    <definedName name="Catminyak" localSheetId="6">'[26]Daftar Harga'!#REF!</definedName>
    <definedName name="Catminyak" localSheetId="16">'[26]Daftar Harga'!#REF!</definedName>
    <definedName name="Catminyak" localSheetId="7">'[26]Daftar Harga'!#REF!</definedName>
    <definedName name="Catminyak">'[26]Daftar Harga'!#REF!</definedName>
    <definedName name="cattembok" localSheetId="18">[25]Analisis!#REF!</definedName>
    <definedName name="cattembok" localSheetId="10">[25]Analisis!#REF!</definedName>
    <definedName name="cattembok" localSheetId="21">[25]Analisis!#REF!</definedName>
    <definedName name="cattembok" localSheetId="1">[25]Analisis!#REF!</definedName>
    <definedName name="cattembok" localSheetId="0">[25]Analisis!#REF!</definedName>
    <definedName name="cattembok" localSheetId="5">[25]Analisis!#REF!</definedName>
    <definedName name="cattembok" localSheetId="6">[25]Analisis!#REF!</definedName>
    <definedName name="cattembok" localSheetId="16">[25]Analisis!#REF!</definedName>
    <definedName name="cattembok" localSheetId="7">[25]Analisis!#REF!</definedName>
    <definedName name="cattembok">[25]Analisis!#REF!</definedName>
    <definedName name="CCCC">[5]alat!$AW$32</definedName>
    <definedName name="cendana" localSheetId="18">#REF!</definedName>
    <definedName name="cendana" localSheetId="11">#REF!</definedName>
    <definedName name="cendana" localSheetId="10">#REF!</definedName>
    <definedName name="cendana" localSheetId="21">#REF!</definedName>
    <definedName name="cendana" localSheetId="12">#REF!</definedName>
    <definedName name="cendana" localSheetId="1">#REF!</definedName>
    <definedName name="cendana" localSheetId="0">#REF!</definedName>
    <definedName name="cendana" localSheetId="14">#REF!</definedName>
    <definedName name="cendana" localSheetId="5">#REF!</definedName>
    <definedName name="cendana" localSheetId="6">#REF!</definedName>
    <definedName name="cendana" localSheetId="16">#REF!</definedName>
    <definedName name="cendana" localSheetId="7">#REF!</definedName>
    <definedName name="cendana">#REF!</definedName>
    <definedName name="cetakan" localSheetId="18">#REF!</definedName>
    <definedName name="cetakan" localSheetId="10">#REF!</definedName>
    <definedName name="cetakan" localSheetId="21">#REF!</definedName>
    <definedName name="cetakan" localSheetId="1">#REF!</definedName>
    <definedName name="cetakan" localSheetId="0">#REF!</definedName>
    <definedName name="cetakan" localSheetId="5">#REF!</definedName>
    <definedName name="cetakan" localSheetId="6">#REF!</definedName>
    <definedName name="cetakan" localSheetId="16">#REF!</definedName>
    <definedName name="cetakan" localSheetId="7">#REF!</definedName>
    <definedName name="cetakan">#REF!</definedName>
    <definedName name="cinta" localSheetId="18">#REF!</definedName>
    <definedName name="cinta" localSheetId="11">#REF!</definedName>
    <definedName name="cinta" localSheetId="10">#REF!</definedName>
    <definedName name="cinta" localSheetId="21">#REF!</definedName>
    <definedName name="cinta" localSheetId="12">#REF!</definedName>
    <definedName name="cinta" localSheetId="1">#REF!</definedName>
    <definedName name="cinta" localSheetId="0">#REF!</definedName>
    <definedName name="cinta" localSheetId="14">#REF!</definedName>
    <definedName name="cinta" localSheetId="5">#REF!</definedName>
    <definedName name="cinta" localSheetId="6">#REF!</definedName>
    <definedName name="cinta" localSheetId="16">#REF!</definedName>
    <definedName name="cinta" localSheetId="7">#REF!</definedName>
    <definedName name="cinta">#REF!</definedName>
    <definedName name="Clearing" localSheetId="21">[10]HSP!#REF!</definedName>
    <definedName name="Clearing" localSheetId="1">[10]HSP!#REF!</definedName>
    <definedName name="Clearing" localSheetId="0">[10]HSP!#REF!</definedName>
    <definedName name="Clearing" localSheetId="5">[10]HSP!#REF!</definedName>
    <definedName name="Clearing" localSheetId="6">[10]HSP!#REF!</definedName>
    <definedName name="Clearing" localSheetId="16">[10]HSP!#REF!</definedName>
    <definedName name="Clearing" localSheetId="7">[10]HSP!#REF!</definedName>
    <definedName name="Clearing">[10]HSP!#REF!</definedName>
    <definedName name="Closet.c420" localSheetId="18">#REF!</definedName>
    <definedName name="Closet.c420" localSheetId="11">#REF!</definedName>
    <definedName name="Closet.c420" localSheetId="10">#REF!</definedName>
    <definedName name="Closet.c420" localSheetId="21">#REF!</definedName>
    <definedName name="Closet.c420" localSheetId="12">#REF!</definedName>
    <definedName name="Closet.c420" localSheetId="1">#REF!</definedName>
    <definedName name="Closet.c420" localSheetId="0">#REF!</definedName>
    <definedName name="Closet.c420" localSheetId="14">#REF!</definedName>
    <definedName name="Closet.c420" localSheetId="5">#REF!</definedName>
    <definedName name="Closet.c420" localSheetId="6">#REF!</definedName>
    <definedName name="Closet.c420" localSheetId="16">#REF!</definedName>
    <definedName name="Closet.c420" localSheetId="7">#REF!</definedName>
    <definedName name="Closet.c420">#REF!</definedName>
    <definedName name="Closet.ddk" localSheetId="18">#REF!</definedName>
    <definedName name="Closet.ddk" localSheetId="11">#REF!</definedName>
    <definedName name="Closet.ddk" localSheetId="10">#REF!</definedName>
    <definedName name="Closet.ddk" localSheetId="21">#REF!</definedName>
    <definedName name="Closet.ddk" localSheetId="12">#REF!</definedName>
    <definedName name="Closet.ddk" localSheetId="1">#REF!</definedName>
    <definedName name="Closet.ddk" localSheetId="0">#REF!</definedName>
    <definedName name="Closet.ddk" localSheetId="14">#REF!</definedName>
    <definedName name="Closet.ddk" localSheetId="5">#REF!</definedName>
    <definedName name="Closet.ddk" localSheetId="6">#REF!</definedName>
    <definedName name="Closet.ddk" localSheetId="16">#REF!</definedName>
    <definedName name="Closet.ddk" localSheetId="7">#REF!</definedName>
    <definedName name="Closet.ddk">#REF!</definedName>
    <definedName name="closet.jkok" localSheetId="18">#REF!</definedName>
    <definedName name="closet.jkok" localSheetId="11">#REF!</definedName>
    <definedName name="closet.jkok" localSheetId="10">#REF!</definedName>
    <definedName name="closet.jkok" localSheetId="21">#REF!</definedName>
    <definedName name="closet.jkok" localSheetId="12">#REF!</definedName>
    <definedName name="closet.jkok" localSheetId="1">#REF!</definedName>
    <definedName name="closet.jkok" localSheetId="0">#REF!</definedName>
    <definedName name="closet.jkok" localSheetId="14">#REF!</definedName>
    <definedName name="closet.jkok" localSheetId="5">#REF!</definedName>
    <definedName name="closet.jkok" localSheetId="6">#REF!</definedName>
    <definedName name="closet.jkok" localSheetId="16">#REF!</definedName>
    <definedName name="closet.jkok" localSheetId="7">#REF!</definedName>
    <definedName name="closet.jkok">#REF!</definedName>
    <definedName name="CO_OPERATOR" localSheetId="18">#REF!</definedName>
    <definedName name="CO_OPERATOR" localSheetId="21">#REF!</definedName>
    <definedName name="CO_OPERATOR" localSheetId="1">#REF!</definedName>
    <definedName name="CO_OPERATOR" localSheetId="0">#REF!</definedName>
    <definedName name="CO_OPERATOR" localSheetId="5">#REF!</definedName>
    <definedName name="CO_OPERATOR" localSheetId="6">#REF!</definedName>
    <definedName name="CO_OPERATOR" localSheetId="16">#REF!</definedName>
    <definedName name="CO_OPERATOR" localSheetId="7">#REF!</definedName>
    <definedName name="CO_OPERATOR">#REF!</definedName>
    <definedName name="CO_SUPIR" localSheetId="18">#REF!</definedName>
    <definedName name="CO_SUPIR" localSheetId="21">#REF!</definedName>
    <definedName name="CO_SUPIR" localSheetId="1">#REF!</definedName>
    <definedName name="CO_SUPIR" localSheetId="0">#REF!</definedName>
    <definedName name="CO_SUPIR" localSheetId="5">#REF!</definedName>
    <definedName name="CO_SUPIR" localSheetId="6">#REF!</definedName>
    <definedName name="CO_SUPIR" localSheetId="16">#REF!</definedName>
    <definedName name="CO_SUPIR" localSheetId="7">#REF!</definedName>
    <definedName name="CO_SUPIR">#REF!</definedName>
    <definedName name="CoMekanik" localSheetId="21">#REF!</definedName>
    <definedName name="CoMekanik" localSheetId="1">#REF!</definedName>
    <definedName name="CoMekanik" localSheetId="0">#REF!</definedName>
    <definedName name="CoMekanik" localSheetId="5">#REF!</definedName>
    <definedName name="CoMekanik" localSheetId="6">#REF!</definedName>
    <definedName name="CoMekanik" localSheetId="16">#REF!</definedName>
    <definedName name="CoMekanik" localSheetId="7">#REF!</definedName>
    <definedName name="CoMekanik">#REF!</definedName>
    <definedName name="compresor" localSheetId="18">#REF!</definedName>
    <definedName name="compresor" localSheetId="21">#REF!</definedName>
    <definedName name="compresor" localSheetId="1">#REF!</definedName>
    <definedName name="compresor" localSheetId="0">#REF!</definedName>
    <definedName name="compresor" localSheetId="5">#REF!</definedName>
    <definedName name="compresor" localSheetId="6">#REF!</definedName>
    <definedName name="compresor" localSheetId="16">#REF!</definedName>
    <definedName name="compresor" localSheetId="7">#REF!</definedName>
    <definedName name="compresor">#REF!</definedName>
    <definedName name="COMPRESSOR" localSheetId="21">[7]Peralatan!#REF!</definedName>
    <definedName name="COMPRESSOR" localSheetId="1">[7]Peralatan!#REF!</definedName>
    <definedName name="COMPRESSOR" localSheetId="0">[7]Peralatan!#REF!</definedName>
    <definedName name="COMPRESSOR" localSheetId="5">[7]Peralatan!#REF!</definedName>
    <definedName name="COMPRESSOR" localSheetId="6">[7]Peralatan!#REF!</definedName>
    <definedName name="COMPRESSOR" localSheetId="16">[7]Peralatan!#REF!</definedName>
    <definedName name="COMPRESSOR" localSheetId="7">[7]Peralatan!#REF!</definedName>
    <definedName name="COMPRESSOR">[7]Peralatan!#REF!</definedName>
    <definedName name="concrate" localSheetId="18">#REF!</definedName>
    <definedName name="concrate" localSheetId="21">#REF!</definedName>
    <definedName name="concrate" localSheetId="1">#REF!</definedName>
    <definedName name="concrate" localSheetId="0">#REF!</definedName>
    <definedName name="concrate" localSheetId="5">#REF!</definedName>
    <definedName name="concrate" localSheetId="6">#REF!</definedName>
    <definedName name="concrate" localSheetId="16">#REF!</definedName>
    <definedName name="concrate" localSheetId="7">#REF!</definedName>
    <definedName name="concrate">#REF!</definedName>
    <definedName name="concrete" localSheetId="11">'[28]WF '!#REF!</definedName>
    <definedName name="concrete" localSheetId="10">'[28]WF '!#REF!</definedName>
    <definedName name="concrete" localSheetId="21">'[28]WF '!#REF!</definedName>
    <definedName name="concrete" localSheetId="12">'[28]WF '!#REF!</definedName>
    <definedName name="concrete" localSheetId="1">'[28]WF '!#REF!</definedName>
    <definedName name="concrete" localSheetId="0">'[28]WF '!#REF!</definedName>
    <definedName name="concrete" localSheetId="14">'[28]WF '!#REF!</definedName>
    <definedName name="concrete" localSheetId="5">'[28]WF '!#REF!</definedName>
    <definedName name="concrete" localSheetId="6">'[28]WF '!#REF!</definedName>
    <definedName name="concrete" localSheetId="16">'[28]WF '!#REF!</definedName>
    <definedName name="concrete" localSheetId="7">'[28]WF '!#REF!</definedName>
    <definedName name="concrete">'[28]WF '!#REF!</definedName>
    <definedName name="CONCRETEMIXER" localSheetId="21">[7]Peralatan!#REF!</definedName>
    <definedName name="CONCRETEMIXER" localSheetId="1">[7]Peralatan!#REF!</definedName>
    <definedName name="CONCRETEMIXER" localSheetId="0">[7]Peralatan!#REF!</definedName>
    <definedName name="CONCRETEMIXER" localSheetId="5">[7]Peralatan!#REF!</definedName>
    <definedName name="CONCRETEMIXER" localSheetId="6">[7]Peralatan!#REF!</definedName>
    <definedName name="CONCRETEMIXER" localSheetId="16">[7]Peralatan!#REF!</definedName>
    <definedName name="CONCRETEMIXER" localSheetId="7">[7]Peralatan!#REF!</definedName>
    <definedName name="CONCRETEMIXER">[7]Peralatan!#REF!</definedName>
    <definedName name="CONCRETEVIBRO" localSheetId="21">[7]Peralatan!#REF!</definedName>
    <definedName name="CONCRETEVIBRO" localSheetId="1">[7]Peralatan!#REF!</definedName>
    <definedName name="CONCRETEVIBRO" localSheetId="0">[7]Peralatan!#REF!</definedName>
    <definedName name="CONCRETEVIBRO" localSheetId="5">[7]Peralatan!#REF!</definedName>
    <definedName name="CONCRETEVIBRO" localSheetId="6">[7]Peralatan!#REF!</definedName>
    <definedName name="CONCRETEVIBRO" localSheetId="16">[7]Peralatan!#REF!</definedName>
    <definedName name="CONCRETEVIBRO" localSheetId="7">[7]Peralatan!#REF!</definedName>
    <definedName name="CONCRETEVIBRO">[7]Peralatan!#REF!</definedName>
    <definedName name="cor" localSheetId="21">[29]ANALISA!#REF!</definedName>
    <definedName name="cor" localSheetId="1">[29]ANALISA!#REF!</definedName>
    <definedName name="cor" localSheetId="0">[29]ANALISA!#REF!</definedName>
    <definedName name="cor" localSheetId="5">[29]ANALISA!#REF!</definedName>
    <definedName name="cor" localSheetId="6">[29]ANALISA!#REF!</definedName>
    <definedName name="cor" localSheetId="16">[29]ANALISA!#REF!</definedName>
    <definedName name="cor" localSheetId="7">[29]ANALISA!#REF!</definedName>
    <definedName name="cor">[29]ANALISA!#REF!</definedName>
    <definedName name="cr">'[23]Upah&amp;Bahan'!$U$1213</definedName>
    <definedName name="cra">'[23]Upah&amp;Bahan'!$U$1157</definedName>
    <definedName name="Crane">[30]rekap!$D$77</definedName>
    <definedName name="craz">'[23]Upah&amp;Bahan'!$U$1101</definedName>
    <definedName name="crazy">'[23]Upah&amp;Bahan'!$U$1045</definedName>
    <definedName name="cs" localSheetId="18">[9]BPS!#REF!</definedName>
    <definedName name="cs" localSheetId="10">[9]BPS!#REF!</definedName>
    <definedName name="cs" localSheetId="21">[9]BPS!#REF!</definedName>
    <definedName name="cs" localSheetId="1">[9]BPS!#REF!</definedName>
    <definedName name="cs" localSheetId="0">[9]BPS!#REF!</definedName>
    <definedName name="cs" localSheetId="5">[9]BPS!#REF!</definedName>
    <definedName name="cs" localSheetId="6">[9]BPS!#REF!</definedName>
    <definedName name="cs" localSheetId="16">[9]BPS!#REF!</definedName>
    <definedName name="cs" localSheetId="7">[9]BPS!#REF!</definedName>
    <definedName name="cs">[9]BPS!#REF!</definedName>
    <definedName name="CV">'[10]Daf HrG'!$G$41</definedName>
    <definedName name="cy" localSheetId="18">#REF!</definedName>
    <definedName name="cy" localSheetId="21">#REF!</definedName>
    <definedName name="cy" localSheetId="1">#REF!</definedName>
    <definedName name="cy" localSheetId="0">#REF!</definedName>
    <definedName name="cy" localSheetId="5">#REF!</definedName>
    <definedName name="cy" localSheetId="6">#REF!</definedName>
    <definedName name="cy" localSheetId="16">#REF!</definedName>
    <definedName name="cy" localSheetId="7">#REF!</definedName>
    <definedName name="cy">#REF!</definedName>
    <definedName name="cycllop" localSheetId="18">#REF!</definedName>
    <definedName name="cycllop" localSheetId="11">#REF!</definedName>
    <definedName name="cycllop" localSheetId="10">#REF!</definedName>
    <definedName name="cycllop" localSheetId="21">#REF!</definedName>
    <definedName name="cycllop" localSheetId="12">#REF!</definedName>
    <definedName name="cycllop" localSheetId="1">#REF!</definedName>
    <definedName name="cycllop" localSheetId="0">#REF!</definedName>
    <definedName name="cycllop" localSheetId="14">#REF!</definedName>
    <definedName name="cycllop" localSheetId="5">#REF!</definedName>
    <definedName name="cycllop" localSheetId="6">#REF!</definedName>
    <definedName name="cycllop" localSheetId="16">#REF!</definedName>
    <definedName name="cycllop" localSheetId="7">#REF!</definedName>
    <definedName name="cycllop">#REF!</definedName>
    <definedName name="cycloop" localSheetId="18">[25]Analisis!#REF!</definedName>
    <definedName name="cycloop" localSheetId="10">[25]Analisis!#REF!</definedName>
    <definedName name="cycloop" localSheetId="21">[25]Analisis!#REF!</definedName>
    <definedName name="cycloop" localSheetId="1">[25]Analisis!#REF!</definedName>
    <definedName name="cycloop" localSheetId="0">[25]Analisis!#REF!</definedName>
    <definedName name="cycloop" localSheetId="5">[25]Analisis!#REF!</definedName>
    <definedName name="cycloop" localSheetId="6">[25]Analisis!#REF!</definedName>
    <definedName name="cycloop" localSheetId="16">[25]Analisis!#REF!</definedName>
    <definedName name="cycloop" localSheetId="7">[25]Analisis!#REF!</definedName>
    <definedName name="cycloop">[25]Analisis!#REF!</definedName>
    <definedName name="Cyclop" localSheetId="21">#REF!</definedName>
    <definedName name="Cyclop" localSheetId="1">#REF!</definedName>
    <definedName name="Cyclop" localSheetId="0">#REF!</definedName>
    <definedName name="Cyclop" localSheetId="5">#REF!</definedName>
    <definedName name="Cyclop" localSheetId="6">#REF!</definedName>
    <definedName name="Cyclop" localSheetId="16">#REF!</definedName>
    <definedName name="Cyclop" localSheetId="7">#REF!</definedName>
    <definedName name="Cyclop">#REF!</definedName>
    <definedName name="d">'[23]Upah&amp;Bahan'!$C$18</definedName>
    <definedName name="D3T" localSheetId="21">[31]DASK!#REF!</definedName>
    <definedName name="D3T" localSheetId="1">[31]DASK!#REF!</definedName>
    <definedName name="D3T" localSheetId="0">[31]DASK!#REF!</definedName>
    <definedName name="D3T" localSheetId="5">[31]DASK!#REF!</definedName>
    <definedName name="D3T" localSheetId="6">[31]DASK!#REF!</definedName>
    <definedName name="D3T" localSheetId="16">[31]DASK!#REF!</definedName>
    <definedName name="D3T" localSheetId="7">[31]DASK!#REF!</definedName>
    <definedName name="D3T">[31]DASK!#REF!</definedName>
    <definedName name="DAB" localSheetId="18">[32]DAB!$A$1:$IV$65536</definedName>
    <definedName name="DAB">[32]DAB!$A:$IV</definedName>
    <definedName name="DAFTARSEWA">[7]Peralatan!$AO$1:$AX$49</definedName>
    <definedName name="Damar" localSheetId="21">'[26]Daftar Harga'!#REF!</definedName>
    <definedName name="Damar" localSheetId="1">'[26]Daftar Harga'!#REF!</definedName>
    <definedName name="Damar" localSheetId="0">'[26]Daftar Harga'!#REF!</definedName>
    <definedName name="Damar" localSheetId="5">'[26]Daftar Harga'!#REF!</definedName>
    <definedName name="Damar" localSheetId="6">'[26]Daftar Harga'!#REF!</definedName>
    <definedName name="Damar" localSheetId="16">'[26]Daftar Harga'!#REF!</definedName>
    <definedName name="Damar" localSheetId="7">'[26]Daftar Harga'!#REF!</definedName>
    <definedName name="Damar">'[26]Daftar Harga'!#REF!</definedName>
    <definedName name="day" localSheetId="18">#REF!</definedName>
    <definedName name="day" localSheetId="11">#REF!</definedName>
    <definedName name="day" localSheetId="10">#REF!</definedName>
    <definedName name="day" localSheetId="21">#REF!</definedName>
    <definedName name="day" localSheetId="12">#REF!</definedName>
    <definedName name="day" localSheetId="1">#REF!</definedName>
    <definedName name="day" localSheetId="0">#REF!</definedName>
    <definedName name="day" localSheetId="14">#REF!</definedName>
    <definedName name="day" localSheetId="5">#REF!</definedName>
    <definedName name="day" localSheetId="6">#REF!</definedName>
    <definedName name="day" localSheetId="16">#REF!</definedName>
    <definedName name="day" localSheetId="7">#REF!</definedName>
    <definedName name="day">#REF!</definedName>
    <definedName name="DAYWORKS" localSheetId="18">'[12]Kuantitas &amp; Harga'!#REF!</definedName>
    <definedName name="DAYWORKS" localSheetId="11">'[12]Kuantitas &amp; Harga'!#REF!</definedName>
    <definedName name="DAYWORKS" localSheetId="10">'[12]Kuantitas &amp; Harga'!#REF!</definedName>
    <definedName name="DAYWORKS" localSheetId="21">'[12]Kuantitas &amp; Harga'!#REF!</definedName>
    <definedName name="DAYWORKS" localSheetId="12">'[12]Kuantitas &amp; Harga'!#REF!</definedName>
    <definedName name="DAYWORKS" localSheetId="1">'[12]Kuantitas &amp; Harga'!#REF!</definedName>
    <definedName name="DAYWORKS" localSheetId="0">'[12]Kuantitas &amp; Harga'!#REF!</definedName>
    <definedName name="DAYWORKS" localSheetId="14">'[12]Kuantitas &amp; Harga'!#REF!</definedName>
    <definedName name="DAYWORKS" localSheetId="5">'[12]Kuantitas &amp; Harga'!#REF!</definedName>
    <definedName name="DAYWORKS" localSheetId="6">'[12]Kuantitas &amp; Harga'!#REF!</definedName>
    <definedName name="DAYWORKS" localSheetId="16">'[12]Kuantitas &amp; Harga'!#REF!</definedName>
    <definedName name="DAYWORKS" localSheetId="7">'[12]Kuantitas &amp; Harga'!#REF!</definedName>
    <definedName name="DAYWORKS">'[12]Kuantitas &amp; Harga'!#REF!</definedName>
    <definedName name="dbjtul">[22]Catatan!$F$104</definedName>
    <definedName name="dbtkali">[22]Catatan!$F$67</definedName>
    <definedName name="dd">'[33]Harga Bahan'!$H$149</definedName>
    <definedName name="dddd" localSheetId="18">#REF!</definedName>
    <definedName name="dddd" localSheetId="10">#REF!</definedName>
    <definedName name="dddd" localSheetId="21">#REF!</definedName>
    <definedName name="dddd" localSheetId="1">#REF!</definedName>
    <definedName name="dddd" localSheetId="0">#REF!</definedName>
    <definedName name="dddd" localSheetId="5">#REF!</definedName>
    <definedName name="dddd" localSheetId="6">#REF!</definedName>
    <definedName name="dddd" localSheetId="16">#REF!</definedName>
    <definedName name="dddd" localSheetId="7">#REF!</definedName>
    <definedName name="dddd">#REF!</definedName>
    <definedName name="DDL" localSheetId="21">#REF!</definedName>
    <definedName name="DDL" localSheetId="1">#REF!</definedName>
    <definedName name="DDL" localSheetId="0">#REF!</definedName>
    <definedName name="DDL" localSheetId="5">#REF!</definedName>
    <definedName name="DDL" localSheetId="6">#REF!</definedName>
    <definedName name="DDL" localSheetId="16">#REF!</definedName>
    <definedName name="DDL" localSheetId="7">#REF!</definedName>
    <definedName name="DDL">#REF!</definedName>
    <definedName name="ded" localSheetId="18">[9]BPS!#REF!</definedName>
    <definedName name="ded" localSheetId="10">[9]BPS!#REF!</definedName>
    <definedName name="ded" localSheetId="21">[9]BPS!#REF!</definedName>
    <definedName name="ded" localSheetId="1">[9]BPS!#REF!</definedName>
    <definedName name="ded" localSheetId="0">[9]BPS!#REF!</definedName>
    <definedName name="ded" localSheetId="5">[9]BPS!#REF!</definedName>
    <definedName name="ded" localSheetId="6">[9]BPS!#REF!</definedName>
    <definedName name="ded" localSheetId="16">[9]BPS!#REF!</definedName>
    <definedName name="ded" localSheetId="7">[9]BPS!#REF!</definedName>
    <definedName name="ded">[9]BPS!#REF!</definedName>
    <definedName name="DELL" localSheetId="21">#REF!</definedName>
    <definedName name="DELL" localSheetId="1">#REF!</definedName>
    <definedName name="DELL" localSheetId="0">#REF!</definedName>
    <definedName name="DELL" localSheetId="5">#REF!</definedName>
    <definedName name="DELL" localSheetId="6">#REF!</definedName>
    <definedName name="DELL" localSheetId="16">#REF!</definedName>
    <definedName name="DELL" localSheetId="7">#REF!</definedName>
    <definedName name="DELL">#REF!</definedName>
    <definedName name="dempul" localSheetId="18">[24]cover!#REF!</definedName>
    <definedName name="dempul" localSheetId="10">[24]cover!#REF!</definedName>
    <definedName name="dempul" localSheetId="21">[24]cover!#REF!</definedName>
    <definedName name="dempul" localSheetId="1">[24]cover!#REF!</definedName>
    <definedName name="dempul" localSheetId="0">[24]cover!#REF!</definedName>
    <definedName name="dempul" localSheetId="5">[24]cover!#REF!</definedName>
    <definedName name="dempul" localSheetId="6">[24]cover!#REF!</definedName>
    <definedName name="dempul" localSheetId="16">[24]cover!#REF!</definedName>
    <definedName name="dempul" localSheetId="7">[24]cover!#REF!</definedName>
    <definedName name="dempul">[24]cover!#REF!</definedName>
    <definedName name="dengan">'[13]Upah&amp;Bahan'!$C$24</definedName>
    <definedName name="der">'[34]UPH &amp; BHN'!$F$9</definedName>
    <definedName name="DESN" localSheetId="21">#REF!</definedName>
    <definedName name="DESN" localSheetId="1">#REF!</definedName>
    <definedName name="DESN" localSheetId="0">#REF!</definedName>
    <definedName name="DESN" localSheetId="5">#REF!</definedName>
    <definedName name="DESN" localSheetId="6">#REF!</definedName>
    <definedName name="DESN" localSheetId="16">#REF!</definedName>
    <definedName name="DESN" localSheetId="7">#REF!</definedName>
    <definedName name="DESN">#REF!</definedName>
    <definedName name="DF">[5]alat!$BD$306</definedName>
    <definedName name="DFDDFFF">[5]alat!$A$414:$J$472</definedName>
    <definedName name="DIN" localSheetId="21">#REF!</definedName>
    <definedName name="DIN" localSheetId="1">#REF!</definedName>
    <definedName name="DIN" localSheetId="0">#REF!</definedName>
    <definedName name="DIN" localSheetId="5">#REF!</definedName>
    <definedName name="DIN" localSheetId="6">#REF!</definedName>
    <definedName name="DIN" localSheetId="16">#REF!</definedName>
    <definedName name="DIN" localSheetId="7">#REF!</definedName>
    <definedName name="DIN">#REF!</definedName>
    <definedName name="Dir">'[10]Daf HrG'!$G$44</definedName>
    <definedName name="Direksi" localSheetId="21">[10]HSP!#REF!</definedName>
    <definedName name="Direksi" localSheetId="1">[10]HSP!#REF!</definedName>
    <definedName name="Direksi" localSheetId="0">[10]HSP!#REF!</definedName>
    <definedName name="Direksi" localSheetId="5">[10]HSP!#REF!</definedName>
    <definedName name="Direksi" localSheetId="6">[10]HSP!#REF!</definedName>
    <definedName name="Direksi" localSheetId="16">[10]HSP!#REF!</definedName>
    <definedName name="Direksi" localSheetId="7">[10]HSP!#REF!</definedName>
    <definedName name="Direksi">[10]HSP!#REF!</definedName>
    <definedName name="div" localSheetId="18">#REF!</definedName>
    <definedName name="div" localSheetId="11">#REF!</definedName>
    <definedName name="div" localSheetId="10">#REF!</definedName>
    <definedName name="div" localSheetId="21">#REF!</definedName>
    <definedName name="div" localSheetId="12">#REF!</definedName>
    <definedName name="div" localSheetId="1">#REF!</definedName>
    <definedName name="div" localSheetId="0">#REF!</definedName>
    <definedName name="div" localSheetId="14">#REF!</definedName>
    <definedName name="div" localSheetId="5">#REF!</definedName>
    <definedName name="div" localSheetId="6">#REF!</definedName>
    <definedName name="div" localSheetId="16">#REF!</definedName>
    <definedName name="div" localSheetId="7">#REF!</definedName>
    <definedName name="div">#REF!</definedName>
    <definedName name="Dokumentasi" localSheetId="21">#REF!</definedName>
    <definedName name="Dokumentasi" localSheetId="1">#REF!</definedName>
    <definedName name="Dokumentasi" localSheetId="0">#REF!</definedName>
    <definedName name="Dokumentasi" localSheetId="5">#REF!</definedName>
    <definedName name="Dokumentasi" localSheetId="6">#REF!</definedName>
    <definedName name="Dokumentasi" localSheetId="16">#REF!</definedName>
    <definedName name="Dokumentasi" localSheetId="7">#REF!</definedName>
    <definedName name="Dokumentasi">#REF!</definedName>
    <definedName name="Dozer" localSheetId="21">#REF!</definedName>
    <definedName name="Dozer" localSheetId="1">#REF!</definedName>
    <definedName name="Dozer" localSheetId="0">#REF!</definedName>
    <definedName name="Dozer" localSheetId="5">#REF!</definedName>
    <definedName name="Dozer" localSheetId="6">#REF!</definedName>
    <definedName name="Dozer" localSheetId="16">#REF!</definedName>
    <definedName name="Dozer" localSheetId="7">#REF!</definedName>
    <definedName name="Dozer">#REF!</definedName>
    <definedName name="dpasir">[22]Catatan!$F$66</definedName>
    <definedName name="DPB">[22]Catatan!$F$112</definedName>
    <definedName name="dpsrurg">[22]Catatan!$F$110</definedName>
    <definedName name="DR">[35]Rkp!$K$19</definedName>
    <definedName name="Draftman" localSheetId="21">#REF!</definedName>
    <definedName name="Draftman" localSheetId="1">#REF!</definedName>
    <definedName name="Draftman" localSheetId="0">#REF!</definedName>
    <definedName name="Draftman" localSheetId="5">#REF!</definedName>
    <definedName name="Draftman" localSheetId="6">#REF!</definedName>
    <definedName name="Draftman" localSheetId="16">#REF!</definedName>
    <definedName name="Draftman" localSheetId="7">#REF!</definedName>
    <definedName name="Draftman">#REF!</definedName>
    <definedName name="DRAINASE" localSheetId="18">#REF!</definedName>
    <definedName name="DRAINASE" localSheetId="11">#REF!</definedName>
    <definedName name="DRAINASE" localSheetId="10">#REF!</definedName>
    <definedName name="DRAINASE" localSheetId="21">#REF!</definedName>
    <definedName name="DRAINASE" localSheetId="12">#REF!</definedName>
    <definedName name="DRAINASE" localSheetId="1">#REF!</definedName>
    <definedName name="DRAINASE" localSheetId="0">#REF!</definedName>
    <definedName name="DRAINASE" localSheetId="14">#REF!</definedName>
    <definedName name="DRAINASE" localSheetId="5">#REF!</definedName>
    <definedName name="DRAINASE" localSheetId="6">#REF!</definedName>
    <definedName name="DRAINASE" localSheetId="16">#REF!</definedName>
    <definedName name="DRAINASE" localSheetId="7">#REF!</definedName>
    <definedName name="DRAINASE">#REF!</definedName>
    <definedName name="drkeet" localSheetId="18">#REF!</definedName>
    <definedName name="drkeet" localSheetId="11">#REF!</definedName>
    <definedName name="drkeet" localSheetId="10">#REF!</definedName>
    <definedName name="drkeet" localSheetId="21">#REF!</definedName>
    <definedName name="drkeet" localSheetId="12">#REF!</definedName>
    <definedName name="drkeet" localSheetId="1">#REF!</definedName>
    <definedName name="drkeet" localSheetId="0">#REF!</definedName>
    <definedName name="drkeet" localSheetId="14">#REF!</definedName>
    <definedName name="drkeet" localSheetId="5">#REF!</definedName>
    <definedName name="drkeet" localSheetId="6">#REF!</definedName>
    <definedName name="drkeet" localSheetId="16">#REF!</definedName>
    <definedName name="drkeet" localSheetId="7">#REF!</definedName>
    <definedName name="drkeet">#REF!</definedName>
    <definedName name="drumpencampur" localSheetId="18">#REF!</definedName>
    <definedName name="drumpencampur" localSheetId="21">#REF!</definedName>
    <definedName name="drumpencampur" localSheetId="1">#REF!</definedName>
    <definedName name="drumpencampur" localSheetId="0">#REF!</definedName>
    <definedName name="drumpencampur" localSheetId="5">#REF!</definedName>
    <definedName name="drumpencampur" localSheetId="6">#REF!</definedName>
    <definedName name="drumpencampur" localSheetId="16">#REF!</definedName>
    <definedName name="drumpencampur" localSheetId="7">#REF!</definedName>
    <definedName name="drumpencampur">#REF!</definedName>
    <definedName name="drumpenyemprot" localSheetId="18">#REF!</definedName>
    <definedName name="drumpenyemprot" localSheetId="21">#REF!</definedName>
    <definedName name="drumpenyemprot" localSheetId="1">#REF!</definedName>
    <definedName name="drumpenyemprot" localSheetId="0">#REF!</definedName>
    <definedName name="drumpenyemprot" localSheetId="5">#REF!</definedName>
    <definedName name="drumpenyemprot" localSheetId="6">#REF!</definedName>
    <definedName name="drumpenyemprot" localSheetId="16">#REF!</definedName>
    <definedName name="drumpenyemprot" localSheetId="7">#REF!</definedName>
    <definedName name="drumpenyemprot">#REF!</definedName>
    <definedName name="dsdsds" localSheetId="21">#REF!</definedName>
    <definedName name="dsdsds" localSheetId="1">#REF!</definedName>
    <definedName name="dsdsds" localSheetId="0">#REF!</definedName>
    <definedName name="dsdsds" localSheetId="5">#REF!</definedName>
    <definedName name="dsdsds" localSheetId="6">#REF!</definedName>
    <definedName name="dsdsds" localSheetId="16">#REF!</definedName>
    <definedName name="dsdsds" localSheetId="7">#REF!</definedName>
    <definedName name="dsdsds">#REF!</definedName>
    <definedName name="dsdw" localSheetId="18">#REF!</definedName>
    <definedName name="dsdw" localSheetId="10">#REF!</definedName>
    <definedName name="dsdw" localSheetId="21">#REF!</definedName>
    <definedName name="dsdw" localSheetId="1">#REF!</definedName>
    <definedName name="dsdw" localSheetId="0">#REF!</definedName>
    <definedName name="dsdw" localSheetId="5">#REF!</definedName>
    <definedName name="dsdw" localSheetId="6">#REF!</definedName>
    <definedName name="dsdw" localSheetId="16">#REF!</definedName>
    <definedName name="dsdw" localSheetId="7">#REF!</definedName>
    <definedName name="dsdw">#REF!</definedName>
    <definedName name="dsir">[22]Catatan!$F$81</definedName>
    <definedName name="DSN" localSheetId="21">#REF!</definedName>
    <definedName name="DSN" localSheetId="1">#REF!</definedName>
    <definedName name="DSN" localSheetId="0">#REF!</definedName>
    <definedName name="DSN" localSheetId="5">#REF!</definedName>
    <definedName name="DSN" localSheetId="6">#REF!</definedName>
    <definedName name="DSN" localSheetId="16">#REF!</definedName>
    <definedName name="DSN" localSheetId="7">#REF!</definedName>
    <definedName name="DSN">#REF!</definedName>
    <definedName name="dt" localSheetId="21">#REF!</definedName>
    <definedName name="dt" localSheetId="1">#REF!</definedName>
    <definedName name="dt" localSheetId="0">#REF!</definedName>
    <definedName name="dt" localSheetId="5">#REF!</definedName>
    <definedName name="dt" localSheetId="6">#REF!</definedName>
    <definedName name="dt" localSheetId="16">#REF!</definedName>
    <definedName name="dt" localSheetId="7">#REF!</definedName>
    <definedName name="dt">#REF!</definedName>
    <definedName name="DumpTruck" localSheetId="21">#REF!</definedName>
    <definedName name="DumpTruck" localSheetId="1">#REF!</definedName>
    <definedName name="DumpTruck" localSheetId="0">#REF!</definedName>
    <definedName name="DumpTruck" localSheetId="5">#REF!</definedName>
    <definedName name="DumpTruck" localSheetId="6">#REF!</definedName>
    <definedName name="DumpTruck" localSheetId="16">#REF!</definedName>
    <definedName name="DumpTruck" localSheetId="7">#REF!</definedName>
    <definedName name="DumpTruck">#REF!</definedName>
    <definedName name="DUMPTRUCK1">[7]Peralatan!$A$3:$J$3</definedName>
    <definedName name="DUMPTRUCK2">[7]Peralatan!$A$4:$J$62</definedName>
    <definedName name="dumptruck5ton" localSheetId="18">#REF!</definedName>
    <definedName name="dumptruck5ton" localSheetId="21">#REF!</definedName>
    <definedName name="dumptruck5ton" localSheetId="1">#REF!</definedName>
    <definedName name="dumptruck5ton" localSheetId="0">#REF!</definedName>
    <definedName name="dumptruck5ton" localSheetId="5">#REF!</definedName>
    <definedName name="dumptruck5ton" localSheetId="6">#REF!</definedName>
    <definedName name="dumptruck5ton" localSheetId="16">#REF!</definedName>
    <definedName name="dumptruck5ton" localSheetId="7">#REF!</definedName>
    <definedName name="dumptruck5ton">#REF!</definedName>
    <definedName name="e" localSheetId="18">#REF!</definedName>
    <definedName name="e" localSheetId="11">#REF!</definedName>
    <definedName name="e" localSheetId="10">#REF!</definedName>
    <definedName name="e" localSheetId="21">#REF!</definedName>
    <definedName name="e" localSheetId="12">#REF!</definedName>
    <definedName name="e" localSheetId="1">#REF!</definedName>
    <definedName name="e" localSheetId="0">#REF!</definedName>
    <definedName name="e" localSheetId="14">#REF!</definedName>
    <definedName name="e" localSheetId="5">#REF!</definedName>
    <definedName name="e" localSheetId="6">#REF!</definedName>
    <definedName name="e" localSheetId="16">#REF!</definedName>
    <definedName name="e" localSheetId="7">#REF!</definedName>
    <definedName name="e">#REF!</definedName>
    <definedName name="E.001" localSheetId="18">#REF!</definedName>
    <definedName name="E.001" localSheetId="11">#REF!</definedName>
    <definedName name="E.001" localSheetId="10">#REF!</definedName>
    <definedName name="E.001" localSheetId="21">#REF!</definedName>
    <definedName name="E.001" localSheetId="12">#REF!</definedName>
    <definedName name="E.001" localSheetId="1">#REF!</definedName>
    <definedName name="E.001" localSheetId="0">#REF!</definedName>
    <definedName name="E.001" localSheetId="14">#REF!</definedName>
    <definedName name="E.001" localSheetId="5">#REF!</definedName>
    <definedName name="E.001" localSheetId="6">#REF!</definedName>
    <definedName name="E.001" localSheetId="16">#REF!</definedName>
    <definedName name="E.001" localSheetId="7">#REF!</definedName>
    <definedName name="E.001">#REF!</definedName>
    <definedName name="e.002">'[23]Upah&amp;Bahan'!$U$205</definedName>
    <definedName name="E.010" localSheetId="18">#REF!</definedName>
    <definedName name="E.010" localSheetId="11">#REF!</definedName>
    <definedName name="E.010" localSheetId="10">#REF!</definedName>
    <definedName name="E.010" localSheetId="21">#REF!</definedName>
    <definedName name="E.010" localSheetId="12">#REF!</definedName>
    <definedName name="E.010" localSheetId="1">#REF!</definedName>
    <definedName name="E.010" localSheetId="0">#REF!</definedName>
    <definedName name="E.010" localSheetId="14">#REF!</definedName>
    <definedName name="E.010" localSheetId="5">#REF!</definedName>
    <definedName name="E.010" localSheetId="6">#REF!</definedName>
    <definedName name="E.010" localSheetId="16">#REF!</definedName>
    <definedName name="E.010" localSheetId="7">#REF!</definedName>
    <definedName name="E.010">#REF!</definedName>
    <definedName name="e.011">'[23]Upah&amp;Bahan'!$U$261</definedName>
    <definedName name="E.031" localSheetId="18">#REF!</definedName>
    <definedName name="E.031" localSheetId="11">#REF!</definedName>
    <definedName name="E.031" localSheetId="10">#REF!</definedName>
    <definedName name="E.031" localSheetId="21">#REF!</definedName>
    <definedName name="E.031" localSheetId="12">#REF!</definedName>
    <definedName name="E.031" localSheetId="1">#REF!</definedName>
    <definedName name="E.031" localSheetId="0">#REF!</definedName>
    <definedName name="E.031" localSheetId="14">#REF!</definedName>
    <definedName name="E.031" localSheetId="5">#REF!</definedName>
    <definedName name="E.031" localSheetId="6">#REF!</definedName>
    <definedName name="E.031" localSheetId="16">#REF!</definedName>
    <definedName name="E.031" localSheetId="7">#REF!</definedName>
    <definedName name="E.031">#REF!</definedName>
    <definedName name="e.032">'[23]Upah&amp;Bahan'!$U$317</definedName>
    <definedName name="E.040" localSheetId="18">#REF!</definedName>
    <definedName name="E.040" localSheetId="11">#REF!</definedName>
    <definedName name="E.040" localSheetId="10">#REF!</definedName>
    <definedName name="E.040" localSheetId="21">#REF!</definedName>
    <definedName name="E.040" localSheetId="12">#REF!</definedName>
    <definedName name="E.040" localSheetId="1">#REF!</definedName>
    <definedName name="E.040" localSheetId="0">#REF!</definedName>
    <definedName name="E.040" localSheetId="14">#REF!</definedName>
    <definedName name="E.040" localSheetId="5">#REF!</definedName>
    <definedName name="E.040" localSheetId="6">#REF!</definedName>
    <definedName name="E.040" localSheetId="16">#REF!</definedName>
    <definedName name="E.040" localSheetId="7">#REF!</definedName>
    <definedName name="E.040">#REF!</definedName>
    <definedName name="e.041">'[23]Upah&amp;Bahan'!$U$1493</definedName>
    <definedName name="e.049">'[13]Upah&amp;Bahan'!$U$1493</definedName>
    <definedName name="e.051">'[23]Upah&amp;Bahan'!$U$373</definedName>
    <definedName name="E.052" localSheetId="18">#REF!</definedName>
    <definedName name="E.052" localSheetId="11">#REF!</definedName>
    <definedName name="E.052" localSheetId="10">#REF!</definedName>
    <definedName name="E.052" localSheetId="21">#REF!</definedName>
    <definedName name="E.052" localSheetId="12">#REF!</definedName>
    <definedName name="E.052" localSheetId="1">#REF!</definedName>
    <definedName name="E.052" localSheetId="0">#REF!</definedName>
    <definedName name="E.052" localSheetId="14">#REF!</definedName>
    <definedName name="E.052" localSheetId="5">#REF!</definedName>
    <definedName name="E.052" localSheetId="6">#REF!</definedName>
    <definedName name="E.052" localSheetId="16">#REF!</definedName>
    <definedName name="E.052" localSheetId="7">#REF!</definedName>
    <definedName name="E.052">#REF!</definedName>
    <definedName name="E.053" localSheetId="18">#REF!</definedName>
    <definedName name="E.053" localSheetId="11">#REF!</definedName>
    <definedName name="E.053" localSheetId="10">#REF!</definedName>
    <definedName name="E.053" localSheetId="21">#REF!</definedName>
    <definedName name="E.053" localSheetId="12">#REF!</definedName>
    <definedName name="E.053" localSheetId="1">#REF!</definedName>
    <definedName name="E.053" localSheetId="0">#REF!</definedName>
    <definedName name="E.053" localSheetId="14">#REF!</definedName>
    <definedName name="E.053" localSheetId="5">#REF!</definedName>
    <definedName name="E.053" localSheetId="6">#REF!</definedName>
    <definedName name="E.053" localSheetId="16">#REF!</definedName>
    <definedName name="E.053" localSheetId="7">#REF!</definedName>
    <definedName name="E.053">#REF!</definedName>
    <definedName name="e.054">'[23]Upah&amp;Bahan'!$U$429</definedName>
    <definedName name="e.059">'[13]Upah&amp;Bahan'!$U$373</definedName>
    <definedName name="E.080" localSheetId="18">#REF!</definedName>
    <definedName name="E.080" localSheetId="11">#REF!</definedName>
    <definedName name="E.080" localSheetId="10">#REF!</definedName>
    <definedName name="E.080" localSheetId="21">#REF!</definedName>
    <definedName name="E.080" localSheetId="12">#REF!</definedName>
    <definedName name="E.080" localSheetId="1">#REF!</definedName>
    <definedName name="E.080" localSheetId="0">#REF!</definedName>
    <definedName name="E.080" localSheetId="14">#REF!</definedName>
    <definedName name="E.080" localSheetId="5">#REF!</definedName>
    <definedName name="E.080" localSheetId="6">#REF!</definedName>
    <definedName name="E.080" localSheetId="16">#REF!</definedName>
    <definedName name="E.080" localSheetId="7">#REF!</definedName>
    <definedName name="E.080">#REF!</definedName>
    <definedName name="E.0800">[36]BAHAN!$AH$106</definedName>
    <definedName name="E.081" localSheetId="18">#REF!</definedName>
    <definedName name="E.081" localSheetId="11">#REF!</definedName>
    <definedName name="E.081" localSheetId="10">#REF!</definedName>
    <definedName name="E.081" localSheetId="21">#REF!</definedName>
    <definedName name="E.081" localSheetId="12">#REF!</definedName>
    <definedName name="E.081" localSheetId="1">#REF!</definedName>
    <definedName name="E.081" localSheetId="0">#REF!</definedName>
    <definedName name="E.081" localSheetId="14">#REF!</definedName>
    <definedName name="E.081" localSheetId="5">#REF!</definedName>
    <definedName name="E.081" localSheetId="6">#REF!</definedName>
    <definedName name="E.081" localSheetId="16">#REF!</definedName>
    <definedName name="E.081" localSheetId="7">#REF!</definedName>
    <definedName name="E.081">#REF!</definedName>
    <definedName name="E.0810">[36]BAHAN!$AH$107</definedName>
    <definedName name="E.082" localSheetId="18">#REF!</definedName>
    <definedName name="E.082" localSheetId="11">#REF!</definedName>
    <definedName name="E.082" localSheetId="10">#REF!</definedName>
    <definedName name="E.082" localSheetId="21">#REF!</definedName>
    <definedName name="E.082" localSheetId="12">#REF!</definedName>
    <definedName name="E.082" localSheetId="1">#REF!</definedName>
    <definedName name="E.082" localSheetId="0">#REF!</definedName>
    <definedName name="E.082" localSheetId="14">#REF!</definedName>
    <definedName name="E.082" localSheetId="5">#REF!</definedName>
    <definedName name="E.082" localSheetId="6">#REF!</definedName>
    <definedName name="E.082" localSheetId="16">#REF!</definedName>
    <definedName name="E.082" localSheetId="7">#REF!</definedName>
    <definedName name="E.082">#REF!</definedName>
    <definedName name="e.083">'[23]Upah&amp;Bahan'!$U$485</definedName>
    <definedName name="E.084" localSheetId="18">#REF!</definedName>
    <definedName name="E.084" localSheetId="11">#REF!</definedName>
    <definedName name="E.084" localSheetId="10">#REF!</definedName>
    <definedName name="E.084" localSheetId="21">#REF!</definedName>
    <definedName name="E.084" localSheetId="12">#REF!</definedName>
    <definedName name="E.084" localSheetId="1">#REF!</definedName>
    <definedName name="E.084" localSheetId="0">#REF!</definedName>
    <definedName name="E.084" localSheetId="14">#REF!</definedName>
    <definedName name="E.084" localSheetId="5">#REF!</definedName>
    <definedName name="E.084" localSheetId="6">#REF!</definedName>
    <definedName name="E.084" localSheetId="16">#REF!</definedName>
    <definedName name="E.084" localSheetId="7">#REF!</definedName>
    <definedName name="E.084">#REF!</definedName>
    <definedName name="E.0840">[36]BAHAN!$AH$109</definedName>
    <definedName name="e.085">'[23]Upah&amp;Bahan'!$U$541</definedName>
    <definedName name="e.086">'[23]Upah&amp;Bahan'!$U$597</definedName>
    <definedName name="E.087" localSheetId="18">#REF!</definedName>
    <definedName name="E.087" localSheetId="11">#REF!</definedName>
    <definedName name="E.087" localSheetId="10">#REF!</definedName>
    <definedName name="E.087" localSheetId="21">#REF!</definedName>
    <definedName name="E.087" localSheetId="12">#REF!</definedName>
    <definedName name="E.087" localSheetId="1">#REF!</definedName>
    <definedName name="E.087" localSheetId="0">#REF!</definedName>
    <definedName name="E.087" localSheetId="14">#REF!</definedName>
    <definedName name="E.087" localSheetId="5">#REF!</definedName>
    <definedName name="E.087" localSheetId="6">#REF!</definedName>
    <definedName name="E.087" localSheetId="16">#REF!</definedName>
    <definedName name="E.087" localSheetId="7">#REF!</definedName>
    <definedName name="E.087">#REF!</definedName>
    <definedName name="E.088" localSheetId="18">#REF!</definedName>
    <definedName name="E.088" localSheetId="11">#REF!</definedName>
    <definedName name="E.088" localSheetId="10">#REF!</definedName>
    <definedName name="E.088" localSheetId="21">#REF!</definedName>
    <definedName name="E.088" localSheetId="12">#REF!</definedName>
    <definedName name="E.088" localSheetId="1">#REF!</definedName>
    <definedName name="E.088" localSheetId="0">#REF!</definedName>
    <definedName name="E.088" localSheetId="14">#REF!</definedName>
    <definedName name="E.088" localSheetId="5">#REF!</definedName>
    <definedName name="E.088" localSheetId="6">#REF!</definedName>
    <definedName name="E.088" localSheetId="16">#REF!</definedName>
    <definedName name="E.088" localSheetId="7">#REF!</definedName>
    <definedName name="E.088">#REF!</definedName>
    <definedName name="E.089" localSheetId="18">#REF!</definedName>
    <definedName name="E.089" localSheetId="11">#REF!</definedName>
    <definedName name="E.089" localSheetId="10">#REF!</definedName>
    <definedName name="E.089" localSheetId="21">#REF!</definedName>
    <definedName name="E.089" localSheetId="12">#REF!</definedName>
    <definedName name="E.089" localSheetId="1">#REF!</definedName>
    <definedName name="E.089" localSheetId="0">#REF!</definedName>
    <definedName name="E.089" localSheetId="14">#REF!</definedName>
    <definedName name="E.089" localSheetId="5">#REF!</definedName>
    <definedName name="E.089" localSheetId="6">#REF!</definedName>
    <definedName name="E.089" localSheetId="16">#REF!</definedName>
    <definedName name="E.089" localSheetId="7">#REF!</definedName>
    <definedName name="E.089">#REF!</definedName>
    <definedName name="E.091" localSheetId="18">#REF!</definedName>
    <definedName name="E.091" localSheetId="11">#REF!</definedName>
    <definedName name="E.091" localSheetId="10">#REF!</definedName>
    <definedName name="E.091" localSheetId="21">#REF!</definedName>
    <definedName name="E.091" localSheetId="12">#REF!</definedName>
    <definedName name="E.091" localSheetId="1">#REF!</definedName>
    <definedName name="E.091" localSheetId="0">#REF!</definedName>
    <definedName name="E.091" localSheetId="14">#REF!</definedName>
    <definedName name="E.091" localSheetId="5">#REF!</definedName>
    <definedName name="E.091" localSheetId="6">#REF!</definedName>
    <definedName name="E.091" localSheetId="16">#REF!</definedName>
    <definedName name="E.091" localSheetId="7">#REF!</definedName>
    <definedName name="E.091">#REF!</definedName>
    <definedName name="e.105">'[13]Upah&amp;Bahan'!$U$1269</definedName>
    <definedName name="e.106">'[13]Upah&amp;Bahan'!$U$1325</definedName>
    <definedName name="e.107">'[13]Upah&amp;Bahan'!$U$1381</definedName>
    <definedName name="e.108">'[13]Upah&amp;Bahan'!$U$1437</definedName>
    <definedName name="e.109" localSheetId="18">'[13]Kuantitas &amp; Harga'!#REF!</definedName>
    <definedName name="e.109" localSheetId="11">'[13]Kuantitas &amp; Harga'!#REF!</definedName>
    <definedName name="e.109" localSheetId="10">'[13]Kuantitas &amp; Harga'!#REF!</definedName>
    <definedName name="e.109" localSheetId="21">'[13]Kuantitas &amp; Harga'!#REF!</definedName>
    <definedName name="e.109" localSheetId="12">'[13]Kuantitas &amp; Harga'!#REF!</definedName>
    <definedName name="e.109" localSheetId="1">'[13]Kuantitas &amp; Harga'!#REF!</definedName>
    <definedName name="e.109" localSheetId="0">'[13]Kuantitas &amp; Harga'!#REF!</definedName>
    <definedName name="e.109" localSheetId="14">'[13]Kuantitas &amp; Harga'!#REF!</definedName>
    <definedName name="e.109" localSheetId="5">'[13]Kuantitas &amp; Harga'!#REF!</definedName>
    <definedName name="e.109" localSheetId="6">'[13]Kuantitas &amp; Harga'!#REF!</definedName>
    <definedName name="e.109" localSheetId="16">'[13]Kuantitas &amp; Harga'!#REF!</definedName>
    <definedName name="e.109" localSheetId="7">'[13]Kuantitas &amp; Harga'!#REF!</definedName>
    <definedName name="e.109">'[13]Kuantitas &amp; Harga'!#REF!</definedName>
    <definedName name="e.153">'[36]BIAYA  ALAT'!$U$1046</definedName>
    <definedName name="E.1530">[36]BAHAN!$AH$114</definedName>
    <definedName name="E.154" localSheetId="18">#REF!</definedName>
    <definedName name="E.154" localSheetId="11">#REF!</definedName>
    <definedName name="E.154" localSheetId="10">#REF!</definedName>
    <definedName name="E.154" localSheetId="21">#REF!</definedName>
    <definedName name="E.154" localSheetId="12">#REF!</definedName>
    <definedName name="E.154" localSheetId="1">#REF!</definedName>
    <definedName name="E.154" localSheetId="0">#REF!</definedName>
    <definedName name="E.154" localSheetId="14">#REF!</definedName>
    <definedName name="E.154" localSheetId="5">#REF!</definedName>
    <definedName name="E.154" localSheetId="6">#REF!</definedName>
    <definedName name="E.154" localSheetId="16">#REF!</definedName>
    <definedName name="E.154" localSheetId="7">#REF!</definedName>
    <definedName name="E.154">#REF!</definedName>
    <definedName name="E.155" localSheetId="18">#REF!</definedName>
    <definedName name="E.155" localSheetId="11">#REF!</definedName>
    <definedName name="E.155" localSheetId="10">#REF!</definedName>
    <definedName name="E.155" localSheetId="21">#REF!</definedName>
    <definedName name="E.155" localSheetId="12">#REF!</definedName>
    <definedName name="E.155" localSheetId="1">#REF!</definedName>
    <definedName name="E.155" localSheetId="0">#REF!</definedName>
    <definedName name="E.155" localSheetId="14">#REF!</definedName>
    <definedName name="E.155" localSheetId="5">#REF!</definedName>
    <definedName name="E.155" localSheetId="6">#REF!</definedName>
    <definedName name="E.155" localSheetId="16">#REF!</definedName>
    <definedName name="E.155" localSheetId="7">#REF!</definedName>
    <definedName name="E.155">#REF!</definedName>
    <definedName name="e.156">'[23]Upah&amp;Bahan'!$U$1549</definedName>
    <definedName name="E.157" localSheetId="18">#REF!</definedName>
    <definedName name="E.157" localSheetId="11">#REF!</definedName>
    <definedName name="E.157" localSheetId="10">#REF!</definedName>
    <definedName name="E.157" localSheetId="21">#REF!</definedName>
    <definedName name="E.157" localSheetId="12">#REF!</definedName>
    <definedName name="E.157" localSheetId="1">#REF!</definedName>
    <definedName name="E.157" localSheetId="0">#REF!</definedName>
    <definedName name="E.157" localSheetId="14">#REF!</definedName>
    <definedName name="E.157" localSheetId="5">#REF!</definedName>
    <definedName name="E.157" localSheetId="6">#REF!</definedName>
    <definedName name="E.157" localSheetId="16">#REF!</definedName>
    <definedName name="E.157" localSheetId="7">#REF!</definedName>
    <definedName name="E.157">#REF!</definedName>
    <definedName name="E.1570">[36]BAHAN!$AH$118</definedName>
    <definedName name="e.159" localSheetId="18">#REF!</definedName>
    <definedName name="e.159" localSheetId="11">#REF!</definedName>
    <definedName name="e.159" localSheetId="10">#REF!</definedName>
    <definedName name="e.159" localSheetId="21">#REF!</definedName>
    <definedName name="e.159" localSheetId="12">#REF!</definedName>
    <definedName name="e.159" localSheetId="1">#REF!</definedName>
    <definedName name="e.159" localSheetId="0">#REF!</definedName>
    <definedName name="e.159" localSheetId="14">#REF!</definedName>
    <definedName name="e.159" localSheetId="5">#REF!</definedName>
    <definedName name="e.159" localSheetId="6">#REF!</definedName>
    <definedName name="e.159" localSheetId="16">#REF!</definedName>
    <definedName name="e.159" localSheetId="7">#REF!</definedName>
    <definedName name="e.159">#REF!</definedName>
    <definedName name="E.182" localSheetId="18">#REF!</definedName>
    <definedName name="E.182" localSheetId="11">#REF!</definedName>
    <definedName name="E.182" localSheetId="10">#REF!</definedName>
    <definedName name="E.182" localSheetId="21">#REF!</definedName>
    <definedName name="E.182" localSheetId="12">#REF!</definedName>
    <definedName name="E.182" localSheetId="1">#REF!</definedName>
    <definedName name="E.182" localSheetId="0">#REF!</definedName>
    <definedName name="E.182" localSheetId="14">#REF!</definedName>
    <definedName name="E.182" localSheetId="5">#REF!</definedName>
    <definedName name="E.182" localSheetId="6">#REF!</definedName>
    <definedName name="E.182" localSheetId="16">#REF!</definedName>
    <definedName name="E.182" localSheetId="7">#REF!</definedName>
    <definedName name="E.182">#REF!</definedName>
    <definedName name="e.190" localSheetId="18">#REF!</definedName>
    <definedName name="e.190" localSheetId="11">#REF!</definedName>
    <definedName name="e.190" localSheetId="10">#REF!</definedName>
    <definedName name="e.190" localSheetId="21">#REF!</definedName>
    <definedName name="e.190" localSheetId="12">#REF!</definedName>
    <definedName name="e.190" localSheetId="1">#REF!</definedName>
    <definedName name="e.190" localSheetId="0">#REF!</definedName>
    <definedName name="e.190" localSheetId="14">#REF!</definedName>
    <definedName name="e.190" localSheetId="5">#REF!</definedName>
    <definedName name="e.190" localSheetId="6">#REF!</definedName>
    <definedName name="e.190" localSheetId="16">#REF!</definedName>
    <definedName name="e.190" localSheetId="7">#REF!</definedName>
    <definedName name="e.190">#REF!</definedName>
    <definedName name="E.2" localSheetId="18">#REF!</definedName>
    <definedName name="E.2" localSheetId="11">#REF!</definedName>
    <definedName name="E.2" localSheetId="10">#REF!</definedName>
    <definedName name="E.2" localSheetId="21">#REF!</definedName>
    <definedName name="E.2" localSheetId="12">#REF!</definedName>
    <definedName name="E.2" localSheetId="1">#REF!</definedName>
    <definedName name="E.2" localSheetId="0">#REF!</definedName>
    <definedName name="E.2" localSheetId="14">#REF!</definedName>
    <definedName name="E.2" localSheetId="5">#REF!</definedName>
    <definedName name="E.2" localSheetId="6">#REF!</definedName>
    <definedName name="E.2" localSheetId="16">#REF!</definedName>
    <definedName name="E.2" localSheetId="7">#REF!</definedName>
    <definedName name="E.2">#REF!</definedName>
    <definedName name="e.211" localSheetId="18">#REF!</definedName>
    <definedName name="e.211" localSheetId="11">#REF!</definedName>
    <definedName name="e.211" localSheetId="10">#REF!</definedName>
    <definedName name="e.211" localSheetId="21">#REF!</definedName>
    <definedName name="e.211" localSheetId="12">#REF!</definedName>
    <definedName name="e.211" localSheetId="1">#REF!</definedName>
    <definedName name="e.211" localSheetId="0">#REF!</definedName>
    <definedName name="e.211" localSheetId="14">#REF!</definedName>
    <definedName name="e.211" localSheetId="5">#REF!</definedName>
    <definedName name="e.211" localSheetId="6">#REF!</definedName>
    <definedName name="e.211" localSheetId="16">#REF!</definedName>
    <definedName name="e.211" localSheetId="7">#REF!</definedName>
    <definedName name="e.211">#REF!</definedName>
    <definedName name="E.212" localSheetId="18">#REF!</definedName>
    <definedName name="E.212" localSheetId="11">#REF!</definedName>
    <definedName name="E.212" localSheetId="10">#REF!</definedName>
    <definedName name="E.212" localSheetId="21">#REF!</definedName>
    <definedName name="E.212" localSheetId="12">#REF!</definedName>
    <definedName name="E.212" localSheetId="1">#REF!</definedName>
    <definedName name="E.212" localSheetId="0">#REF!</definedName>
    <definedName name="E.212" localSheetId="14">#REF!</definedName>
    <definedName name="E.212" localSheetId="5">#REF!</definedName>
    <definedName name="E.212" localSheetId="6">#REF!</definedName>
    <definedName name="E.212" localSheetId="16">#REF!</definedName>
    <definedName name="E.212" localSheetId="7">#REF!</definedName>
    <definedName name="E.212">#REF!</definedName>
    <definedName name="E.213" localSheetId="18">#REF!</definedName>
    <definedName name="E.213" localSheetId="11">#REF!</definedName>
    <definedName name="E.213" localSheetId="10">#REF!</definedName>
    <definedName name="E.213" localSheetId="21">#REF!</definedName>
    <definedName name="E.213" localSheetId="12">#REF!</definedName>
    <definedName name="E.213" localSheetId="1">#REF!</definedName>
    <definedName name="E.213" localSheetId="0">#REF!</definedName>
    <definedName name="E.213" localSheetId="14">#REF!</definedName>
    <definedName name="E.213" localSheetId="5">#REF!</definedName>
    <definedName name="E.213" localSheetId="6">#REF!</definedName>
    <definedName name="E.213" localSheetId="16">#REF!</definedName>
    <definedName name="E.213" localSheetId="7">#REF!</definedName>
    <definedName name="E.213">#REF!</definedName>
    <definedName name="e.214" localSheetId="18">#REF!</definedName>
    <definedName name="e.214" localSheetId="11">#REF!</definedName>
    <definedName name="e.214" localSheetId="10">#REF!</definedName>
    <definedName name="e.214" localSheetId="21">#REF!</definedName>
    <definedName name="e.214" localSheetId="12">#REF!</definedName>
    <definedName name="e.214" localSheetId="1">#REF!</definedName>
    <definedName name="e.214" localSheetId="0">#REF!</definedName>
    <definedName name="e.214" localSheetId="14">#REF!</definedName>
    <definedName name="e.214" localSheetId="5">#REF!</definedName>
    <definedName name="e.214" localSheetId="6">#REF!</definedName>
    <definedName name="e.214" localSheetId="16">#REF!</definedName>
    <definedName name="e.214" localSheetId="7">#REF!</definedName>
    <definedName name="e.214">#REF!</definedName>
    <definedName name="E.221" localSheetId="18">#REF!</definedName>
    <definedName name="E.221" localSheetId="11">#REF!</definedName>
    <definedName name="E.221" localSheetId="10">#REF!</definedName>
    <definedName name="E.221" localSheetId="21">#REF!</definedName>
    <definedName name="E.221" localSheetId="12">#REF!</definedName>
    <definedName name="E.221" localSheetId="1">#REF!</definedName>
    <definedName name="E.221" localSheetId="0">#REF!</definedName>
    <definedName name="E.221" localSheetId="14">#REF!</definedName>
    <definedName name="E.221" localSheetId="5">#REF!</definedName>
    <definedName name="E.221" localSheetId="6">#REF!</definedName>
    <definedName name="E.221" localSheetId="16">#REF!</definedName>
    <definedName name="E.221" localSheetId="7">#REF!</definedName>
    <definedName name="E.221">#REF!</definedName>
    <definedName name="e.225" localSheetId="18">#REF!</definedName>
    <definedName name="e.225" localSheetId="11">#REF!</definedName>
    <definedName name="e.225" localSheetId="10">#REF!</definedName>
    <definedName name="e.225" localSheetId="21">#REF!</definedName>
    <definedName name="e.225" localSheetId="12">#REF!</definedName>
    <definedName name="e.225" localSheetId="1">#REF!</definedName>
    <definedName name="e.225" localSheetId="0">#REF!</definedName>
    <definedName name="e.225" localSheetId="14">#REF!</definedName>
    <definedName name="e.225" localSheetId="5">#REF!</definedName>
    <definedName name="e.225" localSheetId="6">#REF!</definedName>
    <definedName name="e.225" localSheetId="16">#REF!</definedName>
    <definedName name="e.225" localSheetId="7">#REF!</definedName>
    <definedName name="e.225">#REF!</definedName>
    <definedName name="E.251" localSheetId="18">#REF!</definedName>
    <definedName name="E.251" localSheetId="11">#REF!</definedName>
    <definedName name="E.251" localSheetId="10">#REF!</definedName>
    <definedName name="E.251" localSheetId="21">#REF!</definedName>
    <definedName name="E.251" localSheetId="12">#REF!</definedName>
    <definedName name="E.251" localSheetId="1">#REF!</definedName>
    <definedName name="E.251" localSheetId="0">#REF!</definedName>
    <definedName name="E.251" localSheetId="14">#REF!</definedName>
    <definedName name="E.251" localSheetId="5">#REF!</definedName>
    <definedName name="E.251" localSheetId="6">#REF!</definedName>
    <definedName name="E.251" localSheetId="16">#REF!</definedName>
    <definedName name="E.251" localSheetId="7">#REF!</definedName>
    <definedName name="E.251">#REF!</definedName>
    <definedName name="E.252" localSheetId="18">#REF!</definedName>
    <definedName name="E.252" localSheetId="11">#REF!</definedName>
    <definedName name="E.252" localSheetId="10">#REF!</definedName>
    <definedName name="E.252" localSheetId="21">#REF!</definedName>
    <definedName name="E.252" localSheetId="12">#REF!</definedName>
    <definedName name="E.252" localSheetId="1">#REF!</definedName>
    <definedName name="E.252" localSheetId="0">#REF!</definedName>
    <definedName name="E.252" localSheetId="14">#REF!</definedName>
    <definedName name="E.252" localSheetId="5">#REF!</definedName>
    <definedName name="E.252" localSheetId="6">#REF!</definedName>
    <definedName name="E.252" localSheetId="16">#REF!</definedName>
    <definedName name="E.252" localSheetId="7">#REF!</definedName>
    <definedName name="E.252">#REF!</definedName>
    <definedName name="E.253" localSheetId="18">#REF!</definedName>
    <definedName name="E.253" localSheetId="11">#REF!</definedName>
    <definedName name="E.253" localSheetId="10">#REF!</definedName>
    <definedName name="E.253" localSheetId="21">#REF!</definedName>
    <definedName name="E.253" localSheetId="12">#REF!</definedName>
    <definedName name="E.253" localSheetId="1">#REF!</definedName>
    <definedName name="E.253" localSheetId="0">#REF!</definedName>
    <definedName name="E.253" localSheetId="14">#REF!</definedName>
    <definedName name="E.253" localSheetId="5">#REF!</definedName>
    <definedName name="E.253" localSheetId="6">#REF!</definedName>
    <definedName name="E.253" localSheetId="16">#REF!</definedName>
    <definedName name="E.253" localSheetId="7">#REF!</definedName>
    <definedName name="E.253">#REF!</definedName>
    <definedName name="e.254" localSheetId="18">#REF!</definedName>
    <definedName name="e.254" localSheetId="11">#REF!</definedName>
    <definedName name="e.254" localSheetId="10">#REF!</definedName>
    <definedName name="e.254" localSheetId="21">#REF!</definedName>
    <definedName name="e.254" localSheetId="12">#REF!</definedName>
    <definedName name="e.254" localSheetId="1">#REF!</definedName>
    <definedName name="e.254" localSheetId="0">#REF!</definedName>
    <definedName name="e.254" localSheetId="14">#REF!</definedName>
    <definedName name="e.254" localSheetId="5">#REF!</definedName>
    <definedName name="e.254" localSheetId="6">#REF!</definedName>
    <definedName name="e.254" localSheetId="16">#REF!</definedName>
    <definedName name="e.254" localSheetId="7">#REF!</definedName>
    <definedName name="e.254">#REF!</definedName>
    <definedName name="e.255" localSheetId="18">#REF!</definedName>
    <definedName name="e.255" localSheetId="11">#REF!</definedName>
    <definedName name="e.255" localSheetId="10">#REF!</definedName>
    <definedName name="e.255" localSheetId="21">#REF!</definedName>
    <definedName name="e.255" localSheetId="12">#REF!</definedName>
    <definedName name="e.255" localSheetId="1">#REF!</definedName>
    <definedName name="e.255" localSheetId="0">#REF!</definedName>
    <definedName name="e.255" localSheetId="14">#REF!</definedName>
    <definedName name="e.255" localSheetId="5">#REF!</definedName>
    <definedName name="e.255" localSheetId="6">#REF!</definedName>
    <definedName name="e.255" localSheetId="16">#REF!</definedName>
    <definedName name="e.255" localSheetId="7">#REF!</definedName>
    <definedName name="e.255">#REF!</definedName>
    <definedName name="e.258" localSheetId="18">#REF!</definedName>
    <definedName name="e.258" localSheetId="11">#REF!</definedName>
    <definedName name="e.258" localSheetId="10">#REF!</definedName>
    <definedName name="e.258" localSheetId="21">#REF!</definedName>
    <definedName name="e.258" localSheetId="12">#REF!</definedName>
    <definedName name="e.258" localSheetId="1">#REF!</definedName>
    <definedName name="e.258" localSheetId="0">#REF!</definedName>
    <definedName name="e.258" localSheetId="14">#REF!</definedName>
    <definedName name="e.258" localSheetId="5">#REF!</definedName>
    <definedName name="e.258" localSheetId="6">#REF!</definedName>
    <definedName name="e.258" localSheetId="16">#REF!</definedName>
    <definedName name="e.258" localSheetId="7">#REF!</definedName>
    <definedName name="e.258">#REF!</definedName>
    <definedName name="e.259" localSheetId="18">#REF!</definedName>
    <definedName name="e.259" localSheetId="11">#REF!</definedName>
    <definedName name="e.259" localSheetId="10">#REF!</definedName>
    <definedName name="e.259" localSheetId="21">#REF!</definedName>
    <definedName name="e.259" localSheetId="12">#REF!</definedName>
    <definedName name="e.259" localSheetId="1">#REF!</definedName>
    <definedName name="e.259" localSheetId="0">#REF!</definedName>
    <definedName name="e.259" localSheetId="14">#REF!</definedName>
    <definedName name="e.259" localSheetId="5">#REF!</definedName>
    <definedName name="e.259" localSheetId="6">#REF!</definedName>
    <definedName name="e.259" localSheetId="16">#REF!</definedName>
    <definedName name="e.259" localSheetId="7">#REF!</definedName>
    <definedName name="e.259">#REF!</definedName>
    <definedName name="E.301" localSheetId="18">#REF!</definedName>
    <definedName name="E.301" localSheetId="11">#REF!</definedName>
    <definedName name="E.301" localSheetId="10">#REF!</definedName>
    <definedName name="E.301" localSheetId="21">#REF!</definedName>
    <definedName name="E.301" localSheetId="12">#REF!</definedName>
    <definedName name="E.301" localSheetId="1">#REF!</definedName>
    <definedName name="E.301" localSheetId="0">#REF!</definedName>
    <definedName name="E.301" localSheetId="14">#REF!</definedName>
    <definedName name="E.301" localSheetId="5">#REF!</definedName>
    <definedName name="E.301" localSheetId="6">#REF!</definedName>
    <definedName name="E.301" localSheetId="16">#REF!</definedName>
    <definedName name="E.301" localSheetId="7">#REF!</definedName>
    <definedName name="E.301">#REF!</definedName>
    <definedName name="E.3010">[36]BAHAN!$AH$128</definedName>
    <definedName name="E.341" localSheetId="18">#REF!</definedName>
    <definedName name="E.341" localSheetId="11">#REF!</definedName>
    <definedName name="E.341" localSheetId="10">#REF!</definedName>
    <definedName name="E.341" localSheetId="21">#REF!</definedName>
    <definedName name="E.341" localSheetId="12">#REF!</definedName>
    <definedName name="E.341" localSheetId="1">#REF!</definedName>
    <definedName name="E.341" localSheetId="0">#REF!</definedName>
    <definedName name="E.341" localSheetId="14">#REF!</definedName>
    <definedName name="E.341" localSheetId="5">#REF!</definedName>
    <definedName name="E.341" localSheetId="6">#REF!</definedName>
    <definedName name="E.341" localSheetId="16">#REF!</definedName>
    <definedName name="E.341" localSheetId="7">#REF!</definedName>
    <definedName name="E.341">#REF!</definedName>
    <definedName name="E.401" localSheetId="18">#REF!</definedName>
    <definedName name="E.401" localSheetId="11">#REF!</definedName>
    <definedName name="E.401" localSheetId="10">#REF!</definedName>
    <definedName name="E.401" localSheetId="21">#REF!</definedName>
    <definedName name="E.401" localSheetId="12">#REF!</definedName>
    <definedName name="E.401" localSheetId="1">#REF!</definedName>
    <definedName name="E.401" localSheetId="0">#REF!</definedName>
    <definedName name="E.401" localSheetId="14">#REF!</definedName>
    <definedName name="E.401" localSheetId="5">#REF!</definedName>
    <definedName name="E.401" localSheetId="6">#REF!</definedName>
    <definedName name="E.401" localSheetId="16">#REF!</definedName>
    <definedName name="E.401" localSheetId="7">#REF!</definedName>
    <definedName name="E.401">#REF!</definedName>
    <definedName name="e.402" localSheetId="18">#REF!</definedName>
    <definedName name="e.402" localSheetId="11">#REF!</definedName>
    <definedName name="e.402" localSheetId="10">#REF!</definedName>
    <definedName name="e.402" localSheetId="21">#REF!</definedName>
    <definedName name="e.402" localSheetId="12">#REF!</definedName>
    <definedName name="e.402" localSheetId="1">#REF!</definedName>
    <definedName name="e.402" localSheetId="0">#REF!</definedName>
    <definedName name="e.402" localSheetId="14">#REF!</definedName>
    <definedName name="e.402" localSheetId="5">#REF!</definedName>
    <definedName name="e.402" localSheetId="6">#REF!</definedName>
    <definedName name="e.402" localSheetId="16">#REF!</definedName>
    <definedName name="e.402" localSheetId="7">#REF!</definedName>
    <definedName name="e.402">#REF!</definedName>
    <definedName name="e.500" localSheetId="11">'[13]Kuantitas &amp; Harga'!#REF!</definedName>
    <definedName name="e.500" localSheetId="10">'[13]Kuantitas &amp; Harga'!#REF!</definedName>
    <definedName name="e.500" localSheetId="21">'[13]Kuantitas &amp; Harga'!#REF!</definedName>
    <definedName name="e.500" localSheetId="12">'[13]Kuantitas &amp; Harga'!#REF!</definedName>
    <definedName name="e.500" localSheetId="1">'[13]Kuantitas &amp; Harga'!#REF!</definedName>
    <definedName name="e.500" localSheetId="0">'[13]Kuantitas &amp; Harga'!#REF!</definedName>
    <definedName name="e.500" localSheetId="14">'[13]Kuantitas &amp; Harga'!#REF!</definedName>
    <definedName name="e.500" localSheetId="5">'[13]Kuantitas &amp; Harga'!#REF!</definedName>
    <definedName name="e.500" localSheetId="6">'[13]Kuantitas &amp; Harga'!#REF!</definedName>
    <definedName name="e.500" localSheetId="16">'[13]Kuantitas &amp; Harga'!#REF!</definedName>
    <definedName name="e.500" localSheetId="7">'[13]Kuantitas &amp; Harga'!#REF!</definedName>
    <definedName name="e.500">'[13]Kuantitas &amp; Harga'!#REF!</definedName>
    <definedName name="e.58">'[13]Upah&amp;Bahan'!$U$429</definedName>
    <definedName name="e.90">'[13]Upah&amp;Bahan'!$U$709</definedName>
    <definedName name="e.91">'[13]Upah&amp;Bahan'!$U$765</definedName>
    <definedName name="e.92">'[13]Upah&amp;Bahan'!$U$821</definedName>
    <definedName name="e.93">'[13]Upah&amp;Bahan'!$U$1672</definedName>
    <definedName name="e.94">'[13]Upah&amp;Bahan'!$U$877</definedName>
    <definedName name="e.97">'[13]Upah&amp;Bahan'!$U$1549</definedName>
    <definedName name="e.98">'[13]Upah&amp;Bahan'!$U$933</definedName>
    <definedName name="e.99">'[13]Upah&amp;Bahan'!$U$989</definedName>
    <definedName name="e.kamu">'[13]Upah&amp;Bahan'!$U$485</definedName>
    <definedName name="e.kemana">'[13]Upah&amp;Bahan'!$U$597</definedName>
    <definedName name="e.mau">'[13]Upah&amp;Bahan'!$U$541</definedName>
    <definedName name="e.syal">'[13]Upah&amp;Bahan'!$U$653</definedName>
    <definedName name="ecrazy">'[23]Upah&amp;Bahan'!$U$877</definedName>
    <definedName name="EDE" localSheetId="21">#REF!</definedName>
    <definedName name="EDE" localSheetId="1">#REF!</definedName>
    <definedName name="EDE" localSheetId="0">#REF!</definedName>
    <definedName name="EDE" localSheetId="5">#REF!</definedName>
    <definedName name="EDE" localSheetId="6">#REF!</definedName>
    <definedName name="EDE" localSheetId="16">#REF!</definedName>
    <definedName name="EDE" localSheetId="7">#REF!</definedName>
    <definedName name="EDE">#REF!</definedName>
    <definedName name="EEEO12">[5]alat!$AW$14</definedName>
    <definedName name="EES" localSheetId="21">#REF!</definedName>
    <definedName name="EES" localSheetId="1">#REF!</definedName>
    <definedName name="EES" localSheetId="0">#REF!</definedName>
    <definedName name="EES" localSheetId="5">#REF!</definedName>
    <definedName name="EES" localSheetId="6">#REF!</definedName>
    <definedName name="EES" localSheetId="16">#REF!</definedName>
    <definedName name="EES" localSheetId="7">#REF!</definedName>
    <definedName name="EES">#REF!</definedName>
    <definedName name="ember" localSheetId="18">#REF!</definedName>
    <definedName name="ember" localSheetId="11">#REF!</definedName>
    <definedName name="ember" localSheetId="10">#REF!</definedName>
    <definedName name="ember" localSheetId="21">#REF!</definedName>
    <definedName name="ember" localSheetId="12">#REF!</definedName>
    <definedName name="ember" localSheetId="1">#REF!</definedName>
    <definedName name="ember" localSheetId="0">#REF!</definedName>
    <definedName name="ember" localSheetId="14">#REF!</definedName>
    <definedName name="ember" localSheetId="5">#REF!</definedName>
    <definedName name="ember" localSheetId="6">#REF!</definedName>
    <definedName name="ember" localSheetId="16">#REF!</definedName>
    <definedName name="ember" localSheetId="7">#REF!</definedName>
    <definedName name="ember">#REF!</definedName>
    <definedName name="Engsel" localSheetId="18">[24]cover!#REF!</definedName>
    <definedName name="Engsel" localSheetId="10">[24]cover!#REF!</definedName>
    <definedName name="Engsel" localSheetId="21">[24]cover!#REF!</definedName>
    <definedName name="Engsel" localSheetId="1">[24]cover!#REF!</definedName>
    <definedName name="Engsel" localSheetId="0">[24]cover!#REF!</definedName>
    <definedName name="Engsel" localSheetId="5">[24]cover!#REF!</definedName>
    <definedName name="Engsel" localSheetId="6">[24]cover!#REF!</definedName>
    <definedName name="Engsel" localSheetId="16">[24]cover!#REF!</definedName>
    <definedName name="Engsel" localSheetId="7">[24]cover!#REF!</definedName>
    <definedName name="Engsel">[24]cover!#REF!</definedName>
    <definedName name="engseljendela" localSheetId="18">[24]cover!#REF!</definedName>
    <definedName name="engseljendela" localSheetId="10">[24]cover!#REF!</definedName>
    <definedName name="engseljendela" localSheetId="21">[24]cover!#REF!</definedName>
    <definedName name="engseljendela" localSheetId="1">[24]cover!#REF!</definedName>
    <definedName name="engseljendela" localSheetId="0">[24]cover!#REF!</definedName>
    <definedName name="engseljendela" localSheetId="5">[24]cover!#REF!</definedName>
    <definedName name="engseljendela" localSheetId="6">[24]cover!#REF!</definedName>
    <definedName name="engseljendela" localSheetId="16">[24]cover!#REF!</definedName>
    <definedName name="engseljendela" localSheetId="7">[24]cover!#REF!</definedName>
    <definedName name="engseljendela">[24]cover!#REF!</definedName>
    <definedName name="Engselpintu" localSheetId="18">[24]cover!#REF!</definedName>
    <definedName name="Engselpintu" localSheetId="10">[24]cover!#REF!</definedName>
    <definedName name="Engselpintu" localSheetId="21">[24]cover!#REF!</definedName>
    <definedName name="Engselpintu" localSheetId="1">[24]cover!#REF!</definedName>
    <definedName name="Engselpintu" localSheetId="0">[24]cover!#REF!</definedName>
    <definedName name="Engselpintu" localSheetId="5">[24]cover!#REF!</definedName>
    <definedName name="Engselpintu" localSheetId="6">[24]cover!#REF!</definedName>
    <definedName name="Engselpintu" localSheetId="16">[24]cover!#REF!</definedName>
    <definedName name="Engselpintu" localSheetId="7">[24]cover!#REF!</definedName>
    <definedName name="Engselpintu">[24]cover!#REF!</definedName>
    <definedName name="ENNS" localSheetId="21">#REF!</definedName>
    <definedName name="ENNS" localSheetId="1">#REF!</definedName>
    <definedName name="ENNS" localSheetId="0">#REF!</definedName>
    <definedName name="ENNS" localSheetId="5">#REF!</definedName>
    <definedName name="ENNS" localSheetId="6">#REF!</definedName>
    <definedName name="ENNS" localSheetId="16">#REF!</definedName>
    <definedName name="ENNS" localSheetId="7">#REF!</definedName>
    <definedName name="ENNS">#REF!</definedName>
    <definedName name="ENSN" localSheetId="21">#REF!</definedName>
    <definedName name="ENSN" localSheetId="1">#REF!</definedName>
    <definedName name="ENSN" localSheetId="0">#REF!</definedName>
    <definedName name="ENSN" localSheetId="5">#REF!</definedName>
    <definedName name="ENSN" localSheetId="6">#REF!</definedName>
    <definedName name="ENSN" localSheetId="16">#REF!</definedName>
    <definedName name="ENSN" localSheetId="7">#REF!</definedName>
    <definedName name="ENSN">#REF!</definedName>
    <definedName name="ES" localSheetId="21">#REF!</definedName>
    <definedName name="ES" localSheetId="1">#REF!</definedName>
    <definedName name="ES" localSheetId="0">#REF!</definedName>
    <definedName name="ES" localSheetId="5">#REF!</definedName>
    <definedName name="ES" localSheetId="6">#REF!</definedName>
    <definedName name="ES" localSheetId="16">#REF!</definedName>
    <definedName name="ES" localSheetId="7">#REF!</definedName>
    <definedName name="ES">#REF!</definedName>
    <definedName name="ESS" localSheetId="21">#REF!</definedName>
    <definedName name="ESS" localSheetId="1">#REF!</definedName>
    <definedName name="ESS" localSheetId="0">#REF!</definedName>
    <definedName name="ESS" localSheetId="5">#REF!</definedName>
    <definedName name="ESS" localSheetId="6">#REF!</definedName>
    <definedName name="ESS" localSheetId="16">#REF!</definedName>
    <definedName name="ESS" localSheetId="7">#REF!</definedName>
    <definedName name="ESS">#REF!</definedName>
    <definedName name="EST" localSheetId="21">#REF!</definedName>
    <definedName name="EST" localSheetId="1">#REF!</definedName>
    <definedName name="EST" localSheetId="0">#REF!</definedName>
    <definedName name="EST" localSheetId="5">#REF!</definedName>
    <definedName name="EST" localSheetId="6">#REF!</definedName>
    <definedName name="EST" localSheetId="16">#REF!</definedName>
    <definedName name="EST" localSheetId="7">#REF!</definedName>
    <definedName name="EST">#REF!</definedName>
    <definedName name="ex" localSheetId="21">'[10]HSP Alat'!#REF!</definedName>
    <definedName name="ex" localSheetId="1">'[10]HSP Alat'!#REF!</definedName>
    <definedName name="ex" localSheetId="0">'[10]HSP Alat'!#REF!</definedName>
    <definedName name="ex" localSheetId="5">'[10]HSP Alat'!#REF!</definedName>
    <definedName name="ex" localSheetId="6">'[10]HSP Alat'!#REF!</definedName>
    <definedName name="ex" localSheetId="16">'[10]HSP Alat'!#REF!</definedName>
    <definedName name="ex" localSheetId="7">'[10]HSP Alat'!#REF!</definedName>
    <definedName name="ex">'[10]HSP Alat'!#REF!</definedName>
    <definedName name="Exc">'[14]Analisa AB'!$H$62</definedName>
    <definedName name="Excavator" localSheetId="21">#REF!</definedName>
    <definedName name="Excavator" localSheetId="1">#REF!</definedName>
    <definedName name="Excavator" localSheetId="0">#REF!</definedName>
    <definedName name="Excavator" localSheetId="5">#REF!</definedName>
    <definedName name="Excavator" localSheetId="6">#REF!</definedName>
    <definedName name="Excavator" localSheetId="16">#REF!</definedName>
    <definedName name="Excavator" localSheetId="7">#REF!</definedName>
    <definedName name="Excavator">#REF!</definedName>
    <definedName name="f">'[23]Upah&amp;Bahan'!$U$1612</definedName>
    <definedName name="F.1" localSheetId="18">#REF!</definedName>
    <definedName name="F.1" localSheetId="11">#REF!</definedName>
    <definedName name="F.1" localSheetId="10">#REF!</definedName>
    <definedName name="F.1" localSheetId="21">#REF!</definedName>
    <definedName name="F.1" localSheetId="12">#REF!</definedName>
    <definedName name="F.1" localSheetId="1">#REF!</definedName>
    <definedName name="F.1" localSheetId="0">#REF!</definedName>
    <definedName name="F.1" localSheetId="14">#REF!</definedName>
    <definedName name="F.1" localSheetId="5">#REF!</definedName>
    <definedName name="F.1" localSheetId="6">#REF!</definedName>
    <definedName name="F.1" localSheetId="16">#REF!</definedName>
    <definedName name="F.1" localSheetId="7">#REF!</definedName>
    <definedName name="F.1">#REF!</definedName>
    <definedName name="F.1A" localSheetId="18">#REF!</definedName>
    <definedName name="F.1A" localSheetId="11">#REF!</definedName>
    <definedName name="F.1A" localSheetId="10">#REF!</definedName>
    <definedName name="F.1A" localSheetId="21">#REF!</definedName>
    <definedName name="F.1A" localSheetId="12">#REF!</definedName>
    <definedName name="F.1A" localSheetId="1">#REF!</definedName>
    <definedName name="F.1A" localSheetId="0">#REF!</definedName>
    <definedName name="F.1A" localSheetId="14">#REF!</definedName>
    <definedName name="F.1A" localSheetId="5">#REF!</definedName>
    <definedName name="F.1A" localSheetId="6">#REF!</definedName>
    <definedName name="F.1A" localSheetId="16">#REF!</definedName>
    <definedName name="F.1A" localSheetId="7">#REF!</definedName>
    <definedName name="F.1A">#REF!</definedName>
    <definedName name="f.1b" localSheetId="18">#REF!</definedName>
    <definedName name="f.1b" localSheetId="10">#REF!</definedName>
    <definedName name="f.1b" localSheetId="21">#REF!</definedName>
    <definedName name="f.1b" localSheetId="1">#REF!</definedName>
    <definedName name="f.1b" localSheetId="0">#REF!</definedName>
    <definedName name="f.1b" localSheetId="5">#REF!</definedName>
    <definedName name="f.1b" localSheetId="6">#REF!</definedName>
    <definedName name="f.1b" localSheetId="16">#REF!</definedName>
    <definedName name="f.1b" localSheetId="7">#REF!</definedName>
    <definedName name="f.1b">#REF!</definedName>
    <definedName name="F.1c" localSheetId="18">#REF!</definedName>
    <definedName name="F.1c" localSheetId="10">#REF!</definedName>
    <definedName name="F.1c" localSheetId="21">#REF!</definedName>
    <definedName name="F.1c" localSheetId="1">#REF!</definedName>
    <definedName name="F.1c" localSheetId="0">#REF!</definedName>
    <definedName name="F.1c" localSheetId="5">#REF!</definedName>
    <definedName name="F.1c" localSheetId="6">#REF!</definedName>
    <definedName name="F.1c" localSheetId="16">#REF!</definedName>
    <definedName name="F.1c" localSheetId="7">#REF!</definedName>
    <definedName name="F.1c">#REF!</definedName>
    <definedName name="F.1d" localSheetId="18">#REF!</definedName>
    <definedName name="F.1d" localSheetId="10">#REF!</definedName>
    <definedName name="F.1d" localSheetId="21">#REF!</definedName>
    <definedName name="F.1d" localSheetId="1">#REF!</definedName>
    <definedName name="F.1d" localSheetId="0">#REF!</definedName>
    <definedName name="F.1d" localSheetId="5">#REF!</definedName>
    <definedName name="F.1d" localSheetId="6">#REF!</definedName>
    <definedName name="F.1d" localSheetId="16">#REF!</definedName>
    <definedName name="F.1d" localSheetId="7">#REF!</definedName>
    <definedName name="F.1d">#REF!</definedName>
    <definedName name="F.21" localSheetId="18">#REF!</definedName>
    <definedName name="F.21" localSheetId="10">#REF!</definedName>
    <definedName name="F.21" localSheetId="21">#REF!</definedName>
    <definedName name="F.21" localSheetId="1">#REF!</definedName>
    <definedName name="F.21" localSheetId="0">#REF!</definedName>
    <definedName name="F.21" localSheetId="5">#REF!</definedName>
    <definedName name="F.21" localSheetId="6">#REF!</definedName>
    <definedName name="F.21" localSheetId="16">#REF!</definedName>
    <definedName name="F.21" localSheetId="7">#REF!</definedName>
    <definedName name="F.21">#REF!</definedName>
    <definedName name="F.21A" localSheetId="18">#REF!</definedName>
    <definedName name="F.21A" localSheetId="11">#REF!</definedName>
    <definedName name="F.21A" localSheetId="10">#REF!</definedName>
    <definedName name="F.21A" localSheetId="21">#REF!</definedName>
    <definedName name="F.21A" localSheetId="12">#REF!</definedName>
    <definedName name="F.21A" localSheetId="1">#REF!</definedName>
    <definedName name="F.21A" localSheetId="0">#REF!</definedName>
    <definedName name="F.21A" localSheetId="14">#REF!</definedName>
    <definedName name="F.21A" localSheetId="5">#REF!</definedName>
    <definedName name="F.21A" localSheetId="6">#REF!</definedName>
    <definedName name="F.21A" localSheetId="16">#REF!</definedName>
    <definedName name="F.21A" localSheetId="7">#REF!</definedName>
    <definedName name="F.21A">#REF!</definedName>
    <definedName name="F.22" localSheetId="18">#REF!</definedName>
    <definedName name="F.22" localSheetId="10">#REF!</definedName>
    <definedName name="F.22" localSheetId="21">#REF!</definedName>
    <definedName name="F.22" localSheetId="1">#REF!</definedName>
    <definedName name="F.22" localSheetId="0">#REF!</definedName>
    <definedName name="F.22" localSheetId="5">#REF!</definedName>
    <definedName name="F.22" localSheetId="6">#REF!</definedName>
    <definedName name="F.22" localSheetId="16">#REF!</definedName>
    <definedName name="F.22" localSheetId="7">#REF!</definedName>
    <definedName name="F.22">#REF!</definedName>
    <definedName name="F.26" localSheetId="18">#REF!</definedName>
    <definedName name="F.26" localSheetId="10">#REF!</definedName>
    <definedName name="F.26" localSheetId="21">#REF!</definedName>
    <definedName name="F.26" localSheetId="1">#REF!</definedName>
    <definedName name="F.26" localSheetId="0">#REF!</definedName>
    <definedName name="F.26" localSheetId="5">#REF!</definedName>
    <definedName name="F.26" localSheetId="6">#REF!</definedName>
    <definedName name="F.26" localSheetId="16">#REF!</definedName>
    <definedName name="F.26" localSheetId="7">#REF!</definedName>
    <definedName name="F.26">#REF!</definedName>
    <definedName name="F.27" localSheetId="18">#REF!</definedName>
    <definedName name="F.27" localSheetId="11">#REF!</definedName>
    <definedName name="F.27" localSheetId="10">#REF!</definedName>
    <definedName name="F.27" localSheetId="21">#REF!</definedName>
    <definedName name="F.27" localSheetId="12">#REF!</definedName>
    <definedName name="F.27" localSheetId="1">#REF!</definedName>
    <definedName name="F.27" localSheetId="0">#REF!</definedName>
    <definedName name="F.27" localSheetId="14">#REF!</definedName>
    <definedName name="F.27" localSheetId="5">#REF!</definedName>
    <definedName name="F.27" localSheetId="6">#REF!</definedName>
    <definedName name="F.27" localSheetId="16">#REF!</definedName>
    <definedName name="F.27" localSheetId="7">#REF!</definedName>
    <definedName name="F.27">#REF!</definedName>
    <definedName name="F.33a" localSheetId="18">#REF!</definedName>
    <definedName name="F.33a" localSheetId="10">#REF!</definedName>
    <definedName name="F.33a" localSheetId="21">#REF!</definedName>
    <definedName name="F.33a" localSheetId="1">#REF!</definedName>
    <definedName name="F.33a" localSheetId="0">#REF!</definedName>
    <definedName name="F.33a" localSheetId="5">#REF!</definedName>
    <definedName name="F.33a" localSheetId="6">#REF!</definedName>
    <definedName name="F.33a" localSheetId="16">#REF!</definedName>
    <definedName name="F.33a" localSheetId="7">#REF!</definedName>
    <definedName name="F.33a">#REF!</definedName>
    <definedName name="F.33b" localSheetId="18">#REF!</definedName>
    <definedName name="F.33b" localSheetId="10">#REF!</definedName>
    <definedName name="F.33b" localSheetId="21">#REF!</definedName>
    <definedName name="F.33b" localSheetId="1">#REF!</definedName>
    <definedName name="F.33b" localSheetId="0">#REF!</definedName>
    <definedName name="F.33b" localSheetId="5">#REF!</definedName>
    <definedName name="F.33b" localSheetId="6">#REF!</definedName>
    <definedName name="F.33b" localSheetId="16">#REF!</definedName>
    <definedName name="F.33b" localSheetId="7">#REF!</definedName>
    <definedName name="F.33b">#REF!</definedName>
    <definedName name="F.33c" localSheetId="18">#REF!</definedName>
    <definedName name="F.33c" localSheetId="10">#REF!</definedName>
    <definedName name="F.33c" localSheetId="21">#REF!</definedName>
    <definedName name="F.33c" localSheetId="1">#REF!</definedName>
    <definedName name="F.33c" localSheetId="0">#REF!</definedName>
    <definedName name="F.33c" localSheetId="5">#REF!</definedName>
    <definedName name="F.33c" localSheetId="6">#REF!</definedName>
    <definedName name="F.33c" localSheetId="16">#REF!</definedName>
    <definedName name="F.33c" localSheetId="7">#REF!</definedName>
    <definedName name="F.33c">#REF!</definedName>
    <definedName name="F.33D" localSheetId="18">#REF!</definedName>
    <definedName name="F.33D" localSheetId="11">#REF!</definedName>
    <definedName name="F.33D" localSheetId="10">#REF!</definedName>
    <definedName name="F.33D" localSheetId="21">#REF!</definedName>
    <definedName name="F.33D" localSheetId="12">#REF!</definedName>
    <definedName name="F.33D" localSheetId="1">#REF!</definedName>
    <definedName name="F.33D" localSheetId="0">#REF!</definedName>
    <definedName name="F.33D" localSheetId="14">#REF!</definedName>
    <definedName name="F.33D" localSheetId="5">#REF!</definedName>
    <definedName name="F.33D" localSheetId="6">#REF!</definedName>
    <definedName name="F.33D" localSheetId="16">#REF!</definedName>
    <definedName name="F.33D" localSheetId="7">#REF!</definedName>
    <definedName name="F.33D">#REF!</definedName>
    <definedName name="F.34" localSheetId="18">#REF!</definedName>
    <definedName name="F.34" localSheetId="10">#REF!</definedName>
    <definedName name="F.34" localSheetId="21">#REF!</definedName>
    <definedName name="F.34" localSheetId="1">#REF!</definedName>
    <definedName name="F.34" localSheetId="0">#REF!</definedName>
    <definedName name="F.34" localSheetId="5">#REF!</definedName>
    <definedName name="F.34" localSheetId="6">#REF!</definedName>
    <definedName name="F.34" localSheetId="16">#REF!</definedName>
    <definedName name="F.34" localSheetId="7">#REF!</definedName>
    <definedName name="F.34">#REF!</definedName>
    <definedName name="F.36" localSheetId="18">#REF!</definedName>
    <definedName name="F.36" localSheetId="10">#REF!</definedName>
    <definedName name="F.36" localSheetId="21">#REF!</definedName>
    <definedName name="F.36" localSheetId="1">#REF!</definedName>
    <definedName name="F.36" localSheetId="0">#REF!</definedName>
    <definedName name="F.36" localSheetId="5">#REF!</definedName>
    <definedName name="F.36" localSheetId="6">#REF!</definedName>
    <definedName name="F.36" localSheetId="16">#REF!</definedName>
    <definedName name="F.36" localSheetId="7">#REF!</definedName>
    <definedName name="F.36">#REF!</definedName>
    <definedName name="F.6A" localSheetId="18">#REF!</definedName>
    <definedName name="F.6A" localSheetId="11">#REF!</definedName>
    <definedName name="F.6A" localSheetId="10">#REF!</definedName>
    <definedName name="F.6A" localSheetId="21">#REF!</definedName>
    <definedName name="F.6A" localSheetId="12">#REF!</definedName>
    <definedName name="F.6A" localSheetId="1">#REF!</definedName>
    <definedName name="F.6A" localSheetId="0">#REF!</definedName>
    <definedName name="F.6A" localSheetId="14">#REF!</definedName>
    <definedName name="F.6A" localSheetId="5">#REF!</definedName>
    <definedName name="F.6A" localSheetId="6">#REF!</definedName>
    <definedName name="F.6A" localSheetId="16">#REF!</definedName>
    <definedName name="F.6A" localSheetId="7">#REF!</definedName>
    <definedName name="F.6A">#REF!</definedName>
    <definedName name="F.8" localSheetId="18">#REF!</definedName>
    <definedName name="F.8" localSheetId="11">#REF!</definedName>
    <definedName name="F.8" localSheetId="10">#REF!</definedName>
    <definedName name="F.8" localSheetId="21">#REF!</definedName>
    <definedName name="F.8" localSheetId="12">#REF!</definedName>
    <definedName name="F.8" localSheetId="1">#REF!</definedName>
    <definedName name="F.8" localSheetId="0">#REF!</definedName>
    <definedName name="F.8" localSheetId="14">#REF!</definedName>
    <definedName name="F.8" localSheetId="5">#REF!</definedName>
    <definedName name="F.8" localSheetId="6">#REF!</definedName>
    <definedName name="F.8" localSheetId="16">#REF!</definedName>
    <definedName name="F.8" localSheetId="7">#REF!</definedName>
    <definedName name="F.8">#REF!</definedName>
    <definedName name="F.8A" localSheetId="18">#REF!</definedName>
    <definedName name="F.8A" localSheetId="11">#REF!</definedName>
    <definedName name="F.8A" localSheetId="10">#REF!</definedName>
    <definedName name="F.8A" localSheetId="21">#REF!</definedName>
    <definedName name="F.8A" localSheetId="12">#REF!</definedName>
    <definedName name="F.8A" localSheetId="1">#REF!</definedName>
    <definedName name="F.8A" localSheetId="0">#REF!</definedName>
    <definedName name="F.8A" localSheetId="14">#REF!</definedName>
    <definedName name="F.8A" localSheetId="5">#REF!</definedName>
    <definedName name="F.8A" localSheetId="6">#REF!</definedName>
    <definedName name="F.8A" localSheetId="16">#REF!</definedName>
    <definedName name="F.8A" localSheetId="7">#REF!</definedName>
    <definedName name="F.8A">#REF!</definedName>
    <definedName name="f.drain" localSheetId="18">#REF!</definedName>
    <definedName name="f.drain" localSheetId="11">#REF!</definedName>
    <definedName name="f.drain" localSheetId="10">#REF!</definedName>
    <definedName name="f.drain" localSheetId="21">#REF!</definedName>
    <definedName name="f.drain" localSheetId="12">#REF!</definedName>
    <definedName name="f.drain" localSheetId="1">#REF!</definedName>
    <definedName name="f.drain" localSheetId="0">#REF!</definedName>
    <definedName name="f.drain" localSheetId="14">#REF!</definedName>
    <definedName name="f.drain" localSheetId="5">#REF!</definedName>
    <definedName name="f.drain" localSheetId="6">#REF!</definedName>
    <definedName name="f.drain" localSheetId="16">#REF!</definedName>
    <definedName name="f.drain" localSheetId="7">#REF!</definedName>
    <definedName name="f.drain">#REF!</definedName>
    <definedName name="FAC" localSheetId="18">#REF!</definedName>
    <definedName name="FAC" localSheetId="10">#REF!</definedName>
    <definedName name="FAC" localSheetId="21">#REF!</definedName>
    <definedName name="FAC" localSheetId="1">#REF!</definedName>
    <definedName name="FAC" localSheetId="0">#REF!</definedName>
    <definedName name="FAC" localSheetId="5">#REF!</definedName>
    <definedName name="FAC" localSheetId="6">#REF!</definedName>
    <definedName name="FAC" localSheetId="16">#REF!</definedName>
    <definedName name="FAC" localSheetId="7">#REF!</definedName>
    <definedName name="FAC">#REF!</definedName>
    <definedName name="fatimah">'[23]Upah&amp;Bahan'!$C$43</definedName>
    <definedName name="FC" localSheetId="21">#REF!</definedName>
    <definedName name="FC" localSheetId="1">#REF!</definedName>
    <definedName name="FC" localSheetId="0">#REF!</definedName>
    <definedName name="FC" localSheetId="5">#REF!</definedName>
    <definedName name="FC" localSheetId="6">#REF!</definedName>
    <definedName name="FC" localSheetId="16">#REF!</definedName>
    <definedName name="FC" localSheetId="7">#REF!</definedName>
    <definedName name="FC">#REF!</definedName>
    <definedName name="FD" localSheetId="21">#REF!</definedName>
    <definedName name="FD" localSheetId="1">#REF!</definedName>
    <definedName name="FD" localSheetId="0">#REF!</definedName>
    <definedName name="FD" localSheetId="5">#REF!</definedName>
    <definedName name="FD" localSheetId="6">#REF!</definedName>
    <definedName name="FD" localSheetId="16">#REF!</definedName>
    <definedName name="FD" localSheetId="7">#REF!</definedName>
    <definedName name="FD">#REF!</definedName>
    <definedName name="FD_A" localSheetId="21">#REF!</definedName>
    <definedName name="FD_A" localSheetId="1">#REF!</definedName>
    <definedName name="FD_A" localSheetId="0">#REF!</definedName>
    <definedName name="FD_A" localSheetId="5">#REF!</definedName>
    <definedName name="FD_A" localSheetId="6">#REF!</definedName>
    <definedName name="FD_A" localSheetId="16">#REF!</definedName>
    <definedName name="FD_A" localSheetId="7">#REF!</definedName>
    <definedName name="FD_A">#REF!</definedName>
    <definedName name="FD_B" localSheetId="21">#REF!</definedName>
    <definedName name="FD_B" localSheetId="1">#REF!</definedName>
    <definedName name="FD_B" localSheetId="0">#REF!</definedName>
    <definedName name="FD_B" localSheetId="5">#REF!</definedName>
    <definedName name="FD_B" localSheetId="6">#REF!</definedName>
    <definedName name="FD_B" localSheetId="16">#REF!</definedName>
    <definedName name="FD_B" localSheetId="7">#REF!</definedName>
    <definedName name="FD_B">#REF!</definedName>
    <definedName name="FD_C" localSheetId="21">#REF!</definedName>
    <definedName name="FD_C" localSheetId="1">#REF!</definedName>
    <definedName name="FD_C" localSheetId="0">#REF!</definedName>
    <definedName name="FD_C" localSheetId="5">#REF!</definedName>
    <definedName name="FD_C" localSheetId="6">#REF!</definedName>
    <definedName name="FD_C" localSheetId="16">#REF!</definedName>
    <definedName name="FD_C" localSheetId="7">#REF!</definedName>
    <definedName name="FD_C">#REF!</definedName>
    <definedName name="FDrive" localSheetId="21">'[26]Daftar Harga'!#REF!</definedName>
    <definedName name="FDrive" localSheetId="1">'[26]Daftar Harga'!#REF!</definedName>
    <definedName name="FDrive" localSheetId="0">'[26]Daftar Harga'!#REF!</definedName>
    <definedName name="FDrive" localSheetId="5">'[26]Daftar Harga'!#REF!</definedName>
    <definedName name="FDrive" localSheetId="6">'[26]Daftar Harga'!#REF!</definedName>
    <definedName name="FDrive" localSheetId="16">'[26]Daftar Harga'!#REF!</definedName>
    <definedName name="FDrive" localSheetId="7">'[26]Daftar Harga'!#REF!</definedName>
    <definedName name="FDrive">'[26]Daftar Harga'!#REF!</definedName>
    <definedName name="ferro" localSheetId="18">[25]Analisis!#REF!</definedName>
    <definedName name="ferro" localSheetId="10">[25]Analisis!#REF!</definedName>
    <definedName name="ferro" localSheetId="21">[25]Analisis!#REF!</definedName>
    <definedName name="ferro" localSheetId="1">[25]Analisis!#REF!</definedName>
    <definedName name="ferro" localSheetId="0">[25]Analisis!#REF!</definedName>
    <definedName name="ferro" localSheetId="5">[25]Analisis!#REF!</definedName>
    <definedName name="ferro" localSheetId="6">[25]Analisis!#REF!</definedName>
    <definedName name="ferro" localSheetId="16">[25]Analisis!#REF!</definedName>
    <definedName name="ferro" localSheetId="7">[25]Analisis!#REF!</definedName>
    <definedName name="ferro">[25]Analisis!#REF!</definedName>
    <definedName name="FFFF">[5]alat!$A$1122:$J$1180</definedName>
    <definedName name="FFFFFFFFFFFF">[5]alat!$BD$67</definedName>
    <definedName name="FGGG">[5]alat!$BD$346</definedName>
    <definedName name="Fibermesh" localSheetId="18">[24]cover!#REF!</definedName>
    <definedName name="Fibermesh" localSheetId="10">[24]cover!#REF!</definedName>
    <definedName name="Fibermesh" localSheetId="21">[24]cover!#REF!</definedName>
    <definedName name="Fibermesh" localSheetId="1">[24]cover!#REF!</definedName>
    <definedName name="Fibermesh" localSheetId="0">[24]cover!#REF!</definedName>
    <definedName name="Fibermesh" localSheetId="5">[24]cover!#REF!</definedName>
    <definedName name="Fibermesh" localSheetId="6">[24]cover!#REF!</definedName>
    <definedName name="Fibermesh" localSheetId="16">[24]cover!#REF!</definedName>
    <definedName name="Fibermesh" localSheetId="7">[24]cover!#REF!</definedName>
    <definedName name="Fibermesh">[24]cover!#REF!</definedName>
    <definedName name="filler" localSheetId="18">#REF!</definedName>
    <definedName name="filler" localSheetId="21">#REF!</definedName>
    <definedName name="filler" localSheetId="1">#REF!</definedName>
    <definedName name="filler" localSheetId="0">#REF!</definedName>
    <definedName name="filler" localSheetId="5">#REF!</definedName>
    <definedName name="filler" localSheetId="6">#REF!</definedName>
    <definedName name="filler" localSheetId="16">#REF!</definedName>
    <definedName name="filler" localSheetId="7">#REF!</definedName>
    <definedName name="filler">#REF!</definedName>
    <definedName name="fillerlatasir" localSheetId="18">#REF!</definedName>
    <definedName name="fillerlatasir" localSheetId="21">#REF!</definedName>
    <definedName name="fillerlatasir" localSheetId="1">#REF!</definedName>
    <definedName name="fillerlatasir" localSheetId="0">#REF!</definedName>
    <definedName name="fillerlatasir" localSheetId="5">#REF!</definedName>
    <definedName name="fillerlatasir" localSheetId="6">#REF!</definedName>
    <definedName name="fillerlatasir" localSheetId="16">#REF!</definedName>
    <definedName name="fillerlatasir" localSheetId="7">#REF!</definedName>
    <definedName name="fillerlatasir">#REF!</definedName>
    <definedName name="FinalDrive" localSheetId="21">#REF!</definedName>
    <definedName name="FinalDrive" localSheetId="1">#REF!</definedName>
    <definedName name="FinalDrive" localSheetId="0">#REF!</definedName>
    <definedName name="FinalDrive" localSheetId="5">#REF!</definedName>
    <definedName name="FinalDrive" localSheetId="6">#REF!</definedName>
    <definedName name="FinalDrive" localSheetId="16">#REF!</definedName>
    <definedName name="FinalDrive" localSheetId="7">#REF!</definedName>
    <definedName name="FinalDrive">#REF!</definedName>
    <definedName name="FINISHER" localSheetId="21">[7]Peralatan!#REF!</definedName>
    <definedName name="FINISHER" localSheetId="1">[7]Peralatan!#REF!</definedName>
    <definedName name="FINISHER" localSheetId="0">[7]Peralatan!#REF!</definedName>
    <definedName name="FINISHER" localSheetId="5">[7]Peralatan!#REF!</definedName>
    <definedName name="FINISHER" localSheetId="6">[7]Peralatan!#REF!</definedName>
    <definedName name="FINISHER" localSheetId="16">[7]Peralatan!#REF!</definedName>
    <definedName name="FINISHER" localSheetId="7">[7]Peralatan!#REF!</definedName>
    <definedName name="FINISHER">[7]Peralatan!#REF!</definedName>
    <definedName name="Fk" localSheetId="21">#REF!</definedName>
    <definedName name="Fk" localSheetId="1">#REF!</definedName>
    <definedName name="Fk" localSheetId="0">#REF!</definedName>
    <definedName name="Fk" localSheetId="5">#REF!</definedName>
    <definedName name="Fk" localSheetId="6">#REF!</definedName>
    <definedName name="Fk" localSheetId="16">#REF!</definedName>
    <definedName name="Fk" localSheetId="7">#REF!</definedName>
    <definedName name="Fk">#REF!</definedName>
    <definedName name="FLATBEDTRUCK" localSheetId="21">[7]Peralatan!#REF!</definedName>
    <definedName name="FLATBEDTRUCK" localSheetId="1">[7]Peralatan!#REF!</definedName>
    <definedName name="FLATBEDTRUCK" localSheetId="0">[7]Peralatan!#REF!</definedName>
    <definedName name="FLATBEDTRUCK" localSheetId="5">[7]Peralatan!#REF!</definedName>
    <definedName name="FLATBEDTRUCK" localSheetId="6">[7]Peralatan!#REF!</definedName>
    <definedName name="FLATBEDTRUCK" localSheetId="16">[7]Peralatan!#REF!</definedName>
    <definedName name="FLATBEDTRUCK" localSheetId="7">[7]Peralatan!#REF!</definedName>
    <definedName name="FLATBEDTRUCK">[7]Peralatan!#REF!</definedName>
    <definedName name="FORM311" localSheetId="18">#REF!</definedName>
    <definedName name="FORM311" localSheetId="21">#REF!</definedName>
    <definedName name="FORM311" localSheetId="1">#REF!</definedName>
    <definedName name="FORM311" localSheetId="0">#REF!</definedName>
    <definedName name="FORM311" localSheetId="5">#REF!</definedName>
    <definedName name="FORM311" localSheetId="6">#REF!</definedName>
    <definedName name="FORM311" localSheetId="16">#REF!</definedName>
    <definedName name="FORM311" localSheetId="7">#REF!</definedName>
    <definedName name="FORM311">#REF!</definedName>
    <definedName name="FORM312" localSheetId="18">#REF!</definedName>
    <definedName name="FORM312" localSheetId="21">#REF!</definedName>
    <definedName name="FORM312" localSheetId="1">#REF!</definedName>
    <definedName name="FORM312" localSheetId="0">#REF!</definedName>
    <definedName name="FORM312" localSheetId="5">#REF!</definedName>
    <definedName name="FORM312" localSheetId="6">#REF!</definedName>
    <definedName name="FORM312" localSheetId="16">#REF!</definedName>
    <definedName name="FORM312" localSheetId="7">#REF!</definedName>
    <definedName name="FORM312">#REF!</definedName>
    <definedName name="FORM313" localSheetId="18">#REF!</definedName>
    <definedName name="FORM313" localSheetId="21">#REF!</definedName>
    <definedName name="FORM313" localSheetId="1">#REF!</definedName>
    <definedName name="FORM313" localSheetId="0">#REF!</definedName>
    <definedName name="FORM313" localSheetId="5">#REF!</definedName>
    <definedName name="FORM313" localSheetId="6">#REF!</definedName>
    <definedName name="FORM313" localSheetId="16">#REF!</definedName>
    <definedName name="FORM313" localSheetId="7">#REF!</definedName>
    <definedName name="FORM313">#REF!</definedName>
    <definedName name="FORM314" localSheetId="18">#REF!</definedName>
    <definedName name="FORM314" localSheetId="21">#REF!</definedName>
    <definedName name="FORM314" localSheetId="1">#REF!</definedName>
    <definedName name="FORM314" localSheetId="0">#REF!</definedName>
    <definedName name="FORM314" localSheetId="5">#REF!</definedName>
    <definedName name="FORM314" localSheetId="6">#REF!</definedName>
    <definedName name="FORM314" localSheetId="16">#REF!</definedName>
    <definedName name="FORM314" localSheetId="7">#REF!</definedName>
    <definedName name="FORM314">#REF!</definedName>
    <definedName name="FORM315" localSheetId="18">#REF!</definedName>
    <definedName name="FORM315" localSheetId="21">#REF!</definedName>
    <definedName name="FORM315" localSheetId="1">#REF!</definedName>
    <definedName name="FORM315" localSheetId="0">#REF!</definedName>
    <definedName name="FORM315" localSheetId="5">#REF!</definedName>
    <definedName name="FORM315" localSheetId="6">#REF!</definedName>
    <definedName name="FORM315" localSheetId="16">#REF!</definedName>
    <definedName name="FORM315" localSheetId="7">#REF!</definedName>
    <definedName name="FORM315">#REF!</definedName>
    <definedName name="FORM316" localSheetId="18">#REF!</definedName>
    <definedName name="FORM316" localSheetId="21">#REF!</definedName>
    <definedName name="FORM316" localSheetId="1">#REF!</definedName>
    <definedName name="FORM316" localSheetId="0">#REF!</definedName>
    <definedName name="FORM316" localSheetId="5">#REF!</definedName>
    <definedName name="FORM316" localSheetId="6">#REF!</definedName>
    <definedName name="FORM316" localSheetId="16">#REF!</definedName>
    <definedName name="FORM316" localSheetId="7">#REF!</definedName>
    <definedName name="FORM316">#REF!</definedName>
    <definedName name="FORM321" localSheetId="18">#REF!</definedName>
    <definedName name="FORM321" localSheetId="21">#REF!</definedName>
    <definedName name="FORM321" localSheetId="1">#REF!</definedName>
    <definedName name="FORM321" localSheetId="0">#REF!</definedName>
    <definedName name="FORM321" localSheetId="5">#REF!</definedName>
    <definedName name="FORM321" localSheetId="6">#REF!</definedName>
    <definedName name="FORM321" localSheetId="16">#REF!</definedName>
    <definedName name="FORM321" localSheetId="7">#REF!</definedName>
    <definedName name="FORM321">#REF!</definedName>
    <definedName name="FORM322" localSheetId="18">#REF!</definedName>
    <definedName name="FORM322" localSheetId="21">#REF!</definedName>
    <definedName name="FORM322" localSheetId="1">#REF!</definedName>
    <definedName name="FORM322" localSheetId="0">#REF!</definedName>
    <definedName name="FORM322" localSheetId="5">#REF!</definedName>
    <definedName name="FORM322" localSheetId="6">#REF!</definedName>
    <definedName name="FORM322" localSheetId="16">#REF!</definedName>
    <definedName name="FORM322" localSheetId="7">#REF!</definedName>
    <definedName name="FORM322">#REF!</definedName>
    <definedName name="FORM323" localSheetId="18">#REF!</definedName>
    <definedName name="FORM323" localSheetId="10">#REF!</definedName>
    <definedName name="FORM323" localSheetId="21">#REF!</definedName>
    <definedName name="FORM323" localSheetId="1">#REF!</definedName>
    <definedName name="FORM323" localSheetId="0">#REF!</definedName>
    <definedName name="FORM323" localSheetId="5">#REF!</definedName>
    <definedName name="FORM323" localSheetId="6">#REF!</definedName>
    <definedName name="FORM323" localSheetId="16">#REF!</definedName>
    <definedName name="FORM323" localSheetId="7">#REF!</definedName>
    <definedName name="FORM323">#REF!</definedName>
    <definedName name="FORM323L" localSheetId="18">#REF!</definedName>
    <definedName name="FORM323L" localSheetId="10">#REF!</definedName>
    <definedName name="FORM323L" localSheetId="21">#REF!</definedName>
    <definedName name="FORM323L" localSheetId="1">#REF!</definedName>
    <definedName name="FORM323L" localSheetId="0">#REF!</definedName>
    <definedName name="FORM323L" localSheetId="5">#REF!</definedName>
    <definedName name="FORM323L" localSheetId="6">#REF!</definedName>
    <definedName name="FORM323L" localSheetId="16">#REF!</definedName>
    <definedName name="FORM323L" localSheetId="7">#REF!</definedName>
    <definedName name="FORM323L">#REF!</definedName>
    <definedName name="FORM33" localSheetId="18">#REF!</definedName>
    <definedName name="FORM33" localSheetId="21">#REF!</definedName>
    <definedName name="FORM33" localSheetId="1">#REF!</definedName>
    <definedName name="FORM33" localSheetId="0">#REF!</definedName>
    <definedName name="FORM33" localSheetId="5">#REF!</definedName>
    <definedName name="FORM33" localSheetId="6">#REF!</definedName>
    <definedName name="FORM33" localSheetId="16">#REF!</definedName>
    <definedName name="FORM33" localSheetId="7">#REF!</definedName>
    <definedName name="FORM33">#REF!</definedName>
    <definedName name="FORM423" localSheetId="18">'[19]4'!#REF!</definedName>
    <definedName name="FORM423" localSheetId="10">'[19]4'!#REF!</definedName>
    <definedName name="FORM423" localSheetId="21">'[19]4'!#REF!</definedName>
    <definedName name="FORM423" localSheetId="1">'[19]4'!#REF!</definedName>
    <definedName name="FORM423" localSheetId="0">'[19]4'!#REF!</definedName>
    <definedName name="FORM423" localSheetId="5">'[19]4'!#REF!</definedName>
    <definedName name="FORM423" localSheetId="6">'[19]4'!#REF!</definedName>
    <definedName name="FORM423" localSheetId="16">'[19]4'!#REF!</definedName>
    <definedName name="FORM423" localSheetId="7">'[19]4'!#REF!</definedName>
    <definedName name="FORM423">'[19]4'!#REF!</definedName>
    <definedName name="FORM424" localSheetId="18">'[19]4'!#REF!</definedName>
    <definedName name="FORM424" localSheetId="10">'[19]4'!#REF!</definedName>
    <definedName name="FORM424" localSheetId="21">'[19]4'!#REF!</definedName>
    <definedName name="FORM424" localSheetId="1">'[19]4'!#REF!</definedName>
    <definedName name="FORM424" localSheetId="0">'[19]4'!#REF!</definedName>
    <definedName name="FORM424" localSheetId="5">'[19]4'!#REF!</definedName>
    <definedName name="FORM424" localSheetId="6">'[19]4'!#REF!</definedName>
    <definedName name="FORM424" localSheetId="16">'[19]4'!#REF!</definedName>
    <definedName name="FORM424" localSheetId="7">'[19]4'!#REF!</definedName>
    <definedName name="FORM424">'[19]4'!#REF!</definedName>
    <definedName name="FORM425" localSheetId="18">'[19]4'!#REF!</definedName>
    <definedName name="FORM425" localSheetId="10">'[19]4'!#REF!</definedName>
    <definedName name="FORM425" localSheetId="21">'[19]4'!#REF!</definedName>
    <definedName name="FORM425" localSheetId="1">'[19]4'!#REF!</definedName>
    <definedName name="FORM425" localSheetId="0">'[19]4'!#REF!</definedName>
    <definedName name="FORM425" localSheetId="5">'[19]4'!#REF!</definedName>
    <definedName name="FORM425" localSheetId="6">'[19]4'!#REF!</definedName>
    <definedName name="FORM425" localSheetId="16">'[19]4'!#REF!</definedName>
    <definedName name="FORM425" localSheetId="7">'[19]4'!#REF!</definedName>
    <definedName name="FORM425">'[19]4'!#REF!</definedName>
    <definedName name="FORM426" localSheetId="18">'[19]4'!#REF!</definedName>
    <definedName name="FORM426" localSheetId="10">'[19]4'!#REF!</definedName>
    <definedName name="FORM426" localSheetId="21">'[19]4'!#REF!</definedName>
    <definedName name="FORM426" localSheetId="1">'[19]4'!#REF!</definedName>
    <definedName name="FORM426" localSheetId="0">'[19]4'!#REF!</definedName>
    <definedName name="FORM426" localSheetId="5">'[19]4'!#REF!</definedName>
    <definedName name="FORM426" localSheetId="6">'[19]4'!#REF!</definedName>
    <definedName name="FORM426" localSheetId="16">'[19]4'!#REF!</definedName>
    <definedName name="FORM426" localSheetId="7">'[19]4'!#REF!</definedName>
    <definedName name="FORM426">'[19]4'!#REF!</definedName>
    <definedName name="FORM427" localSheetId="18">'[19]4'!#REF!</definedName>
    <definedName name="FORM427" localSheetId="10">'[19]4'!#REF!</definedName>
    <definedName name="FORM427" localSheetId="21">'[19]4'!#REF!</definedName>
    <definedName name="FORM427" localSheetId="1">'[19]4'!#REF!</definedName>
    <definedName name="FORM427" localSheetId="0">'[19]4'!#REF!</definedName>
    <definedName name="FORM427" localSheetId="5">'[19]4'!#REF!</definedName>
    <definedName name="FORM427" localSheetId="6">'[19]4'!#REF!</definedName>
    <definedName name="FORM427" localSheetId="16">'[19]4'!#REF!</definedName>
    <definedName name="FORM427" localSheetId="7">'[19]4'!#REF!</definedName>
    <definedName name="FORM427">'[19]4'!#REF!</definedName>
    <definedName name="FORM512" localSheetId="18">'[19]5'!#REF!</definedName>
    <definedName name="FORM512" localSheetId="10">'[19]5'!#REF!</definedName>
    <definedName name="FORM512" localSheetId="21">'[19]5'!#REF!</definedName>
    <definedName name="FORM512" localSheetId="1">'[19]5'!#REF!</definedName>
    <definedName name="FORM512" localSheetId="0">'[19]5'!#REF!</definedName>
    <definedName name="FORM512" localSheetId="5">'[19]5'!#REF!</definedName>
    <definedName name="FORM512" localSheetId="6">'[19]5'!#REF!</definedName>
    <definedName name="FORM512" localSheetId="16">'[19]5'!#REF!</definedName>
    <definedName name="FORM512" localSheetId="7">'[19]5'!#REF!</definedName>
    <definedName name="FORM512">'[19]5'!#REF!</definedName>
    <definedName name="FORM522" localSheetId="18">'[19]5'!#REF!</definedName>
    <definedName name="FORM522" localSheetId="10">'[19]5'!#REF!</definedName>
    <definedName name="FORM522" localSheetId="21">'[19]5'!#REF!</definedName>
    <definedName name="FORM522" localSheetId="1">'[19]5'!#REF!</definedName>
    <definedName name="FORM522" localSheetId="0">'[19]5'!#REF!</definedName>
    <definedName name="FORM522" localSheetId="5">'[19]5'!#REF!</definedName>
    <definedName name="FORM522" localSheetId="6">'[19]5'!#REF!</definedName>
    <definedName name="FORM522" localSheetId="16">'[19]5'!#REF!</definedName>
    <definedName name="FORM522" localSheetId="7">'[19]5'!#REF!</definedName>
    <definedName name="FORM522">'[19]5'!#REF!</definedName>
    <definedName name="FORM541" localSheetId="18">'[19]5'!#REF!</definedName>
    <definedName name="FORM541" localSheetId="10">'[19]5'!#REF!</definedName>
    <definedName name="FORM541" localSheetId="21">'[19]5'!#REF!</definedName>
    <definedName name="FORM541" localSheetId="1">'[19]5'!#REF!</definedName>
    <definedName name="FORM541" localSheetId="0">'[19]5'!#REF!</definedName>
    <definedName name="FORM541" localSheetId="5">'[19]5'!#REF!</definedName>
    <definedName name="FORM541" localSheetId="6">'[19]5'!#REF!</definedName>
    <definedName name="FORM541" localSheetId="16">'[19]5'!#REF!</definedName>
    <definedName name="FORM541" localSheetId="7">'[19]5'!#REF!</definedName>
    <definedName name="FORM541">'[19]5'!#REF!</definedName>
    <definedName name="FORM542" localSheetId="18">'[19]5'!#REF!</definedName>
    <definedName name="FORM542" localSheetId="10">'[19]5'!#REF!</definedName>
    <definedName name="FORM542" localSheetId="21">'[19]5'!#REF!</definedName>
    <definedName name="FORM542" localSheetId="1">'[19]5'!#REF!</definedName>
    <definedName name="FORM542" localSheetId="0">'[19]5'!#REF!</definedName>
    <definedName name="FORM542" localSheetId="5">'[19]5'!#REF!</definedName>
    <definedName name="FORM542" localSheetId="6">'[19]5'!#REF!</definedName>
    <definedName name="FORM542" localSheetId="16">'[19]5'!#REF!</definedName>
    <definedName name="FORM542" localSheetId="7">'[19]5'!#REF!</definedName>
    <definedName name="FORM542">'[19]5'!#REF!</definedName>
    <definedName name="FORM621" localSheetId="18">'[19]6'!#REF!</definedName>
    <definedName name="FORM621" localSheetId="10">'[19]6'!#REF!</definedName>
    <definedName name="FORM621" localSheetId="21">'[19]6'!#REF!</definedName>
    <definedName name="FORM621" localSheetId="1">'[19]6'!#REF!</definedName>
    <definedName name="FORM621" localSheetId="0">'[19]6'!#REF!</definedName>
    <definedName name="FORM621" localSheetId="5">'[19]6'!#REF!</definedName>
    <definedName name="FORM621" localSheetId="6">'[19]6'!#REF!</definedName>
    <definedName name="FORM621" localSheetId="16">'[19]6'!#REF!</definedName>
    <definedName name="FORM621" localSheetId="7">'[19]6'!#REF!</definedName>
    <definedName name="FORM621">'[19]6'!#REF!</definedName>
    <definedName name="FORM622" localSheetId="18">'[19]6'!#REF!</definedName>
    <definedName name="FORM622" localSheetId="10">'[19]6'!#REF!</definedName>
    <definedName name="FORM622" localSheetId="21">'[19]6'!#REF!</definedName>
    <definedName name="FORM622" localSheetId="1">'[19]6'!#REF!</definedName>
    <definedName name="FORM622" localSheetId="0">'[19]6'!#REF!</definedName>
    <definedName name="FORM622" localSheetId="5">'[19]6'!#REF!</definedName>
    <definedName name="FORM622" localSheetId="6">'[19]6'!#REF!</definedName>
    <definedName name="FORM622" localSheetId="16">'[19]6'!#REF!</definedName>
    <definedName name="FORM622" localSheetId="7">'[19]6'!#REF!</definedName>
    <definedName name="FORM622">'[19]6'!#REF!</definedName>
    <definedName name="FORM623" localSheetId="18">'[19]6'!#REF!</definedName>
    <definedName name="FORM623" localSheetId="10">'[19]6'!#REF!</definedName>
    <definedName name="FORM623" localSheetId="21">'[19]6'!#REF!</definedName>
    <definedName name="FORM623" localSheetId="1">'[19]6'!#REF!</definedName>
    <definedName name="FORM623" localSheetId="0">'[19]6'!#REF!</definedName>
    <definedName name="FORM623" localSheetId="5">'[19]6'!#REF!</definedName>
    <definedName name="FORM623" localSheetId="6">'[19]6'!#REF!</definedName>
    <definedName name="FORM623" localSheetId="16">'[19]6'!#REF!</definedName>
    <definedName name="FORM623" localSheetId="7">'[19]6'!#REF!</definedName>
    <definedName name="FORM623">'[19]6'!#REF!</definedName>
    <definedName name="FORM631" localSheetId="18">'[19]6'!#REF!</definedName>
    <definedName name="FORM631" localSheetId="10">'[19]6'!#REF!</definedName>
    <definedName name="FORM631" localSheetId="21">'[19]6'!#REF!</definedName>
    <definedName name="FORM631" localSheetId="1">'[19]6'!#REF!</definedName>
    <definedName name="FORM631" localSheetId="0">'[19]6'!#REF!</definedName>
    <definedName name="FORM631" localSheetId="5">'[19]6'!#REF!</definedName>
    <definedName name="FORM631" localSheetId="6">'[19]6'!#REF!</definedName>
    <definedName name="FORM631" localSheetId="16">'[19]6'!#REF!</definedName>
    <definedName name="FORM631" localSheetId="7">'[19]6'!#REF!</definedName>
    <definedName name="FORM631">'[19]6'!#REF!</definedName>
    <definedName name="FORM632" localSheetId="18">'[19]6'!#REF!</definedName>
    <definedName name="FORM632" localSheetId="10">'[19]6'!#REF!</definedName>
    <definedName name="FORM632" localSheetId="21">'[19]6'!#REF!</definedName>
    <definedName name="FORM632" localSheetId="1">'[19]6'!#REF!</definedName>
    <definedName name="FORM632" localSheetId="0">'[19]6'!#REF!</definedName>
    <definedName name="FORM632" localSheetId="5">'[19]6'!#REF!</definedName>
    <definedName name="FORM632" localSheetId="6">'[19]6'!#REF!</definedName>
    <definedName name="FORM632" localSheetId="16">'[19]6'!#REF!</definedName>
    <definedName name="FORM632" localSheetId="7">'[19]6'!#REF!</definedName>
    <definedName name="FORM632">'[19]6'!#REF!</definedName>
    <definedName name="FORM635A" localSheetId="18">'[19]6'!#REF!</definedName>
    <definedName name="FORM635A" localSheetId="10">'[19]6'!#REF!</definedName>
    <definedName name="FORM635A" localSheetId="21">'[19]6'!#REF!</definedName>
    <definedName name="FORM635A" localSheetId="1">'[19]6'!#REF!</definedName>
    <definedName name="FORM635A" localSheetId="0">'[19]6'!#REF!</definedName>
    <definedName name="FORM635A" localSheetId="5">'[19]6'!#REF!</definedName>
    <definedName name="FORM635A" localSheetId="6">'[19]6'!#REF!</definedName>
    <definedName name="FORM635A" localSheetId="16">'[19]6'!#REF!</definedName>
    <definedName name="FORM635A" localSheetId="7">'[19]6'!#REF!</definedName>
    <definedName name="FORM635A">'[19]6'!#REF!</definedName>
    <definedName name="FORM636" localSheetId="18">'[19]6'!#REF!</definedName>
    <definedName name="FORM636" localSheetId="10">'[19]6'!#REF!</definedName>
    <definedName name="FORM636" localSheetId="21">'[19]6'!#REF!</definedName>
    <definedName name="FORM636" localSheetId="1">'[19]6'!#REF!</definedName>
    <definedName name="FORM636" localSheetId="0">'[19]6'!#REF!</definedName>
    <definedName name="FORM636" localSheetId="5">'[19]6'!#REF!</definedName>
    <definedName name="FORM636" localSheetId="6">'[19]6'!#REF!</definedName>
    <definedName name="FORM636" localSheetId="16">'[19]6'!#REF!</definedName>
    <definedName name="FORM636" localSheetId="7">'[19]6'!#REF!</definedName>
    <definedName name="FORM636">'[19]6'!#REF!</definedName>
    <definedName name="FORM641L" localSheetId="18">#REF!</definedName>
    <definedName name="FORM641L" localSheetId="21">#REF!</definedName>
    <definedName name="FORM641L" localSheetId="1">#REF!</definedName>
    <definedName name="FORM641L" localSheetId="0">#REF!</definedName>
    <definedName name="FORM641L" localSheetId="5">#REF!</definedName>
    <definedName name="FORM641L" localSheetId="6">#REF!</definedName>
    <definedName name="FORM641L" localSheetId="16">#REF!</definedName>
    <definedName name="FORM641L" localSheetId="7">#REF!</definedName>
    <definedName name="FORM641L">#REF!</definedName>
    <definedName name="FORM642" localSheetId="18">#REF!</definedName>
    <definedName name="FORM642" localSheetId="21">#REF!</definedName>
    <definedName name="FORM642" localSheetId="1">#REF!</definedName>
    <definedName name="FORM642" localSheetId="0">#REF!</definedName>
    <definedName name="FORM642" localSheetId="5">#REF!</definedName>
    <definedName name="FORM642" localSheetId="6">#REF!</definedName>
    <definedName name="FORM642" localSheetId="16">#REF!</definedName>
    <definedName name="FORM642" localSheetId="7">#REF!</definedName>
    <definedName name="FORM642">#REF!</definedName>
    <definedName name="FORM651" localSheetId="18">'[19]6'!#REF!</definedName>
    <definedName name="FORM651" localSheetId="10">'[19]6'!#REF!</definedName>
    <definedName name="FORM651" localSheetId="21">'[19]6'!#REF!</definedName>
    <definedName name="FORM651" localSheetId="1">'[19]6'!#REF!</definedName>
    <definedName name="FORM651" localSheetId="0">'[19]6'!#REF!</definedName>
    <definedName name="FORM651" localSheetId="5">'[19]6'!#REF!</definedName>
    <definedName name="FORM651" localSheetId="6">'[19]6'!#REF!</definedName>
    <definedName name="FORM651" localSheetId="16">'[19]6'!#REF!</definedName>
    <definedName name="FORM651" localSheetId="7">'[19]6'!#REF!</definedName>
    <definedName name="FORM651">'[19]6'!#REF!</definedName>
    <definedName name="FORM711" localSheetId="21">#REF!</definedName>
    <definedName name="FORM711" localSheetId="1">#REF!</definedName>
    <definedName name="FORM711" localSheetId="0">#REF!</definedName>
    <definedName name="FORM711" localSheetId="5">#REF!</definedName>
    <definedName name="FORM711" localSheetId="6">#REF!</definedName>
    <definedName name="FORM711" localSheetId="16">#REF!</definedName>
    <definedName name="FORM711" localSheetId="7">#REF!</definedName>
    <definedName name="FORM711">#REF!</definedName>
    <definedName name="FORM714" localSheetId="21">#REF!</definedName>
    <definedName name="FORM714" localSheetId="1">#REF!</definedName>
    <definedName name="FORM714" localSheetId="0">#REF!</definedName>
    <definedName name="FORM714" localSheetId="5">#REF!</definedName>
    <definedName name="FORM714" localSheetId="6">#REF!</definedName>
    <definedName name="FORM714" localSheetId="16">#REF!</definedName>
    <definedName name="FORM714" localSheetId="7">#REF!</definedName>
    <definedName name="FORM714">#REF!</definedName>
    <definedName name="FORM721" localSheetId="21">#REF!</definedName>
    <definedName name="FORM721" localSheetId="1">#REF!</definedName>
    <definedName name="FORM721" localSheetId="0">#REF!</definedName>
    <definedName name="FORM721" localSheetId="5">#REF!</definedName>
    <definedName name="FORM721" localSheetId="6">#REF!</definedName>
    <definedName name="FORM721" localSheetId="16">#REF!</definedName>
    <definedName name="FORM721" localSheetId="7">#REF!</definedName>
    <definedName name="FORM721">#REF!</definedName>
    <definedName name="FORM731" localSheetId="21">#REF!</definedName>
    <definedName name="FORM731" localSheetId="1">#REF!</definedName>
    <definedName name="FORM731" localSheetId="0">#REF!</definedName>
    <definedName name="FORM731" localSheetId="5">#REF!</definedName>
    <definedName name="FORM731" localSheetId="6">#REF!</definedName>
    <definedName name="FORM731" localSheetId="16">#REF!</definedName>
    <definedName name="FORM731" localSheetId="7">#REF!</definedName>
    <definedName name="FORM731">#REF!</definedName>
    <definedName name="FORM732" localSheetId="21">#REF!</definedName>
    <definedName name="FORM732" localSheetId="1">#REF!</definedName>
    <definedName name="FORM732" localSheetId="0">#REF!</definedName>
    <definedName name="FORM732" localSheetId="5">#REF!</definedName>
    <definedName name="FORM732" localSheetId="6">#REF!</definedName>
    <definedName name="FORM732" localSheetId="16">#REF!</definedName>
    <definedName name="FORM732" localSheetId="7">#REF!</definedName>
    <definedName name="FORM732">#REF!</definedName>
    <definedName name="FORM733" localSheetId="21">#REF!</definedName>
    <definedName name="FORM733" localSheetId="1">#REF!</definedName>
    <definedName name="FORM733" localSheetId="0">#REF!</definedName>
    <definedName name="FORM733" localSheetId="5">#REF!</definedName>
    <definedName name="FORM733" localSheetId="6">#REF!</definedName>
    <definedName name="FORM733" localSheetId="16">#REF!</definedName>
    <definedName name="FORM733" localSheetId="7">#REF!</definedName>
    <definedName name="FORM733">#REF!</definedName>
    <definedName name="FORM734" localSheetId="21">#REF!</definedName>
    <definedName name="FORM734" localSheetId="1">#REF!</definedName>
    <definedName name="FORM734" localSheetId="0">#REF!</definedName>
    <definedName name="FORM734" localSheetId="5">#REF!</definedName>
    <definedName name="FORM734" localSheetId="6">#REF!</definedName>
    <definedName name="FORM734" localSheetId="16">#REF!</definedName>
    <definedName name="FORM734" localSheetId="7">#REF!</definedName>
    <definedName name="FORM734">#REF!</definedName>
    <definedName name="FORM735" localSheetId="21">#REF!</definedName>
    <definedName name="FORM735" localSheetId="1">#REF!</definedName>
    <definedName name="FORM735" localSheetId="0">#REF!</definedName>
    <definedName name="FORM735" localSheetId="5">#REF!</definedName>
    <definedName name="FORM735" localSheetId="6">#REF!</definedName>
    <definedName name="FORM735" localSheetId="16">#REF!</definedName>
    <definedName name="FORM735" localSheetId="7">#REF!</definedName>
    <definedName name="FORM735">#REF!</definedName>
    <definedName name="FORM771a" localSheetId="21">#REF!</definedName>
    <definedName name="FORM771a" localSheetId="1">#REF!</definedName>
    <definedName name="FORM771a" localSheetId="0">#REF!</definedName>
    <definedName name="FORM771a" localSheetId="5">#REF!</definedName>
    <definedName name="FORM771a" localSheetId="6">#REF!</definedName>
    <definedName name="FORM771a" localSheetId="16">#REF!</definedName>
    <definedName name="FORM771a" localSheetId="7">#REF!</definedName>
    <definedName name="FORM771a">#REF!</definedName>
    <definedName name="FORM771b" localSheetId="21">#REF!</definedName>
    <definedName name="FORM771b" localSheetId="1">#REF!</definedName>
    <definedName name="FORM771b" localSheetId="0">#REF!</definedName>
    <definedName name="FORM771b" localSheetId="5">#REF!</definedName>
    <definedName name="FORM771b" localSheetId="6">#REF!</definedName>
    <definedName name="FORM771b" localSheetId="16">#REF!</definedName>
    <definedName name="FORM771b" localSheetId="7">#REF!</definedName>
    <definedName name="FORM771b">#REF!</definedName>
    <definedName name="FORM771c" localSheetId="21">#REF!</definedName>
    <definedName name="FORM771c" localSheetId="1">#REF!</definedName>
    <definedName name="FORM771c" localSheetId="0">#REF!</definedName>
    <definedName name="FORM771c" localSheetId="5">#REF!</definedName>
    <definedName name="FORM771c" localSheetId="6">#REF!</definedName>
    <definedName name="FORM771c" localSheetId="16">#REF!</definedName>
    <definedName name="FORM771c" localSheetId="7">#REF!</definedName>
    <definedName name="FORM771c">#REF!</definedName>
    <definedName name="FORM771d" localSheetId="21">#REF!</definedName>
    <definedName name="FORM771d" localSheetId="1">#REF!</definedName>
    <definedName name="FORM771d" localSheetId="0">#REF!</definedName>
    <definedName name="FORM771d" localSheetId="5">#REF!</definedName>
    <definedName name="FORM771d" localSheetId="6">#REF!</definedName>
    <definedName name="FORM771d" localSheetId="16">#REF!</definedName>
    <definedName name="FORM771d" localSheetId="7">#REF!</definedName>
    <definedName name="FORM771d">#REF!</definedName>
    <definedName name="FORM772a" localSheetId="21">#REF!</definedName>
    <definedName name="FORM772a" localSheetId="1">#REF!</definedName>
    <definedName name="FORM772a" localSheetId="0">#REF!</definedName>
    <definedName name="FORM772a" localSheetId="5">#REF!</definedName>
    <definedName name="FORM772a" localSheetId="6">#REF!</definedName>
    <definedName name="FORM772a" localSheetId="16">#REF!</definedName>
    <definedName name="FORM772a" localSheetId="7">#REF!</definedName>
    <definedName name="FORM772a">#REF!</definedName>
    <definedName name="FORM772b" localSheetId="21">#REF!</definedName>
    <definedName name="FORM772b" localSheetId="1">#REF!</definedName>
    <definedName name="FORM772b" localSheetId="0">#REF!</definedName>
    <definedName name="FORM772b" localSheetId="5">#REF!</definedName>
    <definedName name="FORM772b" localSheetId="6">#REF!</definedName>
    <definedName name="FORM772b" localSheetId="16">#REF!</definedName>
    <definedName name="FORM772b" localSheetId="7">#REF!</definedName>
    <definedName name="FORM772b">#REF!</definedName>
    <definedName name="FORM772c" localSheetId="21">#REF!</definedName>
    <definedName name="FORM772c" localSheetId="1">#REF!</definedName>
    <definedName name="FORM772c" localSheetId="0">#REF!</definedName>
    <definedName name="FORM772c" localSheetId="5">#REF!</definedName>
    <definedName name="FORM772c" localSheetId="6">#REF!</definedName>
    <definedName name="FORM772c" localSheetId="16">#REF!</definedName>
    <definedName name="FORM772c" localSheetId="7">#REF!</definedName>
    <definedName name="FORM772c">#REF!</definedName>
    <definedName name="FORM772d" localSheetId="21">#REF!</definedName>
    <definedName name="FORM772d" localSheetId="1">#REF!</definedName>
    <definedName name="FORM772d" localSheetId="0">#REF!</definedName>
    <definedName name="FORM772d" localSheetId="5">#REF!</definedName>
    <definedName name="FORM772d" localSheetId="6">#REF!</definedName>
    <definedName name="FORM772d" localSheetId="16">#REF!</definedName>
    <definedName name="FORM772d" localSheetId="7">#REF!</definedName>
    <definedName name="FORM772d">#REF!</definedName>
    <definedName name="FORM811" localSheetId="18">#REF!</definedName>
    <definedName name="FORM811" localSheetId="10">#REF!</definedName>
    <definedName name="FORM811" localSheetId="21">#REF!</definedName>
    <definedName name="FORM811" localSheetId="1">#REF!</definedName>
    <definedName name="FORM811" localSheetId="0">#REF!</definedName>
    <definedName name="FORM811" localSheetId="5">#REF!</definedName>
    <definedName name="FORM811" localSheetId="6">#REF!</definedName>
    <definedName name="FORM811" localSheetId="16">#REF!</definedName>
    <definedName name="FORM811" localSheetId="7">#REF!</definedName>
    <definedName name="FORM811">#REF!</definedName>
    <definedName name="FORM812" localSheetId="18">#REF!</definedName>
    <definedName name="FORM812" localSheetId="10">#REF!</definedName>
    <definedName name="FORM812" localSheetId="21">#REF!</definedName>
    <definedName name="FORM812" localSheetId="1">#REF!</definedName>
    <definedName name="FORM812" localSheetId="0">#REF!</definedName>
    <definedName name="FORM812" localSheetId="5">#REF!</definedName>
    <definedName name="FORM812" localSheetId="6">#REF!</definedName>
    <definedName name="FORM812" localSheetId="16">#REF!</definedName>
    <definedName name="FORM812" localSheetId="7">#REF!</definedName>
    <definedName name="FORM812">#REF!</definedName>
    <definedName name="FORM813" localSheetId="18">#REF!</definedName>
    <definedName name="FORM813" localSheetId="10">#REF!</definedName>
    <definedName name="FORM813" localSheetId="21">#REF!</definedName>
    <definedName name="FORM813" localSheetId="1">#REF!</definedName>
    <definedName name="FORM813" localSheetId="0">#REF!</definedName>
    <definedName name="FORM813" localSheetId="5">#REF!</definedName>
    <definedName name="FORM813" localSheetId="6">#REF!</definedName>
    <definedName name="FORM813" localSheetId="16">#REF!</definedName>
    <definedName name="FORM813" localSheetId="7">#REF!</definedName>
    <definedName name="FORM813">#REF!</definedName>
    <definedName name="FORM814" localSheetId="18">#REF!</definedName>
    <definedName name="FORM814" localSheetId="21">#REF!</definedName>
    <definedName name="FORM814" localSheetId="1">#REF!</definedName>
    <definedName name="FORM814" localSheetId="0">#REF!</definedName>
    <definedName name="FORM814" localSheetId="5">#REF!</definedName>
    <definedName name="FORM814" localSheetId="6">#REF!</definedName>
    <definedName name="FORM814" localSheetId="16">#REF!</definedName>
    <definedName name="FORM814" localSheetId="7">#REF!</definedName>
    <definedName name="FORM814">#REF!</definedName>
    <definedName name="FORM815" localSheetId="18">#REF!</definedName>
    <definedName name="FORM815" localSheetId="10">#REF!</definedName>
    <definedName name="FORM815" localSheetId="21">#REF!</definedName>
    <definedName name="FORM815" localSheetId="1">#REF!</definedName>
    <definedName name="FORM815" localSheetId="0">#REF!</definedName>
    <definedName name="FORM815" localSheetId="5">#REF!</definedName>
    <definedName name="FORM815" localSheetId="6">#REF!</definedName>
    <definedName name="FORM815" localSheetId="16">#REF!</definedName>
    <definedName name="FORM815" localSheetId="7">#REF!</definedName>
    <definedName name="FORM815">#REF!</definedName>
    <definedName name="FORM817" localSheetId="18">#REF!</definedName>
    <definedName name="FORM817" localSheetId="10">#REF!</definedName>
    <definedName name="FORM817" localSheetId="21">#REF!</definedName>
    <definedName name="FORM817" localSheetId="1">#REF!</definedName>
    <definedName name="FORM817" localSheetId="0">#REF!</definedName>
    <definedName name="FORM817" localSheetId="5">#REF!</definedName>
    <definedName name="FORM817" localSheetId="6">#REF!</definedName>
    <definedName name="FORM817" localSheetId="16">#REF!</definedName>
    <definedName name="FORM817" localSheetId="7">#REF!</definedName>
    <definedName name="FORM817">#REF!</definedName>
    <definedName name="FORM818" localSheetId="18">#REF!</definedName>
    <definedName name="FORM818" localSheetId="10">#REF!</definedName>
    <definedName name="FORM818" localSheetId="21">#REF!</definedName>
    <definedName name="FORM818" localSheetId="1">#REF!</definedName>
    <definedName name="FORM818" localSheetId="0">#REF!</definedName>
    <definedName name="FORM818" localSheetId="5">#REF!</definedName>
    <definedName name="FORM818" localSheetId="6">#REF!</definedName>
    <definedName name="FORM818" localSheetId="16">#REF!</definedName>
    <definedName name="FORM818" localSheetId="7">#REF!</definedName>
    <definedName name="FORM818">#REF!</definedName>
    <definedName name="FORM819" localSheetId="18">#REF!</definedName>
    <definedName name="FORM819" localSheetId="10">#REF!</definedName>
    <definedName name="FORM819" localSheetId="21">#REF!</definedName>
    <definedName name="FORM819" localSheetId="1">#REF!</definedName>
    <definedName name="FORM819" localSheetId="0">#REF!</definedName>
    <definedName name="FORM819" localSheetId="5">#REF!</definedName>
    <definedName name="FORM819" localSheetId="6">#REF!</definedName>
    <definedName name="FORM819" localSheetId="16">#REF!</definedName>
    <definedName name="FORM819" localSheetId="7">#REF!</definedName>
    <definedName name="FORM819">#REF!</definedName>
    <definedName name="FORM82" localSheetId="18">#REF!</definedName>
    <definedName name="FORM82" localSheetId="10">#REF!</definedName>
    <definedName name="FORM82" localSheetId="21">#REF!</definedName>
    <definedName name="FORM82" localSheetId="1">#REF!</definedName>
    <definedName name="FORM82" localSheetId="0">#REF!</definedName>
    <definedName name="FORM82" localSheetId="5">#REF!</definedName>
    <definedName name="FORM82" localSheetId="6">#REF!</definedName>
    <definedName name="FORM82" localSheetId="16">#REF!</definedName>
    <definedName name="FORM82" localSheetId="7">#REF!</definedName>
    <definedName name="FORM82">#REF!</definedName>
    <definedName name="FORM83" localSheetId="18">#REF!</definedName>
    <definedName name="FORM83" localSheetId="10">#REF!</definedName>
    <definedName name="FORM83" localSheetId="21">#REF!</definedName>
    <definedName name="FORM83" localSheetId="1">#REF!</definedName>
    <definedName name="FORM83" localSheetId="0">#REF!</definedName>
    <definedName name="FORM83" localSheetId="5">#REF!</definedName>
    <definedName name="FORM83" localSheetId="6">#REF!</definedName>
    <definedName name="FORM83" localSheetId="16">#REF!</definedName>
    <definedName name="FORM83" localSheetId="7">#REF!</definedName>
    <definedName name="FORM83">#REF!</definedName>
    <definedName name="FORM841" localSheetId="18">#REF!</definedName>
    <definedName name="FORM841" localSheetId="10">#REF!</definedName>
    <definedName name="FORM841" localSheetId="21">#REF!</definedName>
    <definedName name="FORM841" localSheetId="1">#REF!</definedName>
    <definedName name="FORM841" localSheetId="0">#REF!</definedName>
    <definedName name="FORM841" localSheetId="5">#REF!</definedName>
    <definedName name="FORM841" localSheetId="6">#REF!</definedName>
    <definedName name="FORM841" localSheetId="16">#REF!</definedName>
    <definedName name="FORM841" localSheetId="7">#REF!</definedName>
    <definedName name="FORM841">#REF!</definedName>
    <definedName name="FORM842" localSheetId="18">#REF!</definedName>
    <definedName name="FORM842" localSheetId="10">#REF!</definedName>
    <definedName name="FORM842" localSheetId="21">#REF!</definedName>
    <definedName name="FORM842" localSheetId="1">#REF!</definedName>
    <definedName name="FORM842" localSheetId="0">#REF!</definedName>
    <definedName name="FORM842" localSheetId="5">#REF!</definedName>
    <definedName name="FORM842" localSheetId="6">#REF!</definedName>
    <definedName name="FORM842" localSheetId="16">#REF!</definedName>
    <definedName name="FORM842" localSheetId="7">#REF!</definedName>
    <definedName name="FORM842">#REF!</definedName>
    <definedName name="FORM843" localSheetId="18">#REF!</definedName>
    <definedName name="FORM843" localSheetId="10">#REF!</definedName>
    <definedName name="FORM843" localSheetId="21">#REF!</definedName>
    <definedName name="FORM843" localSheetId="1">#REF!</definedName>
    <definedName name="FORM843" localSheetId="0">#REF!</definedName>
    <definedName name="FORM843" localSheetId="5">#REF!</definedName>
    <definedName name="FORM843" localSheetId="6">#REF!</definedName>
    <definedName name="FORM843" localSheetId="16">#REF!</definedName>
    <definedName name="FORM843" localSheetId="7">#REF!</definedName>
    <definedName name="FORM843">#REF!</definedName>
    <definedName name="FORM844" localSheetId="18">#REF!</definedName>
    <definedName name="FORM844" localSheetId="10">#REF!</definedName>
    <definedName name="FORM844" localSheetId="21">#REF!</definedName>
    <definedName name="FORM844" localSheetId="1">#REF!</definedName>
    <definedName name="FORM844" localSheetId="0">#REF!</definedName>
    <definedName name="FORM844" localSheetId="5">#REF!</definedName>
    <definedName name="FORM844" localSheetId="6">#REF!</definedName>
    <definedName name="FORM844" localSheetId="16">#REF!</definedName>
    <definedName name="FORM844" localSheetId="7">#REF!</definedName>
    <definedName name="FORM844">#REF!</definedName>
    <definedName name="FORM845" localSheetId="18">#REF!</definedName>
    <definedName name="FORM845" localSheetId="10">#REF!</definedName>
    <definedName name="FORM845" localSheetId="21">#REF!</definedName>
    <definedName name="FORM845" localSheetId="1">#REF!</definedName>
    <definedName name="FORM845" localSheetId="0">#REF!</definedName>
    <definedName name="FORM845" localSheetId="5">#REF!</definedName>
    <definedName name="FORM845" localSheetId="6">#REF!</definedName>
    <definedName name="FORM845" localSheetId="16">#REF!</definedName>
    <definedName name="FORM845" localSheetId="7">#REF!</definedName>
    <definedName name="FORM845">#REF!</definedName>
    <definedName name="FORM846" localSheetId="18">#REF!</definedName>
    <definedName name="FORM846" localSheetId="10">#REF!</definedName>
    <definedName name="FORM846" localSheetId="21">#REF!</definedName>
    <definedName name="FORM846" localSheetId="1">#REF!</definedName>
    <definedName name="FORM846" localSheetId="0">#REF!</definedName>
    <definedName name="FORM846" localSheetId="5">#REF!</definedName>
    <definedName name="FORM846" localSheetId="6">#REF!</definedName>
    <definedName name="FORM846" localSheetId="16">#REF!</definedName>
    <definedName name="FORM846" localSheetId="7">#REF!</definedName>
    <definedName name="FORM846">#REF!</definedName>
    <definedName name="FORM847" localSheetId="18">#REF!</definedName>
    <definedName name="FORM847" localSheetId="10">#REF!</definedName>
    <definedName name="FORM847" localSheetId="21">#REF!</definedName>
    <definedName name="FORM847" localSheetId="1">#REF!</definedName>
    <definedName name="FORM847" localSheetId="0">#REF!</definedName>
    <definedName name="FORM847" localSheetId="5">#REF!</definedName>
    <definedName name="FORM847" localSheetId="6">#REF!</definedName>
    <definedName name="FORM847" localSheetId="16">#REF!</definedName>
    <definedName name="FORM847" localSheetId="7">#REF!</definedName>
    <definedName name="FORM847">#REF!</definedName>
    <definedName name="FORMLatasirK" localSheetId="18">#REF!</definedName>
    <definedName name="FORMLatasirK" localSheetId="21">#REF!</definedName>
    <definedName name="FORMLatasirK" localSheetId="1">#REF!</definedName>
    <definedName name="FORMLatasirK" localSheetId="0">#REF!</definedName>
    <definedName name="FORMLatasirK" localSheetId="5">#REF!</definedName>
    <definedName name="FORMLatasirK" localSheetId="6">#REF!</definedName>
    <definedName name="FORMLatasirK" localSheetId="16">#REF!</definedName>
    <definedName name="FORMLatasirK" localSheetId="7">#REF!</definedName>
    <definedName name="FORMLatasirK">#REF!</definedName>
    <definedName name="FORMLatasirKL" localSheetId="18">#REF!</definedName>
    <definedName name="FORMLatasirKL" localSheetId="21">#REF!</definedName>
    <definedName name="FORMLatasirKL" localSheetId="1">#REF!</definedName>
    <definedName name="FORMLatasirKL" localSheetId="0">#REF!</definedName>
    <definedName name="FORMLatasirKL" localSheetId="5">#REF!</definedName>
    <definedName name="FORMLatasirKL" localSheetId="6">#REF!</definedName>
    <definedName name="FORMLatasirKL" localSheetId="16">#REF!</definedName>
    <definedName name="FORMLatasirKL" localSheetId="7">#REF!</definedName>
    <definedName name="FORMLatasirKL">#REF!</definedName>
    <definedName name="FULVIMIXER" localSheetId="21">[7]Peralatan!#REF!</definedName>
    <definedName name="FULVIMIXER" localSheetId="1">[7]Peralatan!#REF!</definedName>
    <definedName name="FULVIMIXER" localSheetId="0">[7]Peralatan!#REF!</definedName>
    <definedName name="FULVIMIXER" localSheetId="5">[7]Peralatan!#REF!</definedName>
    <definedName name="FULVIMIXER" localSheetId="6">[7]Peralatan!#REF!</definedName>
    <definedName name="FULVIMIXER" localSheetId="16">[7]Peralatan!#REF!</definedName>
    <definedName name="FULVIMIXER" localSheetId="7">[7]Peralatan!#REF!</definedName>
    <definedName name="FULVIMIXER">[7]Peralatan!#REF!</definedName>
    <definedName name="g">'[23]Upah&amp;Bahan'!$U$1672</definedName>
    <definedName name="G.14" localSheetId="18">#REF!</definedName>
    <definedName name="G.14" localSheetId="11">#REF!</definedName>
    <definedName name="G.14" localSheetId="10">#REF!</definedName>
    <definedName name="G.14" localSheetId="21">#REF!</definedName>
    <definedName name="G.14" localSheetId="12">#REF!</definedName>
    <definedName name="G.14" localSheetId="1">#REF!</definedName>
    <definedName name="G.14" localSheetId="0">#REF!</definedName>
    <definedName name="G.14" localSheetId="14">#REF!</definedName>
    <definedName name="G.14" localSheetId="5">#REF!</definedName>
    <definedName name="G.14" localSheetId="6">#REF!</definedName>
    <definedName name="G.14" localSheetId="16">#REF!</definedName>
    <definedName name="G.14" localSheetId="7">#REF!</definedName>
    <definedName name="G.14">#REF!</definedName>
    <definedName name="G.2" localSheetId="18">#REF!</definedName>
    <definedName name="G.2" localSheetId="10">#REF!</definedName>
    <definedName name="G.2" localSheetId="21">#REF!</definedName>
    <definedName name="G.2" localSheetId="1">#REF!</definedName>
    <definedName name="G.2" localSheetId="0">#REF!</definedName>
    <definedName name="G.2" localSheetId="5">#REF!</definedName>
    <definedName name="G.2" localSheetId="6">#REF!</definedName>
    <definedName name="G.2" localSheetId="16">#REF!</definedName>
    <definedName name="G.2" localSheetId="7">#REF!</definedName>
    <definedName name="G.2">#REF!</definedName>
    <definedName name="g.2a" localSheetId="18">#REF!</definedName>
    <definedName name="g.2a" localSheetId="10">#REF!</definedName>
    <definedName name="g.2a" localSheetId="21">#REF!</definedName>
    <definedName name="g.2a" localSheetId="1">#REF!</definedName>
    <definedName name="g.2a" localSheetId="0">#REF!</definedName>
    <definedName name="g.2a" localSheetId="5">#REF!</definedName>
    <definedName name="g.2a" localSheetId="6">#REF!</definedName>
    <definedName name="g.2a" localSheetId="16">#REF!</definedName>
    <definedName name="g.2a" localSheetId="7">#REF!</definedName>
    <definedName name="g.2a">#REF!</definedName>
    <definedName name="g.2b" localSheetId="18">#REF!</definedName>
    <definedName name="g.2b" localSheetId="10">#REF!</definedName>
    <definedName name="g.2b" localSheetId="21">#REF!</definedName>
    <definedName name="g.2b" localSheetId="1">#REF!</definedName>
    <definedName name="g.2b" localSheetId="0">#REF!</definedName>
    <definedName name="g.2b" localSheetId="5">#REF!</definedName>
    <definedName name="g.2b" localSheetId="6">#REF!</definedName>
    <definedName name="g.2b" localSheetId="16">#REF!</definedName>
    <definedName name="g.2b" localSheetId="7">#REF!</definedName>
    <definedName name="g.2b">#REF!</definedName>
    <definedName name="g.32a" localSheetId="18">#REF!</definedName>
    <definedName name="g.32a" localSheetId="10">#REF!</definedName>
    <definedName name="g.32a" localSheetId="21">#REF!</definedName>
    <definedName name="g.32a" localSheetId="1">#REF!</definedName>
    <definedName name="g.32a" localSheetId="0">#REF!</definedName>
    <definedName name="g.32a" localSheetId="5">#REF!</definedName>
    <definedName name="g.32a" localSheetId="6">#REF!</definedName>
    <definedName name="g.32a" localSheetId="16">#REF!</definedName>
    <definedName name="g.32a" localSheetId="7">#REF!</definedName>
    <definedName name="g.32a">#REF!</definedName>
    <definedName name="G.32H" localSheetId="18">#REF!</definedName>
    <definedName name="G.32H" localSheetId="11">#REF!</definedName>
    <definedName name="G.32H" localSheetId="10">#REF!</definedName>
    <definedName name="G.32H" localSheetId="21">#REF!</definedName>
    <definedName name="G.32H" localSheetId="12">#REF!</definedName>
    <definedName name="G.32H" localSheetId="1">#REF!</definedName>
    <definedName name="G.32H" localSheetId="0">#REF!</definedName>
    <definedName name="G.32H" localSheetId="14">#REF!</definedName>
    <definedName name="G.32H" localSheetId="5">#REF!</definedName>
    <definedName name="G.32H" localSheetId="6">#REF!</definedName>
    <definedName name="G.32H" localSheetId="16">#REF!</definedName>
    <definedName name="G.32H" localSheetId="7">#REF!</definedName>
    <definedName name="G.32H">#REF!</definedName>
    <definedName name="G.33b" localSheetId="18">#REF!</definedName>
    <definedName name="G.33b" localSheetId="10">#REF!</definedName>
    <definedName name="G.33b" localSheetId="21">#REF!</definedName>
    <definedName name="G.33b" localSheetId="1">#REF!</definedName>
    <definedName name="G.33b" localSheetId="0">#REF!</definedName>
    <definedName name="G.33b" localSheetId="5">#REF!</definedName>
    <definedName name="G.33b" localSheetId="6">#REF!</definedName>
    <definedName name="G.33b" localSheetId="16">#REF!</definedName>
    <definedName name="G.33b" localSheetId="7">#REF!</definedName>
    <definedName name="G.33b">#REF!</definedName>
    <definedName name="G.33I" localSheetId="18">#REF!</definedName>
    <definedName name="G.33I" localSheetId="11">#REF!</definedName>
    <definedName name="G.33I" localSheetId="10">#REF!</definedName>
    <definedName name="G.33I" localSheetId="21">#REF!</definedName>
    <definedName name="G.33I" localSheetId="12">#REF!</definedName>
    <definedName name="G.33I" localSheetId="1">#REF!</definedName>
    <definedName name="G.33I" localSheetId="0">#REF!</definedName>
    <definedName name="G.33I" localSheetId="14">#REF!</definedName>
    <definedName name="G.33I" localSheetId="5">#REF!</definedName>
    <definedName name="G.33I" localSheetId="6">#REF!</definedName>
    <definedName name="G.33I" localSheetId="16">#REF!</definedName>
    <definedName name="G.33I" localSheetId="7">#REF!</definedName>
    <definedName name="G.33I">#REF!</definedName>
    <definedName name="G.33M" localSheetId="18">#REF!</definedName>
    <definedName name="G.33M" localSheetId="11">#REF!</definedName>
    <definedName name="G.33M" localSheetId="10">#REF!</definedName>
    <definedName name="G.33M" localSheetId="21">#REF!</definedName>
    <definedName name="G.33M" localSheetId="12">#REF!</definedName>
    <definedName name="G.33M" localSheetId="1">#REF!</definedName>
    <definedName name="G.33M" localSheetId="0">#REF!</definedName>
    <definedName name="G.33M" localSheetId="14">#REF!</definedName>
    <definedName name="G.33M" localSheetId="5">#REF!</definedName>
    <definedName name="G.33M" localSheetId="6">#REF!</definedName>
    <definedName name="G.33M" localSheetId="16">#REF!</definedName>
    <definedName name="G.33M" localSheetId="7">#REF!</definedName>
    <definedName name="G.33M">#REF!</definedName>
    <definedName name="G.41" localSheetId="18">#REF!</definedName>
    <definedName name="G.41" localSheetId="11">#REF!</definedName>
    <definedName name="G.41" localSheetId="10">#REF!</definedName>
    <definedName name="G.41" localSheetId="21">#REF!</definedName>
    <definedName name="G.41" localSheetId="12">#REF!</definedName>
    <definedName name="G.41" localSheetId="1">#REF!</definedName>
    <definedName name="G.41" localSheetId="0">#REF!</definedName>
    <definedName name="G.41" localSheetId="14">#REF!</definedName>
    <definedName name="G.41" localSheetId="5">#REF!</definedName>
    <definedName name="G.41" localSheetId="6">#REF!</definedName>
    <definedName name="G.41" localSheetId="16">#REF!</definedName>
    <definedName name="G.41" localSheetId="7">#REF!</definedName>
    <definedName name="G.41">#REF!</definedName>
    <definedName name="G.41A" localSheetId="18">#REF!</definedName>
    <definedName name="G.41A" localSheetId="11">#REF!</definedName>
    <definedName name="G.41A" localSheetId="10">#REF!</definedName>
    <definedName name="G.41A" localSheetId="21">#REF!</definedName>
    <definedName name="G.41A" localSheetId="12">#REF!</definedName>
    <definedName name="G.41A" localSheetId="1">#REF!</definedName>
    <definedName name="G.41A" localSheetId="0">#REF!</definedName>
    <definedName name="G.41A" localSheetId="14">#REF!</definedName>
    <definedName name="G.41A" localSheetId="5">#REF!</definedName>
    <definedName name="G.41A" localSheetId="6">#REF!</definedName>
    <definedName name="G.41A" localSheetId="16">#REF!</definedName>
    <definedName name="G.41A" localSheetId="7">#REF!</definedName>
    <definedName name="G.41A">#REF!</definedName>
    <definedName name="G.41B" localSheetId="18">#REF!</definedName>
    <definedName name="G.41B" localSheetId="11">#REF!</definedName>
    <definedName name="G.41B" localSheetId="10">#REF!</definedName>
    <definedName name="G.41B" localSheetId="21">#REF!</definedName>
    <definedName name="G.41B" localSheetId="12">#REF!</definedName>
    <definedName name="G.41B" localSheetId="1">#REF!</definedName>
    <definedName name="G.41B" localSheetId="0">#REF!</definedName>
    <definedName name="G.41B" localSheetId="14">#REF!</definedName>
    <definedName name="G.41B" localSheetId="5">#REF!</definedName>
    <definedName name="G.41B" localSheetId="6">#REF!</definedName>
    <definedName name="G.41B" localSheetId="16">#REF!</definedName>
    <definedName name="G.41B" localSheetId="7">#REF!</definedName>
    <definedName name="G.41B">#REF!</definedName>
    <definedName name="g.41c" localSheetId="18">#REF!</definedName>
    <definedName name="g.41c" localSheetId="10">#REF!</definedName>
    <definedName name="g.41c" localSheetId="21">#REF!</definedName>
    <definedName name="g.41c" localSheetId="1">#REF!</definedName>
    <definedName name="g.41c" localSheetId="0">#REF!</definedName>
    <definedName name="g.41c" localSheetId="5">#REF!</definedName>
    <definedName name="g.41c" localSheetId="6">#REF!</definedName>
    <definedName name="g.41c" localSheetId="16">#REF!</definedName>
    <definedName name="g.41c" localSheetId="7">#REF!</definedName>
    <definedName name="g.41c">#REF!</definedName>
    <definedName name="G.43" localSheetId="18">#REF!</definedName>
    <definedName name="G.43" localSheetId="11">#REF!</definedName>
    <definedName name="G.43" localSheetId="10">#REF!</definedName>
    <definedName name="G.43" localSheetId="21">#REF!</definedName>
    <definedName name="G.43" localSheetId="12">#REF!</definedName>
    <definedName name="G.43" localSheetId="1">#REF!</definedName>
    <definedName name="G.43" localSheetId="0">#REF!</definedName>
    <definedName name="G.43" localSheetId="14">#REF!</definedName>
    <definedName name="G.43" localSheetId="5">#REF!</definedName>
    <definedName name="G.43" localSheetId="6">#REF!</definedName>
    <definedName name="G.43" localSheetId="16">#REF!</definedName>
    <definedName name="G.43" localSheetId="7">#REF!</definedName>
    <definedName name="G.43">#REF!</definedName>
    <definedName name="G.43a" localSheetId="18">#REF!</definedName>
    <definedName name="G.43a" localSheetId="21">#REF!</definedName>
    <definedName name="G.43a" localSheetId="1">#REF!</definedName>
    <definedName name="G.43a" localSheetId="0">#REF!</definedName>
    <definedName name="G.43a" localSheetId="5">#REF!</definedName>
    <definedName name="G.43a" localSheetId="6">#REF!</definedName>
    <definedName name="G.43a" localSheetId="16">#REF!</definedName>
    <definedName name="G.43a" localSheetId="7">#REF!</definedName>
    <definedName name="G.43a">#REF!</definedName>
    <definedName name="G.43b" localSheetId="18">#REF!</definedName>
    <definedName name="G.43b" localSheetId="10">#REF!</definedName>
    <definedName name="G.43b" localSheetId="21">#REF!</definedName>
    <definedName name="G.43b" localSheetId="1">#REF!</definedName>
    <definedName name="G.43b" localSheetId="0">#REF!</definedName>
    <definedName name="G.43b" localSheetId="5">#REF!</definedName>
    <definedName name="G.43b" localSheetId="6">#REF!</definedName>
    <definedName name="G.43b" localSheetId="16">#REF!</definedName>
    <definedName name="G.43b" localSheetId="7">#REF!</definedName>
    <definedName name="G.43b">#REF!</definedName>
    <definedName name="G.44" localSheetId="18">#REF!</definedName>
    <definedName name="G.44" localSheetId="11">#REF!</definedName>
    <definedName name="G.44" localSheetId="10">#REF!</definedName>
    <definedName name="G.44" localSheetId="21">#REF!</definedName>
    <definedName name="G.44" localSheetId="12">#REF!</definedName>
    <definedName name="G.44" localSheetId="1">#REF!</definedName>
    <definedName name="G.44" localSheetId="0">#REF!</definedName>
    <definedName name="G.44" localSheetId="14">#REF!</definedName>
    <definedName name="G.44" localSheetId="5">#REF!</definedName>
    <definedName name="G.44" localSheetId="6">#REF!</definedName>
    <definedName name="G.44" localSheetId="16">#REF!</definedName>
    <definedName name="G.44" localSheetId="7">#REF!</definedName>
    <definedName name="G.44">#REF!</definedName>
    <definedName name="G.50H" localSheetId="18">#REF!</definedName>
    <definedName name="G.50H" localSheetId="11">#REF!</definedName>
    <definedName name="G.50H" localSheetId="10">#REF!</definedName>
    <definedName name="G.50H" localSheetId="21">#REF!</definedName>
    <definedName name="G.50H" localSheetId="12">#REF!</definedName>
    <definedName name="G.50H" localSheetId="1">#REF!</definedName>
    <definedName name="G.50H" localSheetId="0">#REF!</definedName>
    <definedName name="G.50H" localSheetId="14">#REF!</definedName>
    <definedName name="G.50H" localSheetId="5">#REF!</definedName>
    <definedName name="G.50H" localSheetId="6">#REF!</definedName>
    <definedName name="G.50H" localSheetId="16">#REF!</definedName>
    <definedName name="G.50H" localSheetId="7">#REF!</definedName>
    <definedName name="G.50H">#REF!</definedName>
    <definedName name="G.50I" localSheetId="18">#REF!</definedName>
    <definedName name="G.50I" localSheetId="11">#REF!</definedName>
    <definedName name="G.50I" localSheetId="10">#REF!</definedName>
    <definedName name="G.50I" localSheetId="21">#REF!</definedName>
    <definedName name="G.50I" localSheetId="12">#REF!</definedName>
    <definedName name="G.50I" localSheetId="1">#REF!</definedName>
    <definedName name="G.50I" localSheetId="0">#REF!</definedName>
    <definedName name="G.50I" localSheetId="14">#REF!</definedName>
    <definedName name="G.50I" localSheetId="5">#REF!</definedName>
    <definedName name="G.50I" localSheetId="6">#REF!</definedName>
    <definedName name="G.50I" localSheetId="16">#REF!</definedName>
    <definedName name="G.50I" localSheetId="7">#REF!</definedName>
    <definedName name="G.50I">#REF!</definedName>
    <definedName name="G.50K" localSheetId="18">#REF!</definedName>
    <definedName name="G.50K" localSheetId="11">#REF!</definedName>
    <definedName name="G.50K" localSheetId="10">#REF!</definedName>
    <definedName name="G.50K" localSheetId="21">#REF!</definedName>
    <definedName name="G.50K" localSheetId="12">#REF!</definedName>
    <definedName name="G.50K" localSheetId="1">#REF!</definedName>
    <definedName name="G.50K" localSheetId="0">#REF!</definedName>
    <definedName name="G.50K" localSheetId="14">#REF!</definedName>
    <definedName name="G.50K" localSheetId="5">#REF!</definedName>
    <definedName name="G.50K" localSheetId="6">#REF!</definedName>
    <definedName name="G.50K" localSheetId="16">#REF!</definedName>
    <definedName name="G.50K" localSheetId="7">#REF!</definedName>
    <definedName name="G.50K">#REF!</definedName>
    <definedName name="G.50q" localSheetId="18">#REF!</definedName>
    <definedName name="G.50q" localSheetId="10">#REF!</definedName>
    <definedName name="G.50q" localSheetId="21">#REF!</definedName>
    <definedName name="G.50q" localSheetId="1">#REF!</definedName>
    <definedName name="G.50q" localSheetId="0">#REF!</definedName>
    <definedName name="G.50q" localSheetId="5">#REF!</definedName>
    <definedName name="G.50q" localSheetId="6">#REF!</definedName>
    <definedName name="G.50q" localSheetId="16">#REF!</definedName>
    <definedName name="G.50q" localSheetId="7">#REF!</definedName>
    <definedName name="G.50q">#REF!</definedName>
    <definedName name="G.51C" localSheetId="18">#REF!</definedName>
    <definedName name="G.51C" localSheetId="11">#REF!</definedName>
    <definedName name="G.51C" localSheetId="10">#REF!</definedName>
    <definedName name="G.51C" localSheetId="21">#REF!</definedName>
    <definedName name="G.51C" localSheetId="12">#REF!</definedName>
    <definedName name="G.51C" localSheetId="1">#REF!</definedName>
    <definedName name="G.51C" localSheetId="0">#REF!</definedName>
    <definedName name="G.51C" localSheetId="14">#REF!</definedName>
    <definedName name="G.51C" localSheetId="5">#REF!</definedName>
    <definedName name="G.51C" localSheetId="6">#REF!</definedName>
    <definedName name="G.51C" localSheetId="16">#REF!</definedName>
    <definedName name="G.51C" localSheetId="7">#REF!</definedName>
    <definedName name="G.51C">#REF!</definedName>
    <definedName name="G.69A" localSheetId="18">#REF!</definedName>
    <definedName name="G.69A" localSheetId="11">#REF!</definedName>
    <definedName name="G.69A" localSheetId="10">#REF!</definedName>
    <definedName name="G.69A" localSheetId="21">#REF!</definedName>
    <definedName name="G.69A" localSheetId="12">#REF!</definedName>
    <definedName name="G.69A" localSheetId="1">#REF!</definedName>
    <definedName name="G.69A" localSheetId="0">#REF!</definedName>
    <definedName name="G.69A" localSheetId="14">#REF!</definedName>
    <definedName name="G.69A" localSheetId="5">#REF!</definedName>
    <definedName name="G.69A" localSheetId="6">#REF!</definedName>
    <definedName name="G.69A" localSheetId="16">#REF!</definedName>
    <definedName name="G.69A" localSheetId="7">#REF!</definedName>
    <definedName name="G.69A">#REF!</definedName>
    <definedName name="G.69B" localSheetId="18">#REF!</definedName>
    <definedName name="G.69B" localSheetId="11">#REF!</definedName>
    <definedName name="G.69B" localSheetId="10">#REF!</definedName>
    <definedName name="G.69B" localSheetId="21">#REF!</definedName>
    <definedName name="G.69B" localSheetId="12">#REF!</definedName>
    <definedName name="G.69B" localSheetId="1">#REF!</definedName>
    <definedName name="G.69B" localSheetId="0">#REF!</definedName>
    <definedName name="G.69B" localSheetId="14">#REF!</definedName>
    <definedName name="G.69B" localSheetId="5">#REF!</definedName>
    <definedName name="G.69B" localSheetId="6">#REF!</definedName>
    <definedName name="G.69B" localSheetId="16">#REF!</definedName>
    <definedName name="G.69B" localSheetId="7">#REF!</definedName>
    <definedName name="G.69B">#REF!</definedName>
    <definedName name="G.69c" localSheetId="18">#REF!</definedName>
    <definedName name="G.69c" localSheetId="10">#REF!</definedName>
    <definedName name="G.69c" localSheetId="21">#REF!</definedName>
    <definedName name="G.69c" localSheetId="1">#REF!</definedName>
    <definedName name="G.69c" localSheetId="0">#REF!</definedName>
    <definedName name="G.69c" localSheetId="5">#REF!</definedName>
    <definedName name="G.69c" localSheetId="6">#REF!</definedName>
    <definedName name="G.69c" localSheetId="16">#REF!</definedName>
    <definedName name="G.69c" localSheetId="7">#REF!</definedName>
    <definedName name="G.69c">#REF!</definedName>
    <definedName name="G.Kramik" localSheetId="18">#REF!</definedName>
    <definedName name="G.Kramik" localSheetId="11">#REF!</definedName>
    <definedName name="G.Kramik" localSheetId="10">#REF!</definedName>
    <definedName name="G.Kramik" localSheetId="21">#REF!</definedName>
    <definedName name="G.Kramik" localSheetId="12">#REF!</definedName>
    <definedName name="G.Kramik" localSheetId="1">#REF!</definedName>
    <definedName name="G.Kramik" localSheetId="0">#REF!</definedName>
    <definedName name="G.Kramik" localSheetId="14">#REF!</definedName>
    <definedName name="G.Kramik" localSheetId="5">#REF!</definedName>
    <definedName name="G.Kramik" localSheetId="6">#REF!</definedName>
    <definedName name="G.Kramik" localSheetId="16">#REF!</definedName>
    <definedName name="G.Kramik" localSheetId="7">#REF!</definedName>
    <definedName name="G.Kramik">#REF!</definedName>
    <definedName name="gali" localSheetId="18">#REF!</definedName>
    <definedName name="gali" localSheetId="11">#REF!</definedName>
    <definedName name="gali" localSheetId="10">#REF!</definedName>
    <definedName name="gali" localSheetId="21">#REF!</definedName>
    <definedName name="gali" localSheetId="12">#REF!</definedName>
    <definedName name="gali" localSheetId="1">#REF!</definedName>
    <definedName name="gali" localSheetId="0">#REF!</definedName>
    <definedName name="gali" localSheetId="14">#REF!</definedName>
    <definedName name="gali" localSheetId="5">#REF!</definedName>
    <definedName name="gali" localSheetId="6">#REF!</definedName>
    <definedName name="gali" localSheetId="16">#REF!</definedName>
    <definedName name="gali" localSheetId="7">#REF!</definedName>
    <definedName name="gali">#REF!</definedName>
    <definedName name="Galian">'[37]Jamur Jelatang'!$P$24</definedName>
    <definedName name="galtanahkons">'[38]DRUP (ASLI)'!$I$582</definedName>
    <definedName name="gebalan" localSheetId="21">#REF!</definedName>
    <definedName name="gebalan" localSheetId="1">#REF!</definedName>
    <definedName name="gebalan" localSheetId="0">#REF!</definedName>
    <definedName name="gebalan" localSheetId="5">#REF!</definedName>
    <definedName name="gebalan" localSheetId="6">#REF!</definedName>
    <definedName name="gebalan" localSheetId="16">#REF!</definedName>
    <definedName name="gebalan" localSheetId="7">#REF!</definedName>
    <definedName name="gebalan">#REF!</definedName>
    <definedName name="genset" localSheetId="21">#REF!</definedName>
    <definedName name="genset" localSheetId="1">#REF!</definedName>
    <definedName name="genset" localSheetId="0">#REF!</definedName>
    <definedName name="genset" localSheetId="5">#REF!</definedName>
    <definedName name="genset" localSheetId="6">#REF!</definedName>
    <definedName name="genset" localSheetId="16">#REF!</definedName>
    <definedName name="genset" localSheetId="7">#REF!</definedName>
    <definedName name="genset">#REF!</definedName>
    <definedName name="GES" localSheetId="21">#REF!</definedName>
    <definedName name="GES" localSheetId="1">#REF!</definedName>
    <definedName name="GES" localSheetId="0">#REF!</definedName>
    <definedName name="GES" localSheetId="5">#REF!</definedName>
    <definedName name="GES" localSheetId="6">#REF!</definedName>
    <definedName name="GES" localSheetId="16">#REF!</definedName>
    <definedName name="GES" localSheetId="7">#REF!</definedName>
    <definedName name="GES">#REF!</definedName>
    <definedName name="GET_B" localSheetId="21">#REF!</definedName>
    <definedName name="GET_B" localSheetId="1">#REF!</definedName>
    <definedName name="GET_B" localSheetId="0">#REF!</definedName>
    <definedName name="GET_B" localSheetId="5">#REF!</definedName>
    <definedName name="GET_B" localSheetId="6">#REF!</definedName>
    <definedName name="GET_B" localSheetId="16">#REF!</definedName>
    <definedName name="GET_B" localSheetId="7">#REF!</definedName>
    <definedName name="GET_B">#REF!</definedName>
    <definedName name="GETB" localSheetId="21">#REF!</definedName>
    <definedName name="GETB" localSheetId="1">#REF!</definedName>
    <definedName name="GETB" localSheetId="0">#REF!</definedName>
    <definedName name="GETB" localSheetId="5">#REF!</definedName>
    <definedName name="GETB" localSheetId="6">#REF!</definedName>
    <definedName name="GETB" localSheetId="16">#REF!</definedName>
    <definedName name="GETB" localSheetId="7">#REF!</definedName>
    <definedName name="GETB">#REF!</definedName>
    <definedName name="gevel" localSheetId="18">[25]Analisis!#REF!</definedName>
    <definedName name="gevel" localSheetId="10">[25]Analisis!#REF!</definedName>
    <definedName name="gevel" localSheetId="21">[25]Analisis!#REF!</definedName>
    <definedName name="gevel" localSheetId="1">[25]Analisis!#REF!</definedName>
    <definedName name="gevel" localSheetId="0">[25]Analisis!#REF!</definedName>
    <definedName name="gevel" localSheetId="5">[25]Analisis!#REF!</definedName>
    <definedName name="gevel" localSheetId="6">[25]Analisis!#REF!</definedName>
    <definedName name="gevel" localSheetId="16">[25]Analisis!#REF!</definedName>
    <definedName name="gevel" localSheetId="7">[25]Analisis!#REF!</definedName>
    <definedName name="gevel">[25]Analisis!#REF!</definedName>
    <definedName name="GGGGG">[5]alat!$AW$10</definedName>
    <definedName name="GGGGGGGGGGGGG">[5]alat!$AW$11</definedName>
    <definedName name="GGHDD">[5]alat!$A$355:$J$413</definedName>
    <definedName name="gi">'[23]Upah&amp;Bahan'!$U$821</definedName>
    <definedName name="gil">'[23]Upah&amp;Bahan'!$U$709</definedName>
    <definedName name="gila">'[23]Upah&amp;Bahan'!$U$653</definedName>
    <definedName name="GILAS" localSheetId="18">#REF!</definedName>
    <definedName name="GILAS" localSheetId="11">#REF!</definedName>
    <definedName name="GILAS" localSheetId="10">#REF!</definedName>
    <definedName name="GILAS" localSheetId="21">#REF!</definedName>
    <definedName name="GILAS" localSheetId="12">#REF!</definedName>
    <definedName name="GILAS" localSheetId="1">#REF!</definedName>
    <definedName name="GILAS" localSheetId="0">#REF!</definedName>
    <definedName name="GILAS" localSheetId="14">#REF!</definedName>
    <definedName name="GILAS" localSheetId="5">#REF!</definedName>
    <definedName name="GILAS" localSheetId="6">#REF!</definedName>
    <definedName name="GILAS" localSheetId="16">#REF!</definedName>
    <definedName name="GILAS" localSheetId="7">#REF!</definedName>
    <definedName name="GILAS">#REF!</definedName>
    <definedName name="GLN_H_" localSheetId="21">#REF!</definedName>
    <definedName name="GLN_H_" localSheetId="1">#REF!</definedName>
    <definedName name="GLN_H_" localSheetId="0">#REF!</definedName>
    <definedName name="GLN_H_" localSheetId="5">#REF!</definedName>
    <definedName name="GLN_H_" localSheetId="6">#REF!</definedName>
    <definedName name="GLN_H_" localSheetId="16">#REF!</definedName>
    <definedName name="GLN_H_" localSheetId="7">#REF!</definedName>
    <definedName name="GLN_H_">#REF!</definedName>
    <definedName name="GLNH" localSheetId="21">#REF!</definedName>
    <definedName name="GLNH" localSheetId="1">#REF!</definedName>
    <definedName name="GLNH" localSheetId="0">#REF!</definedName>
    <definedName name="GLNH" localSheetId="5">#REF!</definedName>
    <definedName name="GLNH" localSheetId="6">#REF!</definedName>
    <definedName name="GLNH" localSheetId="16">#REF!</definedName>
    <definedName name="GLNH" localSheetId="7">#REF!</definedName>
    <definedName name="GLNH">#REF!</definedName>
    <definedName name="GLT" localSheetId="21">#REF!</definedName>
    <definedName name="GLT" localSheetId="1">#REF!</definedName>
    <definedName name="GLT" localSheetId="0">#REF!</definedName>
    <definedName name="GLT" localSheetId="5">#REF!</definedName>
    <definedName name="GLT" localSheetId="6">#REF!</definedName>
    <definedName name="GLT" localSheetId="16">#REF!</definedName>
    <definedName name="GLT" localSheetId="7">#REF!</definedName>
    <definedName name="GLT">#REF!</definedName>
    <definedName name="Gman" localSheetId="21">[10]HSP!#REF!</definedName>
    <definedName name="Gman" localSheetId="1">[10]HSP!#REF!</definedName>
    <definedName name="Gman" localSheetId="0">[10]HSP!#REF!</definedName>
    <definedName name="Gman" localSheetId="5">[10]HSP!#REF!</definedName>
    <definedName name="Gman" localSheetId="6">[10]HSP!#REF!</definedName>
    <definedName name="Gman" localSheetId="16">[10]HSP!#REF!</definedName>
    <definedName name="Gman" localSheetId="7">[10]HSP!#REF!</definedName>
    <definedName name="Gman">[10]HSP!#REF!</definedName>
    <definedName name="GORONG1M" localSheetId="21">#REF!</definedName>
    <definedName name="GORONG1M" localSheetId="1">#REF!</definedName>
    <definedName name="GORONG1M" localSheetId="0">#REF!</definedName>
    <definedName name="GORONG1M" localSheetId="5">#REF!</definedName>
    <definedName name="GORONG1M" localSheetId="6">#REF!</definedName>
    <definedName name="GORONG1M" localSheetId="16">#REF!</definedName>
    <definedName name="GORONG1M" localSheetId="7">#REF!</definedName>
    <definedName name="GORONG1M">#REF!</definedName>
    <definedName name="gr" localSheetId="21">[10]HSP!#REF!</definedName>
    <definedName name="gr" localSheetId="1">[10]HSP!#REF!</definedName>
    <definedName name="gr" localSheetId="0">[10]HSP!#REF!</definedName>
    <definedName name="gr" localSheetId="5">[10]HSP!#REF!</definedName>
    <definedName name="gr" localSheetId="6">[10]HSP!#REF!</definedName>
    <definedName name="gr" localSheetId="16">[10]HSP!#REF!</definedName>
    <definedName name="gr" localSheetId="7">[10]HSP!#REF!</definedName>
    <definedName name="gr">[10]HSP!#REF!</definedName>
    <definedName name="grader" localSheetId="18">#REF!</definedName>
    <definedName name="grader" localSheetId="21">#REF!</definedName>
    <definedName name="grader" localSheetId="1">#REF!</definedName>
    <definedName name="grader" localSheetId="0">#REF!</definedName>
    <definedName name="grader" localSheetId="5">#REF!</definedName>
    <definedName name="grader" localSheetId="6">#REF!</definedName>
    <definedName name="grader" localSheetId="16">#REF!</definedName>
    <definedName name="grader" localSheetId="7">#REF!</definedName>
    <definedName name="grader">#REF!</definedName>
    <definedName name="GRAVEL" localSheetId="18">[19]Quarry!#REF!</definedName>
    <definedName name="GRAVEL" localSheetId="10">[19]Quarry!#REF!</definedName>
    <definedName name="GRAVEL" localSheetId="21">[19]Quarry!#REF!</definedName>
    <definedName name="GRAVEL" localSheetId="1">[19]Quarry!#REF!</definedName>
    <definedName name="GRAVEL" localSheetId="0">[19]Quarry!#REF!</definedName>
    <definedName name="GRAVEL" localSheetId="5">[19]Quarry!#REF!</definedName>
    <definedName name="GRAVEL" localSheetId="6">[19]Quarry!#REF!</definedName>
    <definedName name="GRAVEL" localSheetId="16">[19]Quarry!#REF!</definedName>
    <definedName name="GRAVEL" localSheetId="7">[19]Quarry!#REF!</definedName>
    <definedName name="GRAVEL">[19]Quarry!#REF!</definedName>
    <definedName name="Grease" localSheetId="21">'[26]Daftar Harga'!#REF!</definedName>
    <definedName name="Grease" localSheetId="1">'[26]Daftar Harga'!#REF!</definedName>
    <definedName name="Grease" localSheetId="0">'[26]Daftar Harga'!#REF!</definedName>
    <definedName name="Grease" localSheetId="5">'[26]Daftar Harga'!#REF!</definedName>
    <definedName name="Grease" localSheetId="6">'[26]Daftar Harga'!#REF!</definedName>
    <definedName name="Grease" localSheetId="16">'[26]Daftar Harga'!#REF!</definedName>
    <definedName name="Grease" localSheetId="7">'[26]Daftar Harga'!#REF!</definedName>
    <definedName name="Grease">'[26]Daftar Harga'!#REF!</definedName>
    <definedName name="grendeljendela" localSheetId="18">[24]cover!#REF!</definedName>
    <definedName name="grendeljendela" localSheetId="10">[24]cover!#REF!</definedName>
    <definedName name="grendeljendela" localSheetId="21">[24]cover!#REF!</definedName>
    <definedName name="grendeljendela" localSheetId="1">[24]cover!#REF!</definedName>
    <definedName name="grendeljendela" localSheetId="0">[24]cover!#REF!</definedName>
    <definedName name="grendeljendela" localSheetId="5">[24]cover!#REF!</definedName>
    <definedName name="grendeljendela" localSheetId="6">[24]cover!#REF!</definedName>
    <definedName name="grendeljendela" localSheetId="16">[24]cover!#REF!</definedName>
    <definedName name="grendeljendela" localSheetId="7">[24]cover!#REF!</definedName>
    <definedName name="grendeljendela">[24]cover!#REF!</definedName>
    <definedName name="gypsum.9" localSheetId="18">#REF!</definedName>
    <definedName name="gypsum.9" localSheetId="11">#REF!</definedName>
    <definedName name="gypsum.9" localSheetId="10">#REF!</definedName>
    <definedName name="gypsum.9" localSheetId="21">#REF!</definedName>
    <definedName name="gypsum.9" localSheetId="12">#REF!</definedName>
    <definedName name="gypsum.9" localSheetId="1">#REF!</definedName>
    <definedName name="gypsum.9" localSheetId="0">#REF!</definedName>
    <definedName name="gypsum.9" localSheetId="14">#REF!</definedName>
    <definedName name="gypsum.9" localSheetId="5">#REF!</definedName>
    <definedName name="gypsum.9" localSheetId="6">#REF!</definedName>
    <definedName name="gypsum.9" localSheetId="16">#REF!</definedName>
    <definedName name="gypsum.9" localSheetId="7">#REF!</definedName>
    <definedName name="gypsum.9">#REF!</definedName>
    <definedName name="gypsum.prf" localSheetId="18">#REF!</definedName>
    <definedName name="gypsum.prf" localSheetId="11">#REF!</definedName>
    <definedName name="gypsum.prf" localSheetId="10">#REF!</definedName>
    <definedName name="gypsum.prf" localSheetId="21">#REF!</definedName>
    <definedName name="gypsum.prf" localSheetId="12">#REF!</definedName>
    <definedName name="gypsum.prf" localSheetId="1">#REF!</definedName>
    <definedName name="gypsum.prf" localSheetId="0">#REF!</definedName>
    <definedName name="gypsum.prf" localSheetId="14">#REF!</definedName>
    <definedName name="gypsum.prf" localSheetId="5">#REF!</definedName>
    <definedName name="gypsum.prf" localSheetId="6">#REF!</definedName>
    <definedName name="gypsum.prf" localSheetId="16">#REF!</definedName>
    <definedName name="gypsum.prf" localSheetId="7">#REF!</definedName>
    <definedName name="gypsum.prf">#REF!</definedName>
    <definedName name="H.06" localSheetId="18">#REF!</definedName>
    <definedName name="H.06" localSheetId="10">#REF!</definedName>
    <definedName name="H.06" localSheetId="21">#REF!</definedName>
    <definedName name="H.06" localSheetId="1">#REF!</definedName>
    <definedName name="H.06" localSheetId="0">#REF!</definedName>
    <definedName name="H.06" localSheetId="5">#REF!</definedName>
    <definedName name="H.06" localSheetId="6">#REF!</definedName>
    <definedName name="H.06" localSheetId="16">#REF!</definedName>
    <definedName name="H.06" localSheetId="7">#REF!</definedName>
    <definedName name="H.06">#REF!</definedName>
    <definedName name="H.10" localSheetId="18">#REF!</definedName>
    <definedName name="H.10" localSheetId="10">#REF!</definedName>
    <definedName name="H.10" localSheetId="21">#REF!</definedName>
    <definedName name="H.10" localSheetId="1">#REF!</definedName>
    <definedName name="H.10" localSheetId="0">#REF!</definedName>
    <definedName name="H.10" localSheetId="5">#REF!</definedName>
    <definedName name="H.10" localSheetId="6">#REF!</definedName>
    <definedName name="H.10" localSheetId="16">#REF!</definedName>
    <definedName name="H.10" localSheetId="7">#REF!</definedName>
    <definedName name="H.10">#REF!</definedName>
    <definedName name="H.10A" localSheetId="18">#REF!</definedName>
    <definedName name="H.10A" localSheetId="11">#REF!</definedName>
    <definedName name="H.10A" localSheetId="10">#REF!</definedName>
    <definedName name="H.10A" localSheetId="21">#REF!</definedName>
    <definedName name="H.10A" localSheetId="12">#REF!</definedName>
    <definedName name="H.10A" localSheetId="1">#REF!</definedName>
    <definedName name="H.10A" localSheetId="0">#REF!</definedName>
    <definedName name="H.10A" localSheetId="14">#REF!</definedName>
    <definedName name="H.10A" localSheetId="5">#REF!</definedName>
    <definedName name="H.10A" localSheetId="6">#REF!</definedName>
    <definedName name="H.10A" localSheetId="16">#REF!</definedName>
    <definedName name="H.10A" localSheetId="7">#REF!</definedName>
    <definedName name="H.10A">#REF!</definedName>
    <definedName name="H.15" localSheetId="18">#REF!</definedName>
    <definedName name="H.15" localSheetId="10">#REF!</definedName>
    <definedName name="H.15" localSheetId="21">#REF!</definedName>
    <definedName name="H.15" localSheetId="1">#REF!</definedName>
    <definedName name="H.15" localSheetId="0">#REF!</definedName>
    <definedName name="H.15" localSheetId="5">#REF!</definedName>
    <definedName name="H.15" localSheetId="6">#REF!</definedName>
    <definedName name="H.15" localSheetId="16">#REF!</definedName>
    <definedName name="H.15" localSheetId="7">#REF!</definedName>
    <definedName name="H.15">#REF!</definedName>
    <definedName name="H.8A" localSheetId="18">#REF!</definedName>
    <definedName name="H.8A" localSheetId="11">#REF!</definedName>
    <definedName name="H.8A" localSheetId="10">#REF!</definedName>
    <definedName name="H.8A" localSheetId="21">#REF!</definedName>
    <definedName name="H.8A" localSheetId="12">#REF!</definedName>
    <definedName name="H.8A" localSheetId="1">#REF!</definedName>
    <definedName name="H.8A" localSheetId="0">#REF!</definedName>
    <definedName name="H.8A" localSheetId="14">#REF!</definedName>
    <definedName name="H.8A" localSheetId="5">#REF!</definedName>
    <definedName name="H.8A" localSheetId="6">#REF!</definedName>
    <definedName name="H.8A" localSheetId="16">#REF!</definedName>
    <definedName name="H.8A" localSheetId="7">#REF!</definedName>
    <definedName name="H.8A">#REF!</definedName>
    <definedName name="hakangin" localSheetId="18">[24]cover!#REF!</definedName>
    <definedName name="hakangin" localSheetId="10">[24]cover!#REF!</definedName>
    <definedName name="hakangin" localSheetId="21">[24]cover!#REF!</definedName>
    <definedName name="hakangin" localSheetId="1">[24]cover!#REF!</definedName>
    <definedName name="hakangin" localSheetId="0">[24]cover!#REF!</definedName>
    <definedName name="hakangin" localSheetId="5">[24]cover!#REF!</definedName>
    <definedName name="hakangin" localSheetId="6">[24]cover!#REF!</definedName>
    <definedName name="hakangin" localSheetId="16">[24]cover!#REF!</definedName>
    <definedName name="hakangin" localSheetId="7">[24]cover!#REF!</definedName>
    <definedName name="hakangin">[24]cover!#REF!</definedName>
    <definedName name="Hammer">[30]rekap!$D$78</definedName>
    <definedName name="HARGA" localSheetId="11">'[39]BHN UPAH'!#REF!</definedName>
    <definedName name="HARGA" localSheetId="10">'[39]BHN UPAH'!#REF!</definedName>
    <definedName name="HARGA" localSheetId="21">'[39]BHN UPAH'!#REF!</definedName>
    <definedName name="HARGA" localSheetId="12">'[39]BHN UPAH'!#REF!</definedName>
    <definedName name="HARGA" localSheetId="1">'[39]BHN UPAH'!#REF!</definedName>
    <definedName name="HARGA" localSheetId="0">'[39]BHN UPAH'!#REF!</definedName>
    <definedName name="HARGA" localSheetId="14">'[39]BHN UPAH'!#REF!</definedName>
    <definedName name="HARGA" localSheetId="5">'[39]BHN UPAH'!#REF!</definedName>
    <definedName name="HARGA" localSheetId="6">'[39]BHN UPAH'!#REF!</definedName>
    <definedName name="HARGA" localSheetId="16">'[39]BHN UPAH'!#REF!</definedName>
    <definedName name="HARGA" localSheetId="7">'[39]BHN UPAH'!#REF!</definedName>
    <definedName name="HARGA">'[39]BHN UPAH'!#REF!</definedName>
    <definedName name="harga\" localSheetId="18">#REF!</definedName>
    <definedName name="harga\" localSheetId="11">#REF!</definedName>
    <definedName name="harga\" localSheetId="21">#REF!</definedName>
    <definedName name="harga\" localSheetId="12">#REF!</definedName>
    <definedName name="harga\" localSheetId="1">#REF!</definedName>
    <definedName name="harga\" localSheetId="0">#REF!</definedName>
    <definedName name="harga\" localSheetId="14">#REF!</definedName>
    <definedName name="harga\" localSheetId="5">#REF!</definedName>
    <definedName name="harga\" localSheetId="6">#REF!</definedName>
    <definedName name="harga\" localSheetId="16">#REF!</definedName>
    <definedName name="harga\" localSheetId="7">#REF!</definedName>
    <definedName name="harga\">#REF!</definedName>
    <definedName name="HARGA_BAHAN" localSheetId="18">#REF!</definedName>
    <definedName name="HARGA_BAHAN" localSheetId="10">#REF!</definedName>
    <definedName name="HARGA_BAHAN" localSheetId="21">#REF!</definedName>
    <definedName name="HARGA_BAHAN" localSheetId="1">#REF!</definedName>
    <definedName name="HARGA_BAHAN" localSheetId="0">#REF!</definedName>
    <definedName name="HARGA_BAHAN" localSheetId="5">#REF!</definedName>
    <definedName name="HARGA_BAHAN" localSheetId="6">#REF!</definedName>
    <definedName name="HARGA_BAHAN" localSheetId="16">#REF!</definedName>
    <definedName name="HARGA_BAHAN" localSheetId="7">#REF!</definedName>
    <definedName name="HARGA_BAHAN">#REF!</definedName>
    <definedName name="hargasatuan" localSheetId="18">#REF!</definedName>
    <definedName name="hargasatuan" localSheetId="11">#REF!</definedName>
    <definedName name="hargasatuan" localSheetId="21">#REF!</definedName>
    <definedName name="hargasatuan" localSheetId="12">#REF!</definedName>
    <definedName name="hargasatuan" localSheetId="1">#REF!</definedName>
    <definedName name="hargasatuan" localSheetId="0">#REF!</definedName>
    <definedName name="hargasatuan" localSheetId="14">#REF!</definedName>
    <definedName name="hargasatuan" localSheetId="5">#REF!</definedName>
    <definedName name="hargasatuan" localSheetId="6">#REF!</definedName>
    <definedName name="hargasatuan" localSheetId="16">#REF!</definedName>
    <definedName name="hargasatuan" localSheetId="7">#REF!</definedName>
    <definedName name="hargasatuan">#REF!</definedName>
    <definedName name="hari">'[23]Upah&amp;Bahan'!$C$41</definedName>
    <definedName name="hg">'[23]Upah&amp;Bahan'!$C$55</definedName>
    <definedName name="Hidraulik" localSheetId="21">'[26]Daftar Harga'!#REF!</definedName>
    <definedName name="Hidraulik" localSheetId="1">'[26]Daftar Harga'!#REF!</definedName>
    <definedName name="Hidraulik" localSheetId="0">'[26]Daftar Harga'!#REF!</definedName>
    <definedName name="Hidraulik" localSheetId="5">'[26]Daftar Harga'!#REF!</definedName>
    <definedName name="Hidraulik" localSheetId="6">'[26]Daftar Harga'!#REF!</definedName>
    <definedName name="Hidraulik" localSheetId="16">'[26]Daftar Harga'!#REF!</definedName>
    <definedName name="Hidraulik" localSheetId="7">'[26]Daftar Harga'!#REF!</definedName>
    <definedName name="Hidraulik">'[26]Daftar Harga'!#REF!</definedName>
    <definedName name="hpbp" localSheetId="18">#REF!</definedName>
    <definedName name="hpbp" localSheetId="10">#REF!</definedName>
    <definedName name="hpbp" localSheetId="21">#REF!</definedName>
    <definedName name="hpbp" localSheetId="1">#REF!</definedName>
    <definedName name="hpbp" localSheetId="0">#REF!</definedName>
    <definedName name="hpbp" localSheetId="5">#REF!</definedName>
    <definedName name="hpbp" localSheetId="6">#REF!</definedName>
    <definedName name="hpbp" localSheetId="16">#REF!</definedName>
    <definedName name="hpbp" localSheetId="7">#REF!</definedName>
    <definedName name="hpbp">#REF!</definedName>
    <definedName name="hpkst" localSheetId="18">#REF!</definedName>
    <definedName name="hpkst" localSheetId="10">#REF!</definedName>
    <definedName name="hpkst" localSheetId="21">#REF!</definedName>
    <definedName name="hpkst" localSheetId="1">#REF!</definedName>
    <definedName name="hpkst" localSheetId="0">#REF!</definedName>
    <definedName name="hpkst" localSheetId="5">#REF!</definedName>
    <definedName name="hpkst" localSheetId="6">#REF!</definedName>
    <definedName name="hpkst" localSheetId="16">#REF!</definedName>
    <definedName name="hpkst" localSheetId="7">#REF!</definedName>
    <definedName name="hpkst">#REF!</definedName>
    <definedName name="hppt" localSheetId="18">#REF!</definedName>
    <definedName name="hppt" localSheetId="10">#REF!</definedName>
    <definedName name="hppt" localSheetId="21">#REF!</definedName>
    <definedName name="hppt" localSheetId="1">#REF!</definedName>
    <definedName name="hppt" localSheetId="0">#REF!</definedName>
    <definedName name="hppt" localSheetId="5">#REF!</definedName>
    <definedName name="hppt" localSheetId="6">#REF!</definedName>
    <definedName name="hppt" localSheetId="16">#REF!</definedName>
    <definedName name="hppt" localSheetId="7">#REF!</definedName>
    <definedName name="hppt">#REF!</definedName>
    <definedName name="hrgdasar">[40]HSItem!$D$11:$F$658</definedName>
    <definedName name="HRS" localSheetId="18">#REF!</definedName>
    <definedName name="HRS" localSheetId="11">#REF!</definedName>
    <definedName name="HRS" localSheetId="10">#REF!</definedName>
    <definedName name="HRS" localSheetId="21">#REF!</definedName>
    <definedName name="HRS" localSheetId="12">#REF!</definedName>
    <definedName name="HRS" localSheetId="1">#REF!</definedName>
    <definedName name="HRS" localSheetId="0">#REF!</definedName>
    <definedName name="HRS" localSheetId="14">#REF!</definedName>
    <definedName name="HRS" localSheetId="5">#REF!</definedName>
    <definedName name="HRS" localSheetId="6">#REF!</definedName>
    <definedName name="HRS" localSheetId="16">#REF!</definedName>
    <definedName name="HRS" localSheetId="7">#REF!</definedName>
    <definedName name="HRS">#REF!</definedName>
    <definedName name="HST" localSheetId="18">'[32]Daftar Harga Satuan'!$A$1:$IV$65536</definedName>
    <definedName name="HST">'[32]Daftar Harga Satuan'!$A:$IV</definedName>
    <definedName name="HUB">'[32]Daftar Harga Satuan'!$A$12:$E$283</definedName>
    <definedName name="hutan" localSheetId="21">'[41]UPH &amp; BHN'!#REF!</definedName>
    <definedName name="hutan" localSheetId="1">'[41]UPH &amp; BHN'!#REF!</definedName>
    <definedName name="hutan" localSheetId="0">'[41]UPH &amp; BHN'!#REF!</definedName>
    <definedName name="hutan" localSheetId="5">'[41]UPH &amp; BHN'!#REF!</definedName>
    <definedName name="hutan" localSheetId="6">'[41]UPH &amp; BHN'!#REF!</definedName>
    <definedName name="hutan" localSheetId="16">'[41]UPH &amp; BHN'!#REF!</definedName>
    <definedName name="hutan" localSheetId="7">'[41]UPH &amp; BHN'!#REF!</definedName>
    <definedName name="hutan">'[41]UPH &amp; BHN'!#REF!</definedName>
    <definedName name="Hydraulic" localSheetId="21">#REF!</definedName>
    <definedName name="Hydraulic" localSheetId="1">#REF!</definedName>
    <definedName name="Hydraulic" localSheetId="0">#REF!</definedName>
    <definedName name="Hydraulic" localSheetId="5">#REF!</definedName>
    <definedName name="Hydraulic" localSheetId="6">#REF!</definedName>
    <definedName name="Hydraulic" localSheetId="16">#REF!</definedName>
    <definedName name="Hydraulic" localSheetId="7">#REF!</definedName>
    <definedName name="Hydraulic">#REF!</definedName>
    <definedName name="I" localSheetId="18">#REF!</definedName>
    <definedName name="I" localSheetId="21">#REF!</definedName>
    <definedName name="I" localSheetId="1">#REF!</definedName>
    <definedName name="I" localSheetId="0">#REF!</definedName>
    <definedName name="I" localSheetId="5">#REF!</definedName>
    <definedName name="I" localSheetId="6">#REF!</definedName>
    <definedName name="I" localSheetId="16">#REF!</definedName>
    <definedName name="I" localSheetId="7">#REF!</definedName>
    <definedName name="I">#REF!</definedName>
    <definedName name="I.2" localSheetId="18">#REF!</definedName>
    <definedName name="I.2" localSheetId="11">#REF!</definedName>
    <definedName name="I.2" localSheetId="10">#REF!</definedName>
    <definedName name="I.2" localSheetId="21">#REF!</definedName>
    <definedName name="I.2" localSheetId="12">#REF!</definedName>
    <definedName name="I.2" localSheetId="1">#REF!</definedName>
    <definedName name="I.2" localSheetId="0">#REF!</definedName>
    <definedName name="I.2" localSheetId="14">#REF!</definedName>
    <definedName name="I.2" localSheetId="5">#REF!</definedName>
    <definedName name="I.2" localSheetId="6">#REF!</definedName>
    <definedName name="I.2" localSheetId="16">#REF!</definedName>
    <definedName name="I.2" localSheetId="7">#REF!</definedName>
    <definedName name="I.2">#REF!</definedName>
    <definedName name="iat">'[13]Upah&amp;Bahan'!$C$55</definedName>
    <definedName name="ID" localSheetId="21">#REF!</definedName>
    <definedName name="ID" localSheetId="1">#REF!</definedName>
    <definedName name="ID" localSheetId="0">#REF!</definedName>
    <definedName name="ID" localSheetId="5">#REF!</definedName>
    <definedName name="ID" localSheetId="6">#REF!</definedName>
    <definedName name="ID" localSheetId="16">#REF!</definedName>
    <definedName name="ID" localSheetId="7">#REF!</definedName>
    <definedName name="ID">#REF!</definedName>
    <definedName name="ID_A" localSheetId="21">#REF!</definedName>
    <definedName name="ID_A" localSheetId="1">#REF!</definedName>
    <definedName name="ID_A" localSheetId="0">#REF!</definedName>
    <definedName name="ID_A" localSheetId="5">#REF!</definedName>
    <definedName name="ID_A" localSheetId="6">#REF!</definedName>
    <definedName name="ID_A" localSheetId="16">#REF!</definedName>
    <definedName name="ID_A" localSheetId="7">#REF!</definedName>
    <definedName name="ID_A">#REF!</definedName>
    <definedName name="ID_A_" localSheetId="21">#REF!</definedName>
    <definedName name="ID_A_" localSheetId="1">#REF!</definedName>
    <definedName name="ID_A_" localSheetId="0">#REF!</definedName>
    <definedName name="ID_A_" localSheetId="5">#REF!</definedName>
    <definedName name="ID_A_" localSheetId="6">#REF!</definedName>
    <definedName name="ID_A_" localSheetId="16">#REF!</definedName>
    <definedName name="ID_A_" localSheetId="7">#REF!</definedName>
    <definedName name="ID_A_">#REF!</definedName>
    <definedName name="IE" localSheetId="21">#REF!</definedName>
    <definedName name="IE" localSheetId="1">#REF!</definedName>
    <definedName name="IE" localSheetId="0">#REF!</definedName>
    <definedName name="IE" localSheetId="5">#REF!</definedName>
    <definedName name="IE" localSheetId="6">#REF!</definedName>
    <definedName name="IE" localSheetId="16">#REF!</definedName>
    <definedName name="IE" localSheetId="7">#REF!</definedName>
    <definedName name="IE">#REF!</definedName>
    <definedName name="II_PEK_TANAH" localSheetId="18">#REF!</definedName>
    <definedName name="II_PEK_TANAH" localSheetId="21">#REF!</definedName>
    <definedName name="II_PEK_TANAH" localSheetId="1">#REF!</definedName>
    <definedName name="II_PEK_TANAH" localSheetId="0">#REF!</definedName>
    <definedName name="II_PEK_TANAH" localSheetId="5">#REF!</definedName>
    <definedName name="II_PEK_TANAH" localSheetId="6">#REF!</definedName>
    <definedName name="II_PEK_TANAH" localSheetId="16">#REF!</definedName>
    <definedName name="II_PEK_TANAH" localSheetId="7">#REF!</definedName>
    <definedName name="II_PEK_TANAH">#REF!</definedName>
    <definedName name="III_PEK_PONDASI" localSheetId="18">#REF!</definedName>
    <definedName name="III_PEK_PONDASI" localSheetId="21">#REF!</definedName>
    <definedName name="III_PEK_PONDASI" localSheetId="1">#REF!</definedName>
    <definedName name="III_PEK_PONDASI" localSheetId="0">#REF!</definedName>
    <definedName name="III_PEK_PONDASI" localSheetId="5">#REF!</definedName>
    <definedName name="III_PEK_PONDASI" localSheetId="6">#REF!</definedName>
    <definedName name="III_PEK_PONDASI" localSheetId="16">#REF!</definedName>
    <definedName name="III_PEK_PONDASI" localSheetId="7">#REF!</definedName>
    <definedName name="III_PEK_PONDASI">#REF!</definedName>
    <definedName name="IIIST">'[42]3TH'!$DR$13:$DR$504</definedName>
    <definedName name="IIST" localSheetId="18">'[18]2RD'!$DR$13:$DR$504</definedName>
    <definedName name="IIST">#N/A</definedName>
    <definedName name="Ijuk" localSheetId="21">'[10]Daf HrG'!#REF!</definedName>
    <definedName name="Ijuk" localSheetId="1">'[10]Daf HrG'!#REF!</definedName>
    <definedName name="Ijuk" localSheetId="0">'[10]Daf HrG'!#REF!</definedName>
    <definedName name="Ijuk" localSheetId="5">'[10]Daf HrG'!#REF!</definedName>
    <definedName name="Ijuk" localSheetId="6">'[10]Daf HrG'!#REF!</definedName>
    <definedName name="Ijuk" localSheetId="16">'[10]Daf HrG'!#REF!</definedName>
    <definedName name="Ijuk" localSheetId="7">'[10]Daf HrG'!#REF!</definedName>
    <definedName name="Ijuk">'[10]Daf HrG'!#REF!</definedName>
    <definedName name="ikiran">'[13]Upah&amp;Bahan'!$C$18</definedName>
    <definedName name="IKK">[5]alat!$AW$19</definedName>
    <definedName name="IN" localSheetId="10">[9]BPS!#REF!</definedName>
    <definedName name="IN" localSheetId="21">[9]BPS!#REF!</definedName>
    <definedName name="IN" localSheetId="1">[9]BPS!#REF!</definedName>
    <definedName name="IN" localSheetId="0">[9]BPS!#REF!</definedName>
    <definedName name="IN" localSheetId="5">[9]BPS!#REF!</definedName>
    <definedName name="IN" localSheetId="6">[9]BPS!#REF!</definedName>
    <definedName name="IN" localSheetId="16">[9]BPS!#REF!</definedName>
    <definedName name="IN" localSheetId="7">[9]BPS!#REF!</definedName>
    <definedName name="IN">[9]BPS!#REF!</definedName>
    <definedName name="isikoral" localSheetId="21">#REF!</definedName>
    <definedName name="isikoral" localSheetId="1">#REF!</definedName>
    <definedName name="isikoral" localSheetId="0">#REF!</definedName>
    <definedName name="isikoral" localSheetId="5">#REF!</definedName>
    <definedName name="isikoral" localSheetId="6">#REF!</definedName>
    <definedName name="isikoral" localSheetId="16">#REF!</definedName>
    <definedName name="isikoral" localSheetId="7">#REF!</definedName>
    <definedName name="isikoral">#REF!</definedName>
    <definedName name="Ist">'[9]1st'!$B$12:$B$503</definedName>
    <definedName name="item" localSheetId="18">'[13]Kuantitas &amp; Harga'!#REF!</definedName>
    <definedName name="item" localSheetId="11">'[13]Kuantitas &amp; Harga'!#REF!</definedName>
    <definedName name="item" localSheetId="10">'[13]Kuantitas &amp; Harga'!#REF!</definedName>
    <definedName name="item" localSheetId="21">'[13]Kuantitas &amp; Harga'!#REF!</definedName>
    <definedName name="item" localSheetId="12">'[13]Kuantitas &amp; Harga'!#REF!</definedName>
    <definedName name="item" localSheetId="1">'[13]Kuantitas &amp; Harga'!#REF!</definedName>
    <definedName name="item" localSheetId="0">'[13]Kuantitas &amp; Harga'!#REF!</definedName>
    <definedName name="item" localSheetId="14">'[13]Kuantitas &amp; Harga'!#REF!</definedName>
    <definedName name="item" localSheetId="5">'[13]Kuantitas &amp; Harga'!#REF!</definedName>
    <definedName name="item" localSheetId="6">'[13]Kuantitas &amp; Harga'!#REF!</definedName>
    <definedName name="item" localSheetId="16">'[13]Kuantitas &amp; Harga'!#REF!</definedName>
    <definedName name="item" localSheetId="7">'[13]Kuantitas &amp; Harga'!#REF!</definedName>
    <definedName name="item">'[13]Kuantitas &amp; Harga'!#REF!</definedName>
    <definedName name="IV_PEK_DINDING" localSheetId="18">#REF!</definedName>
    <definedName name="IV_PEK_DINDING" localSheetId="21">#REF!</definedName>
    <definedName name="IV_PEK_DINDING" localSheetId="1">#REF!</definedName>
    <definedName name="IV_PEK_DINDING" localSheetId="0">#REF!</definedName>
    <definedName name="IV_PEK_DINDING" localSheetId="5">#REF!</definedName>
    <definedName name="IV_PEK_DINDING" localSheetId="6">#REF!</definedName>
    <definedName name="IV_PEK_DINDING" localSheetId="16">#REF!</definedName>
    <definedName name="IV_PEK_DINDING" localSheetId="7">#REF!</definedName>
    <definedName name="IV_PEK_DINDING">#REF!</definedName>
    <definedName name="IVST" localSheetId="18">'[18]4TH'!$DR$13:$DR$504</definedName>
    <definedName name="IVST">#N/A</definedName>
    <definedName name="J" localSheetId="21">#REF!</definedName>
    <definedName name="J" localSheetId="1">#REF!</definedName>
    <definedName name="J" localSheetId="0">#REF!</definedName>
    <definedName name="J" localSheetId="5">#REF!</definedName>
    <definedName name="J" localSheetId="6">#REF!</definedName>
    <definedName name="J" localSheetId="16">#REF!</definedName>
    <definedName name="J" localSheetId="7">#REF!</definedName>
    <definedName name="J">#REF!</definedName>
    <definedName name="JAB">[22]Catatan!$D$6</definedName>
    <definedName name="JACKHAMMER" localSheetId="21">[7]Peralatan!#REF!</definedName>
    <definedName name="JACKHAMMER" localSheetId="1">[7]Peralatan!#REF!</definedName>
    <definedName name="JACKHAMMER" localSheetId="0">[7]Peralatan!#REF!</definedName>
    <definedName name="JACKHAMMER" localSheetId="5">[7]Peralatan!#REF!</definedName>
    <definedName name="JACKHAMMER" localSheetId="6">[7]Peralatan!#REF!</definedName>
    <definedName name="JACKHAMMER" localSheetId="16">[7]Peralatan!#REF!</definedName>
    <definedName name="JACKHAMMER" localSheetId="7">[7]Peralatan!#REF!</definedName>
    <definedName name="JACKHAMMER">[7]Peralatan!#REF!</definedName>
    <definedName name="jalusi" localSheetId="18">[25]Analisis!#REF!</definedName>
    <definedName name="jalusi" localSheetId="10">[25]Analisis!#REF!</definedName>
    <definedName name="jalusi" localSheetId="21">[25]Analisis!#REF!</definedName>
    <definedName name="jalusi" localSheetId="1">[25]Analisis!#REF!</definedName>
    <definedName name="jalusi" localSheetId="0">[25]Analisis!#REF!</definedName>
    <definedName name="jalusi" localSheetId="5">[25]Analisis!#REF!</definedName>
    <definedName name="jalusi" localSheetId="6">[25]Analisis!#REF!</definedName>
    <definedName name="jalusi" localSheetId="16">[25]Analisis!#REF!</definedName>
    <definedName name="jalusi" localSheetId="7">[25]Analisis!#REF!</definedName>
    <definedName name="jalusi">[25]Analisis!#REF!</definedName>
    <definedName name="JG" localSheetId="21">#REF!</definedName>
    <definedName name="JG" localSheetId="1">#REF!</definedName>
    <definedName name="JG" localSheetId="0">#REF!</definedName>
    <definedName name="JG" localSheetId="5">#REF!</definedName>
    <definedName name="JG" localSheetId="6">#REF!</definedName>
    <definedName name="JG" localSheetId="16">#REF!</definedName>
    <definedName name="JG" localSheetId="7">#REF!</definedName>
    <definedName name="JG">#REF!</definedName>
    <definedName name="jika">'[23]Upah&amp;Bahan'!$C$19</definedName>
    <definedName name="JMNHG">[5]alat!$AO$1:$AX$49</definedName>
    <definedName name="jopie" localSheetId="18">'[13]Upah&amp;Bahan'!#REF!</definedName>
    <definedName name="jopie" localSheetId="11">'[13]Upah&amp;Bahan'!#REF!</definedName>
    <definedName name="jopie" localSheetId="10">'[13]Upah&amp;Bahan'!#REF!</definedName>
    <definedName name="jopie" localSheetId="21">'[13]Upah&amp;Bahan'!#REF!</definedName>
    <definedName name="jopie" localSheetId="12">'[13]Upah&amp;Bahan'!#REF!</definedName>
    <definedName name="jopie" localSheetId="1">'[13]Upah&amp;Bahan'!#REF!</definedName>
    <definedName name="jopie" localSheetId="0">'[13]Upah&amp;Bahan'!#REF!</definedName>
    <definedName name="jopie" localSheetId="14">'[13]Upah&amp;Bahan'!#REF!</definedName>
    <definedName name="jopie" localSheetId="5">'[13]Upah&amp;Bahan'!#REF!</definedName>
    <definedName name="jopie" localSheetId="6">'[13]Upah&amp;Bahan'!#REF!</definedName>
    <definedName name="jopie" localSheetId="16">'[13]Upah&amp;Bahan'!#REF!</definedName>
    <definedName name="jopie" localSheetId="7">'[13]Upah&amp;Bahan'!#REF!</definedName>
    <definedName name="jopie">'[13]Upah&amp;Bahan'!#REF!</definedName>
    <definedName name="JU" localSheetId="21">#REF!</definedName>
    <definedName name="JU" localSheetId="1">#REF!</definedName>
    <definedName name="JU" localSheetId="0">#REF!</definedName>
    <definedName name="JU" localSheetId="5">#REF!</definedName>
    <definedName name="JU" localSheetId="6">#REF!</definedName>
    <definedName name="JU" localSheetId="16">#REF!</definedName>
    <definedName name="JU" localSheetId="7">#REF!</definedName>
    <definedName name="JU">#REF!</definedName>
    <definedName name="JuruUkur" localSheetId="21">#REF!</definedName>
    <definedName name="JuruUkur" localSheetId="1">#REF!</definedName>
    <definedName name="JuruUkur" localSheetId="0">#REF!</definedName>
    <definedName name="JuruUkur" localSheetId="5">#REF!</definedName>
    <definedName name="JuruUkur" localSheetId="6">#REF!</definedName>
    <definedName name="JuruUkur" localSheetId="16">#REF!</definedName>
    <definedName name="JuruUkur" localSheetId="7">#REF!</definedName>
    <definedName name="JuruUkur">#REF!</definedName>
    <definedName name="k">'[23]Upah&amp;Bahan'!$U$1437</definedName>
    <definedName name="K.012" localSheetId="18">[43]anaK!#REF!</definedName>
    <definedName name="K.012" localSheetId="11">[43]anaK!#REF!</definedName>
    <definedName name="K.012" localSheetId="10">[43]anaK!#REF!</definedName>
    <definedName name="K.012" localSheetId="21">[43]anaK!#REF!</definedName>
    <definedName name="K.012" localSheetId="12">[43]anaK!#REF!</definedName>
    <definedName name="K.012" localSheetId="1">[43]anaK!#REF!</definedName>
    <definedName name="K.012" localSheetId="0">[43]anaK!#REF!</definedName>
    <definedName name="K.012" localSheetId="14">[43]anaK!#REF!</definedName>
    <definedName name="K.012" localSheetId="5">[43]anaK!#REF!</definedName>
    <definedName name="K.012" localSheetId="6">[43]anaK!#REF!</definedName>
    <definedName name="K.012" localSheetId="16">[43]anaK!#REF!</definedName>
    <definedName name="K.012" localSheetId="7">[43]anaK!#REF!</definedName>
    <definedName name="K.012">[43]anaK!#REF!</definedName>
    <definedName name="K.224" localSheetId="11">[43]anaK!#REF!</definedName>
    <definedName name="K.224" localSheetId="10">[43]anaK!#REF!</definedName>
    <definedName name="K.224" localSheetId="21">[43]anaK!#REF!</definedName>
    <definedName name="K.224" localSheetId="12">[43]anaK!#REF!</definedName>
    <definedName name="K.224" localSheetId="1">[43]anaK!#REF!</definedName>
    <definedName name="K.224" localSheetId="0">[43]anaK!#REF!</definedName>
    <definedName name="K.224" localSheetId="14">[43]anaK!#REF!</definedName>
    <definedName name="K.224" localSheetId="5">[43]anaK!#REF!</definedName>
    <definedName name="K.224" localSheetId="6">[43]anaK!#REF!</definedName>
    <definedName name="K.224" localSheetId="16">[43]anaK!#REF!</definedName>
    <definedName name="K.224" localSheetId="7">[43]anaK!#REF!</definedName>
    <definedName name="K.224">[43]anaK!#REF!</definedName>
    <definedName name="K.321" localSheetId="11">[43]anaK!#REF!</definedName>
    <definedName name="K.321" localSheetId="10">[43]anaK!#REF!</definedName>
    <definedName name="K.321" localSheetId="21">[43]anaK!#REF!</definedName>
    <definedName name="K.321" localSheetId="12">[43]anaK!#REF!</definedName>
    <definedName name="K.321" localSheetId="1">[43]anaK!#REF!</definedName>
    <definedName name="K.321" localSheetId="0">[43]anaK!#REF!</definedName>
    <definedName name="K.321" localSheetId="14">[43]anaK!#REF!</definedName>
    <definedName name="K.321" localSheetId="5">[43]anaK!#REF!</definedName>
    <definedName name="K.321" localSheetId="6">[43]anaK!#REF!</definedName>
    <definedName name="K.321" localSheetId="16">[43]anaK!#REF!</definedName>
    <definedName name="K.321" localSheetId="7">[43]anaK!#REF!</definedName>
    <definedName name="K.321">[43]anaK!#REF!</definedName>
    <definedName name="k.35a" localSheetId="18">#REF!</definedName>
    <definedName name="k.35a" localSheetId="10">#REF!</definedName>
    <definedName name="k.35a" localSheetId="21">#REF!</definedName>
    <definedName name="k.35a" localSheetId="1">#REF!</definedName>
    <definedName name="k.35a" localSheetId="0">#REF!</definedName>
    <definedName name="k.35a" localSheetId="5">#REF!</definedName>
    <definedName name="k.35a" localSheetId="6">#REF!</definedName>
    <definedName name="k.35a" localSheetId="16">#REF!</definedName>
    <definedName name="k.35a" localSheetId="7">#REF!</definedName>
    <definedName name="k.35a">#REF!</definedName>
    <definedName name="k.35b" localSheetId="18">#REF!</definedName>
    <definedName name="k.35b" localSheetId="10">#REF!</definedName>
    <definedName name="k.35b" localSheetId="21">#REF!</definedName>
    <definedName name="k.35b" localSheetId="1">#REF!</definedName>
    <definedName name="k.35b" localSheetId="0">#REF!</definedName>
    <definedName name="k.35b" localSheetId="5">#REF!</definedName>
    <definedName name="k.35b" localSheetId="6">#REF!</definedName>
    <definedName name="k.35b" localSheetId="16">#REF!</definedName>
    <definedName name="k.35b" localSheetId="7">#REF!</definedName>
    <definedName name="k.35b">#REF!</definedName>
    <definedName name="K.618" localSheetId="11">[43]anaK!#REF!</definedName>
    <definedName name="K.618" localSheetId="10">[43]anaK!#REF!</definedName>
    <definedName name="K.618" localSheetId="21">[43]anaK!#REF!</definedName>
    <definedName name="K.618" localSheetId="12">[43]anaK!#REF!</definedName>
    <definedName name="K.618" localSheetId="1">[43]anaK!#REF!</definedName>
    <definedName name="K.618" localSheetId="0">[43]anaK!#REF!</definedName>
    <definedName name="K.618" localSheetId="14">[43]anaK!#REF!</definedName>
    <definedName name="K.618" localSheetId="5">[43]anaK!#REF!</definedName>
    <definedName name="K.618" localSheetId="6">[43]anaK!#REF!</definedName>
    <definedName name="K.618" localSheetId="16">[43]anaK!#REF!</definedName>
    <definedName name="K.618" localSheetId="7">[43]anaK!#REF!</definedName>
    <definedName name="K.618">[43]anaK!#REF!</definedName>
    <definedName name="K.636" localSheetId="11">[43]anaK!#REF!</definedName>
    <definedName name="K.636" localSheetId="10">[43]anaK!#REF!</definedName>
    <definedName name="K.636" localSheetId="21">[43]anaK!#REF!</definedName>
    <definedName name="K.636" localSheetId="12">[43]anaK!#REF!</definedName>
    <definedName name="K.636" localSheetId="1">[43]anaK!#REF!</definedName>
    <definedName name="K.636" localSheetId="0">[43]anaK!#REF!</definedName>
    <definedName name="K.636" localSheetId="14">[43]anaK!#REF!</definedName>
    <definedName name="K.636" localSheetId="5">[43]anaK!#REF!</definedName>
    <definedName name="K.636" localSheetId="6">[43]anaK!#REF!</definedName>
    <definedName name="K.636" localSheetId="16">[43]anaK!#REF!</definedName>
    <definedName name="K.636" localSheetId="7">[43]anaK!#REF!</definedName>
    <definedName name="K.636">[43]anaK!#REF!</definedName>
    <definedName name="K.710" localSheetId="11">[43]anaK!#REF!</definedName>
    <definedName name="K.710" localSheetId="10">[43]anaK!#REF!</definedName>
    <definedName name="K.710" localSheetId="21">[43]anaK!#REF!</definedName>
    <definedName name="K.710" localSheetId="12">[43]anaK!#REF!</definedName>
    <definedName name="K.710" localSheetId="1">[43]anaK!#REF!</definedName>
    <definedName name="K.710" localSheetId="0">[43]anaK!#REF!</definedName>
    <definedName name="K.710" localSheetId="14">[43]anaK!#REF!</definedName>
    <definedName name="K.710" localSheetId="5">[43]anaK!#REF!</definedName>
    <definedName name="K.710" localSheetId="6">[43]anaK!#REF!</definedName>
    <definedName name="K.710" localSheetId="16">[43]anaK!#REF!</definedName>
    <definedName name="K.710" localSheetId="7">[43]anaK!#REF!</definedName>
    <definedName name="K.710">[43]anaK!#REF!</definedName>
    <definedName name="K.715" localSheetId="11">[43]anaK!#REF!</definedName>
    <definedName name="K.715" localSheetId="10">[43]anaK!#REF!</definedName>
    <definedName name="K.715" localSheetId="21">[43]anaK!#REF!</definedName>
    <definedName name="K.715" localSheetId="12">[43]anaK!#REF!</definedName>
    <definedName name="K.715" localSheetId="1">[43]anaK!#REF!</definedName>
    <definedName name="K.715" localSheetId="0">[43]anaK!#REF!</definedName>
    <definedName name="K.715" localSheetId="14">[43]anaK!#REF!</definedName>
    <definedName name="K.715" localSheetId="5">[43]anaK!#REF!</definedName>
    <definedName name="K.715" localSheetId="6">[43]anaK!#REF!</definedName>
    <definedName name="K.715" localSheetId="16">[43]anaK!#REF!</definedName>
    <definedName name="K.715" localSheetId="7">[43]anaK!#REF!</definedName>
    <definedName name="K.715">[43]anaK!#REF!</definedName>
    <definedName name="K.720" localSheetId="11">[43]anaK!#REF!</definedName>
    <definedName name="K.720" localSheetId="10">[43]anaK!#REF!</definedName>
    <definedName name="K.720" localSheetId="21">[43]anaK!#REF!</definedName>
    <definedName name="K.720" localSheetId="12">[43]anaK!#REF!</definedName>
    <definedName name="K.720" localSheetId="1">[43]anaK!#REF!</definedName>
    <definedName name="K.720" localSheetId="0">[43]anaK!#REF!</definedName>
    <definedName name="K.720" localSheetId="14">[43]anaK!#REF!</definedName>
    <definedName name="K.720" localSheetId="5">[43]anaK!#REF!</definedName>
    <definedName name="K.720" localSheetId="6">[43]anaK!#REF!</definedName>
    <definedName name="K.720" localSheetId="16">[43]anaK!#REF!</definedName>
    <definedName name="K.720" localSheetId="7">[43]anaK!#REF!</definedName>
    <definedName name="K.720">[43]anaK!#REF!</definedName>
    <definedName name="K.721" localSheetId="11">[43]anaK!#REF!</definedName>
    <definedName name="K.721" localSheetId="10">[43]anaK!#REF!</definedName>
    <definedName name="K.721" localSheetId="21">[43]anaK!#REF!</definedName>
    <definedName name="K.721" localSheetId="12">[43]anaK!#REF!</definedName>
    <definedName name="K.721" localSheetId="1">[43]anaK!#REF!</definedName>
    <definedName name="K.721" localSheetId="0">[43]anaK!#REF!</definedName>
    <definedName name="K.721" localSheetId="14">[43]anaK!#REF!</definedName>
    <definedName name="K.721" localSheetId="5">[43]anaK!#REF!</definedName>
    <definedName name="K.721" localSheetId="6">[43]anaK!#REF!</definedName>
    <definedName name="K.721" localSheetId="16">[43]anaK!#REF!</definedName>
    <definedName name="K.721" localSheetId="7">[43]anaK!#REF!</definedName>
    <definedName name="K.721">[43]anaK!#REF!</definedName>
    <definedName name="K.BETON" localSheetId="21">#REF!</definedName>
    <definedName name="K.BETON" localSheetId="1">#REF!</definedName>
    <definedName name="K.BETON" localSheetId="0">#REF!</definedName>
    <definedName name="K.BETON" localSheetId="5">#REF!</definedName>
    <definedName name="K.BETON" localSheetId="6">#REF!</definedName>
    <definedName name="K.BETON" localSheetId="16">#REF!</definedName>
    <definedName name="K.BETON" localSheetId="7">#REF!</definedName>
    <definedName name="K.BETON">#REF!</definedName>
    <definedName name="K.GALVANO" localSheetId="21">#REF!</definedName>
    <definedName name="K.GALVANO" localSheetId="1">#REF!</definedName>
    <definedName name="K.GALVANO" localSheetId="0">#REF!</definedName>
    <definedName name="K.GALVANO" localSheetId="5">#REF!</definedName>
    <definedName name="K.GALVANO" localSheetId="6">#REF!</definedName>
    <definedName name="K.GALVANO" localSheetId="16">#REF!</definedName>
    <definedName name="K.GALVANO" localSheetId="7">#REF!</definedName>
    <definedName name="K.GALVANO">#REF!</definedName>
    <definedName name="k.lnt.rmn.20.20.crk" localSheetId="18">#REF!</definedName>
    <definedName name="k.lnt.rmn.20.20.crk" localSheetId="11">#REF!</definedName>
    <definedName name="k.lnt.rmn.20.20.crk" localSheetId="10">#REF!</definedName>
    <definedName name="k.lnt.rmn.20.20.crk" localSheetId="21">#REF!</definedName>
    <definedName name="k.lnt.rmn.20.20.crk" localSheetId="12">#REF!</definedName>
    <definedName name="k.lnt.rmn.20.20.crk" localSheetId="1">#REF!</definedName>
    <definedName name="k.lnt.rmn.20.20.crk" localSheetId="0">#REF!</definedName>
    <definedName name="k.lnt.rmn.20.20.crk" localSheetId="14">#REF!</definedName>
    <definedName name="k.lnt.rmn.20.20.crk" localSheetId="5">#REF!</definedName>
    <definedName name="k.lnt.rmn.20.20.crk" localSheetId="6">#REF!</definedName>
    <definedName name="k.lnt.rmn.20.20.crk" localSheetId="16">#REF!</definedName>
    <definedName name="k.lnt.rmn.20.20.crk" localSheetId="7">#REF!</definedName>
    <definedName name="k.lnt.rmn.20.20.crk">#REF!</definedName>
    <definedName name="k.lnt.rmn.20.20.pls" localSheetId="18">#REF!</definedName>
    <definedName name="k.lnt.rmn.20.20.pls" localSheetId="11">#REF!</definedName>
    <definedName name="k.lnt.rmn.20.20.pls" localSheetId="10">#REF!</definedName>
    <definedName name="k.lnt.rmn.20.20.pls" localSheetId="21">#REF!</definedName>
    <definedName name="k.lnt.rmn.20.20.pls" localSheetId="12">#REF!</definedName>
    <definedName name="k.lnt.rmn.20.20.pls" localSheetId="1">#REF!</definedName>
    <definedName name="k.lnt.rmn.20.20.pls" localSheetId="0">#REF!</definedName>
    <definedName name="k.lnt.rmn.20.20.pls" localSheetId="14">#REF!</definedName>
    <definedName name="k.lnt.rmn.20.20.pls" localSheetId="5">#REF!</definedName>
    <definedName name="k.lnt.rmn.20.20.pls" localSheetId="6">#REF!</definedName>
    <definedName name="k.lnt.rmn.20.20.pls" localSheetId="16">#REF!</definedName>
    <definedName name="k.lnt.rmn.20.20.pls" localSheetId="7">#REF!</definedName>
    <definedName name="k.lnt.rmn.20.20.pls">#REF!</definedName>
    <definedName name="k.rmmn.30.30.pls" localSheetId="18">#REF!</definedName>
    <definedName name="k.rmmn.30.30.pls" localSheetId="11">#REF!</definedName>
    <definedName name="k.rmmn.30.30.pls" localSheetId="10">#REF!</definedName>
    <definedName name="k.rmmn.30.30.pls" localSheetId="21">#REF!</definedName>
    <definedName name="k.rmmn.30.30.pls" localSheetId="12">#REF!</definedName>
    <definedName name="k.rmmn.30.30.pls" localSheetId="1">#REF!</definedName>
    <definedName name="k.rmmn.30.30.pls" localSheetId="0">#REF!</definedName>
    <definedName name="k.rmmn.30.30.pls" localSheetId="14">#REF!</definedName>
    <definedName name="k.rmmn.30.30.pls" localSheetId="5">#REF!</definedName>
    <definedName name="k.rmmn.30.30.pls" localSheetId="6">#REF!</definedName>
    <definedName name="k.rmmn.30.30.pls" localSheetId="16">#REF!</definedName>
    <definedName name="k.rmmn.30.30.pls" localSheetId="7">#REF!</definedName>
    <definedName name="k.rmmn.30.30.pls">#REF!</definedName>
    <definedName name="k.rmn.30.30.crk" localSheetId="18">#REF!</definedName>
    <definedName name="k.rmn.30.30.crk" localSheetId="11">#REF!</definedName>
    <definedName name="k.rmn.30.30.crk" localSheetId="10">#REF!</definedName>
    <definedName name="k.rmn.30.30.crk" localSheetId="21">#REF!</definedName>
    <definedName name="k.rmn.30.30.crk" localSheetId="12">#REF!</definedName>
    <definedName name="k.rmn.30.30.crk" localSheetId="1">#REF!</definedName>
    <definedName name="k.rmn.30.30.crk" localSheetId="0">#REF!</definedName>
    <definedName name="k.rmn.30.30.crk" localSheetId="14">#REF!</definedName>
    <definedName name="k.rmn.30.30.crk" localSheetId="5">#REF!</definedName>
    <definedName name="k.rmn.30.30.crk" localSheetId="6">#REF!</definedName>
    <definedName name="k.rmn.30.30.crk" localSheetId="16">#REF!</definedName>
    <definedName name="k.rmn.30.30.crk" localSheetId="7">#REF!</definedName>
    <definedName name="k.rmn.30.30.crk">#REF!</definedName>
    <definedName name="k.roman.40.40.polos" localSheetId="18">#REF!</definedName>
    <definedName name="k.roman.40.40.polos" localSheetId="11">#REF!</definedName>
    <definedName name="k.roman.40.40.polos" localSheetId="10">#REF!</definedName>
    <definedName name="k.roman.40.40.polos" localSheetId="21">#REF!</definedName>
    <definedName name="k.roman.40.40.polos" localSheetId="12">#REF!</definedName>
    <definedName name="k.roman.40.40.polos" localSheetId="1">#REF!</definedName>
    <definedName name="k.roman.40.40.polos" localSheetId="0">#REF!</definedName>
    <definedName name="k.roman.40.40.polos" localSheetId="14">#REF!</definedName>
    <definedName name="k.roman.40.40.polos" localSheetId="5">#REF!</definedName>
    <definedName name="k.roman.40.40.polos" localSheetId="6">#REF!</definedName>
    <definedName name="k.roman.40.40.polos" localSheetId="16">#REF!</definedName>
    <definedName name="k.roman.40.40.polos" localSheetId="7">#REF!</definedName>
    <definedName name="k.roman.40.40.polos">#REF!</definedName>
    <definedName name="k.tukang" localSheetId="18">#REF!</definedName>
    <definedName name="k.tukang" localSheetId="11">#REF!</definedName>
    <definedName name="k.tukang" localSheetId="10">#REF!</definedName>
    <definedName name="k.tukang" localSheetId="21">#REF!</definedName>
    <definedName name="k.tukang" localSheetId="12">#REF!</definedName>
    <definedName name="k.tukang" localSheetId="1">#REF!</definedName>
    <definedName name="k.tukang" localSheetId="0">#REF!</definedName>
    <definedName name="k.tukang" localSheetId="14">#REF!</definedName>
    <definedName name="k.tukang" localSheetId="5">#REF!</definedName>
    <definedName name="k.tukang" localSheetId="6">#REF!</definedName>
    <definedName name="k.tukang" localSheetId="16">#REF!</definedName>
    <definedName name="k.tukang" localSheetId="7">#REF!</definedName>
    <definedName name="k.tukang">#REF!</definedName>
    <definedName name="k.zink" localSheetId="18">#REF!</definedName>
    <definedName name="k.zink" localSheetId="11">#REF!</definedName>
    <definedName name="k.zink" localSheetId="10">#REF!</definedName>
    <definedName name="k.zink" localSheetId="21">#REF!</definedName>
    <definedName name="k.zink" localSheetId="12">#REF!</definedName>
    <definedName name="k.zink" localSheetId="1">#REF!</definedName>
    <definedName name="k.zink" localSheetId="0">#REF!</definedName>
    <definedName name="k.zink" localSheetId="14">#REF!</definedName>
    <definedName name="k.zink" localSheetId="5">#REF!</definedName>
    <definedName name="k.zink" localSheetId="6">#REF!</definedName>
    <definedName name="k.zink" localSheetId="16">#REF!</definedName>
    <definedName name="k.zink" localSheetId="7">#REF!</definedName>
    <definedName name="k.zink">#REF!</definedName>
    <definedName name="K_013" localSheetId="18">#REF!</definedName>
    <definedName name="K_013" localSheetId="21">#REF!</definedName>
    <definedName name="K_013" localSheetId="1">#REF!</definedName>
    <definedName name="K_013" localSheetId="0">#REF!</definedName>
    <definedName name="K_013" localSheetId="5">#REF!</definedName>
    <definedName name="K_013" localSheetId="6">#REF!</definedName>
    <definedName name="K_013" localSheetId="16">#REF!</definedName>
    <definedName name="K_013" localSheetId="7">#REF!</definedName>
    <definedName name="K_013">#REF!</definedName>
    <definedName name="K_016" localSheetId="18">#REF!</definedName>
    <definedName name="K_016" localSheetId="21">#REF!</definedName>
    <definedName name="K_016" localSheetId="1">#REF!</definedName>
    <definedName name="K_016" localSheetId="0">#REF!</definedName>
    <definedName name="K_016" localSheetId="5">#REF!</definedName>
    <definedName name="K_016" localSheetId="6">#REF!</definedName>
    <definedName name="K_016" localSheetId="16">#REF!</definedName>
    <definedName name="K_016" localSheetId="7">#REF!</definedName>
    <definedName name="K_016">#REF!</definedName>
    <definedName name="K_017" localSheetId="18">#REF!</definedName>
    <definedName name="K_017" localSheetId="21">#REF!</definedName>
    <definedName name="K_017" localSheetId="1">#REF!</definedName>
    <definedName name="K_017" localSheetId="0">#REF!</definedName>
    <definedName name="K_017" localSheetId="5">#REF!</definedName>
    <definedName name="K_017" localSheetId="6">#REF!</definedName>
    <definedName name="K_017" localSheetId="16">#REF!</definedName>
    <definedName name="K_017" localSheetId="7">#REF!</definedName>
    <definedName name="K_017">#REF!</definedName>
    <definedName name="K_026" localSheetId="18">#REF!</definedName>
    <definedName name="K_026" localSheetId="21">#REF!</definedName>
    <definedName name="K_026" localSheetId="1">#REF!</definedName>
    <definedName name="K_026" localSheetId="0">#REF!</definedName>
    <definedName name="K_026" localSheetId="5">#REF!</definedName>
    <definedName name="K_026" localSheetId="6">#REF!</definedName>
    <definedName name="K_026" localSheetId="16">#REF!</definedName>
    <definedName name="K_026" localSheetId="7">#REF!</definedName>
    <definedName name="K_026">#REF!</definedName>
    <definedName name="K_035" localSheetId="18">#REF!</definedName>
    <definedName name="K_035" localSheetId="21">#REF!</definedName>
    <definedName name="K_035" localSheetId="1">#REF!</definedName>
    <definedName name="K_035" localSheetId="0">#REF!</definedName>
    <definedName name="K_035" localSheetId="5">#REF!</definedName>
    <definedName name="K_035" localSheetId="6">#REF!</definedName>
    <definedName name="K_035" localSheetId="16">#REF!</definedName>
    <definedName name="K_035" localSheetId="7">#REF!</definedName>
    <definedName name="K_035">#REF!</definedName>
    <definedName name="K_225">'[44]K-2007'!$V$659</definedName>
    <definedName name="K_311">'[44]K-2007'!$V$781</definedName>
    <definedName name="K_321">'[44]K-2007'!$V$838</definedName>
    <definedName name="K_705">'[44]K-2007'!$V$1134</definedName>
    <definedName name="K_710">'[44]K-2007'!$V$1191</definedName>
    <definedName name="K_715">'[44]K-2007'!$V$1252</definedName>
    <definedName name="K_720" localSheetId="18">#REF!</definedName>
    <definedName name="K_720" localSheetId="21">#REF!</definedName>
    <definedName name="K_720" localSheetId="1">#REF!</definedName>
    <definedName name="K_720" localSheetId="0">#REF!</definedName>
    <definedName name="K_720" localSheetId="5">#REF!</definedName>
    <definedName name="K_720" localSheetId="6">#REF!</definedName>
    <definedName name="K_720" localSheetId="16">#REF!</definedName>
    <definedName name="K_720" localSheetId="7">#REF!</definedName>
    <definedName name="K_720">#REF!</definedName>
    <definedName name="K_725">'[44]K-2007'!$V$1314</definedName>
    <definedName name="K_TUKANG" localSheetId="18">#REF!</definedName>
    <definedName name="K_TUKANG" localSheetId="11">#REF!</definedName>
    <definedName name="K_TUKANG" localSheetId="10">#REF!</definedName>
    <definedName name="K_TUKANG" localSheetId="21">#REF!</definedName>
    <definedName name="K_TUKANG" localSheetId="12">#REF!</definedName>
    <definedName name="K_TUKANG" localSheetId="1">#REF!</definedName>
    <definedName name="K_TUKANG" localSheetId="0">#REF!</definedName>
    <definedName name="K_TUKANG" localSheetId="14">#REF!</definedName>
    <definedName name="K_TUKANG" localSheetId="5">#REF!</definedName>
    <definedName name="K_TUKANG" localSheetId="6">#REF!</definedName>
    <definedName name="K_TUKANG" localSheetId="16">#REF!</definedName>
    <definedName name="K_TUKANG" localSheetId="7">#REF!</definedName>
    <definedName name="K_TUKANG">#REF!</definedName>
    <definedName name="ka">'[23]Upah&amp;Bahan'!$U$1381</definedName>
    <definedName name="Kab." localSheetId="18">#REF!</definedName>
    <definedName name="Kab." localSheetId="21">#REF!</definedName>
    <definedName name="Kab." localSheetId="1">#REF!</definedName>
    <definedName name="Kab." localSheetId="0">#REF!</definedName>
    <definedName name="Kab." localSheetId="5">#REF!</definedName>
    <definedName name="Kab." localSheetId="6">#REF!</definedName>
    <definedName name="Kab." localSheetId="16">#REF!</definedName>
    <definedName name="Kab." localSheetId="7">#REF!</definedName>
    <definedName name="Kab.">#REF!</definedName>
    <definedName name="kaca" localSheetId="18">[25]Analisis!#REF!</definedName>
    <definedName name="kaca" localSheetId="10">[25]Analisis!#REF!</definedName>
    <definedName name="kaca" localSheetId="21">[25]Analisis!#REF!</definedName>
    <definedName name="kaca" localSheetId="1">[25]Analisis!#REF!</definedName>
    <definedName name="kaca" localSheetId="0">[25]Analisis!#REF!</definedName>
    <definedName name="kaca" localSheetId="5">[25]Analisis!#REF!</definedName>
    <definedName name="kaca" localSheetId="6">[25]Analisis!#REF!</definedName>
    <definedName name="kaca" localSheetId="16">[25]Analisis!#REF!</definedName>
    <definedName name="kaca" localSheetId="7">[25]Analisis!#REF!</definedName>
    <definedName name="kaca">[25]Analisis!#REF!</definedName>
    <definedName name="kaca.es" localSheetId="18">#REF!</definedName>
    <definedName name="kaca.es" localSheetId="11">#REF!</definedName>
    <definedName name="kaca.es" localSheetId="10">#REF!</definedName>
    <definedName name="kaca.es" localSheetId="21">#REF!</definedName>
    <definedName name="kaca.es" localSheetId="12">#REF!</definedName>
    <definedName name="kaca.es" localSheetId="1">#REF!</definedName>
    <definedName name="kaca.es" localSheetId="0">#REF!</definedName>
    <definedName name="kaca.es" localSheetId="14">#REF!</definedName>
    <definedName name="kaca.es" localSheetId="5">#REF!</definedName>
    <definedName name="kaca.es" localSheetId="6">#REF!</definedName>
    <definedName name="kaca.es" localSheetId="16">#REF!</definedName>
    <definedName name="kaca.es" localSheetId="7">#REF!</definedName>
    <definedName name="kaca.es">#REF!</definedName>
    <definedName name="kaca.p.5" localSheetId="18">#REF!</definedName>
    <definedName name="kaca.p.5" localSheetId="11">#REF!</definedName>
    <definedName name="kaca.p.5" localSheetId="10">#REF!</definedName>
    <definedName name="kaca.p.5" localSheetId="21">#REF!</definedName>
    <definedName name="kaca.p.5" localSheetId="12">#REF!</definedName>
    <definedName name="kaca.p.5" localSheetId="1">#REF!</definedName>
    <definedName name="kaca.p.5" localSheetId="0">#REF!</definedName>
    <definedName name="kaca.p.5" localSheetId="14">#REF!</definedName>
    <definedName name="kaca.p.5" localSheetId="5">#REF!</definedName>
    <definedName name="kaca.p.5" localSheetId="6">#REF!</definedName>
    <definedName name="kaca.p.5" localSheetId="16">#REF!</definedName>
    <definedName name="kaca.p.5" localSheetId="7">#REF!</definedName>
    <definedName name="kaca.p.5">#REF!</definedName>
    <definedName name="kacamati" localSheetId="18">[25]Analisis!#REF!</definedName>
    <definedName name="kacamati" localSheetId="10">[25]Analisis!#REF!</definedName>
    <definedName name="kacamati" localSheetId="21">[25]Analisis!#REF!</definedName>
    <definedName name="kacamati" localSheetId="1">[25]Analisis!#REF!</definedName>
    <definedName name="kacamati" localSheetId="0">[25]Analisis!#REF!</definedName>
    <definedName name="kacamati" localSheetId="5">[25]Analisis!#REF!</definedName>
    <definedName name="kacamati" localSheetId="6">[25]Analisis!#REF!</definedName>
    <definedName name="kacamati" localSheetId="16">[25]Analisis!#REF!</definedName>
    <definedName name="kacamati" localSheetId="7">[25]Analisis!#REF!</definedName>
    <definedName name="kacamati">[25]Analisis!#REF!</definedName>
    <definedName name="KADDE" localSheetId="21">#REF!</definedName>
    <definedName name="KADDE" localSheetId="1">#REF!</definedName>
    <definedName name="KADDE" localSheetId="0">#REF!</definedName>
    <definedName name="KADDE" localSheetId="5">#REF!</definedName>
    <definedName name="KADDE" localSheetId="6">#REF!</definedName>
    <definedName name="KADDE" localSheetId="16">#REF!</definedName>
    <definedName name="KADDE" localSheetId="7">#REF!</definedName>
    <definedName name="KADDE">#REF!</definedName>
    <definedName name="KADDL" localSheetId="21">#REF!</definedName>
    <definedName name="KADDL" localSheetId="1">#REF!</definedName>
    <definedName name="KADDL" localSheetId="0">#REF!</definedName>
    <definedName name="KADDL" localSheetId="5">#REF!</definedName>
    <definedName name="KADDL" localSheetId="6">#REF!</definedName>
    <definedName name="KADDL" localSheetId="16">#REF!</definedName>
    <definedName name="KADDL" localSheetId="7">#REF!</definedName>
    <definedName name="KADDL">#REF!</definedName>
    <definedName name="KADSN" localSheetId="21">#REF!</definedName>
    <definedName name="KADSN" localSheetId="1">#REF!</definedName>
    <definedName name="KADSN" localSheetId="0">#REF!</definedName>
    <definedName name="KADSN" localSheetId="5">#REF!</definedName>
    <definedName name="KADSN" localSheetId="6">#REF!</definedName>
    <definedName name="KADSN" localSheetId="16">#REF!</definedName>
    <definedName name="KADSN" localSheetId="7">#REF!</definedName>
    <definedName name="KADSN">#REF!</definedName>
    <definedName name="KAESN" localSheetId="21">#REF!</definedName>
    <definedName name="KAESN" localSheetId="1">#REF!</definedName>
    <definedName name="KAESN" localSheetId="0">#REF!</definedName>
    <definedName name="KAESN" localSheetId="5">#REF!</definedName>
    <definedName name="KAESN" localSheetId="6">#REF!</definedName>
    <definedName name="KAESN" localSheetId="16">#REF!</definedName>
    <definedName name="KAESN" localSheetId="7">#REF!</definedName>
    <definedName name="KAESN">#REF!</definedName>
    <definedName name="kaki">'[13]Upah&amp;Bahan'!$C$52</definedName>
    <definedName name="KAKS" localSheetId="21">#REF!</definedName>
    <definedName name="KAKS" localSheetId="1">#REF!</definedName>
    <definedName name="KAKS" localSheetId="0">#REF!</definedName>
    <definedName name="KAKS" localSheetId="5">#REF!</definedName>
    <definedName name="KAKS" localSheetId="6">#REF!</definedName>
    <definedName name="KAKS" localSheetId="16">#REF!</definedName>
    <definedName name="KAKS" localSheetId="7">#REF!</definedName>
    <definedName name="KAKS">#REF!</definedName>
    <definedName name="kal">'[23]Upah&amp;Bahan'!$U$1325</definedName>
    <definedName name="kali">'[23]Upah&amp;Bahan'!$U$1269</definedName>
    <definedName name="KALSE" localSheetId="21">#REF!</definedName>
    <definedName name="KALSE" localSheetId="1">#REF!</definedName>
    <definedName name="KALSE" localSheetId="0">#REF!</definedName>
    <definedName name="KALSE" localSheetId="5">#REF!</definedName>
    <definedName name="KALSE" localSheetId="6">#REF!</definedName>
    <definedName name="KALSE" localSheetId="16">#REF!</definedName>
    <definedName name="KALSE" localSheetId="7">#REF!</definedName>
    <definedName name="KALSE">#REF!</definedName>
    <definedName name="kalut">'[13]Upah&amp;Bahan'!$C$20</definedName>
    <definedName name="kamu">'[23]Upah&amp;Bahan'!$C$20</definedName>
    <definedName name="KANSD" localSheetId="21">#REF!</definedName>
    <definedName name="KANSD" localSheetId="1">#REF!</definedName>
    <definedName name="KANSD" localSheetId="0">#REF!</definedName>
    <definedName name="KANSD" localSheetId="5">#REF!</definedName>
    <definedName name="KANSD" localSheetId="6">#REF!</definedName>
    <definedName name="KANSD" localSheetId="16">#REF!</definedName>
    <definedName name="KANSD" localSheetId="7">#REF!</definedName>
    <definedName name="KANSD">#REF!</definedName>
    <definedName name="KANST" localSheetId="21">#REF!</definedName>
    <definedName name="KANST" localSheetId="1">#REF!</definedName>
    <definedName name="KANST" localSheetId="0">#REF!</definedName>
    <definedName name="KANST" localSheetId="5">#REF!</definedName>
    <definedName name="KANST" localSheetId="6">#REF!</definedName>
    <definedName name="KANST" localSheetId="16">#REF!</definedName>
    <definedName name="KANST" localSheetId="7">#REF!</definedName>
    <definedName name="KANST">#REF!</definedName>
    <definedName name="KANTE" localSheetId="21">#REF!</definedName>
    <definedName name="KANTE" localSheetId="1">#REF!</definedName>
    <definedName name="KANTE" localSheetId="0">#REF!</definedName>
    <definedName name="KANTE" localSheetId="5">#REF!</definedName>
    <definedName name="KANTE" localSheetId="6">#REF!</definedName>
    <definedName name="KANTE" localSheetId="16">#REF!</definedName>
    <definedName name="KANTE" localSheetId="7">#REF!</definedName>
    <definedName name="KANTE">#REF!</definedName>
    <definedName name="kaol" localSheetId="18">'[13]Kuantitas &amp; Harga'!#REF!</definedName>
    <definedName name="kaol" localSheetId="11">'[13]Kuantitas &amp; Harga'!#REF!</definedName>
    <definedName name="kaol" localSheetId="10">'[13]Kuantitas &amp; Harga'!#REF!</definedName>
    <definedName name="kaol" localSheetId="21">'[13]Kuantitas &amp; Harga'!#REF!</definedName>
    <definedName name="kaol" localSheetId="12">'[13]Kuantitas &amp; Harga'!#REF!</definedName>
    <definedName name="kaol" localSheetId="1">'[13]Kuantitas &amp; Harga'!#REF!</definedName>
    <definedName name="kaol" localSheetId="0">'[13]Kuantitas &amp; Harga'!#REF!</definedName>
    <definedName name="kaol" localSheetId="14">'[13]Kuantitas &amp; Harga'!#REF!</definedName>
    <definedName name="kaol" localSheetId="5">'[13]Kuantitas &amp; Harga'!#REF!</definedName>
    <definedName name="kaol" localSheetId="6">'[13]Kuantitas &amp; Harga'!#REF!</definedName>
    <definedName name="kaol" localSheetId="16">'[13]Kuantitas &amp; Harga'!#REF!</definedName>
    <definedName name="kaol" localSheetId="7">'[13]Kuantitas &amp; Harga'!#REF!</definedName>
    <definedName name="kaol">'[13]Kuantitas &amp; Harga'!#REF!</definedName>
    <definedName name="kapur" localSheetId="18">#REF!</definedName>
    <definedName name="kapur" localSheetId="21">#REF!</definedName>
    <definedName name="kapur" localSheetId="1">#REF!</definedName>
    <definedName name="kapur" localSheetId="0">#REF!</definedName>
    <definedName name="kapur" localSheetId="5">#REF!</definedName>
    <definedName name="kapur" localSheetId="6">#REF!</definedName>
    <definedName name="kapur" localSheetId="16">#REF!</definedName>
    <definedName name="kapur" localSheetId="7">#REF!</definedName>
    <definedName name="kapur">#REF!</definedName>
    <definedName name="KASARHALUS" localSheetId="18">#REF!</definedName>
    <definedName name="KASARHALUS" localSheetId="21">#REF!</definedName>
    <definedName name="KASARHALUS" localSheetId="1">#REF!</definedName>
    <definedName name="KASARHALUS" localSheetId="0">#REF!</definedName>
    <definedName name="KASARHALUS" localSheetId="5">#REF!</definedName>
    <definedName name="KASARHALUS" localSheetId="6">#REF!</definedName>
    <definedName name="KASARHALUS" localSheetId="16">#REF!</definedName>
    <definedName name="KASARHALUS" localSheetId="7">#REF!</definedName>
    <definedName name="KASARHALUS">#REF!</definedName>
    <definedName name="KASDS" localSheetId="21">#REF!</definedName>
    <definedName name="KASDS" localSheetId="1">#REF!</definedName>
    <definedName name="KASDS" localSheetId="0">#REF!</definedName>
    <definedName name="KASDS" localSheetId="5">#REF!</definedName>
    <definedName name="KASDS" localSheetId="6">#REF!</definedName>
    <definedName name="KASDS" localSheetId="16">#REF!</definedName>
    <definedName name="KASDS" localSheetId="7">#REF!</definedName>
    <definedName name="KASDS">#REF!</definedName>
    <definedName name="KASSN" localSheetId="21">#REF!</definedName>
    <definedName name="KASSN" localSheetId="1">#REF!</definedName>
    <definedName name="KASSN" localSheetId="0">#REF!</definedName>
    <definedName name="KASSN" localSheetId="5">#REF!</definedName>
    <definedName name="KASSN" localSheetId="6">#REF!</definedName>
    <definedName name="KASSN" localSheetId="16">#REF!</definedName>
    <definedName name="KASSN" localSheetId="7">#REF!</definedName>
    <definedName name="KASSN">#REF!</definedName>
    <definedName name="KATDL" localSheetId="21">#REF!</definedName>
    <definedName name="KATDL" localSheetId="1">#REF!</definedName>
    <definedName name="KATDL" localSheetId="0">#REF!</definedName>
    <definedName name="KATDL" localSheetId="5">#REF!</definedName>
    <definedName name="KATDL" localSheetId="6">#REF!</definedName>
    <definedName name="KATDL" localSheetId="16">#REF!</definedName>
    <definedName name="KATDL" localSheetId="7">#REF!</definedName>
    <definedName name="KATDL">#REF!</definedName>
    <definedName name="KATDN" localSheetId="21">#REF!</definedName>
    <definedName name="KATDN" localSheetId="1">#REF!</definedName>
    <definedName name="KATDN" localSheetId="0">#REF!</definedName>
    <definedName name="KATDN" localSheetId="5">#REF!</definedName>
    <definedName name="KATDN" localSheetId="6">#REF!</definedName>
    <definedName name="KATDN" localSheetId="16">#REF!</definedName>
    <definedName name="KATDN" localSheetId="7">#REF!</definedName>
    <definedName name="KATDN">#REF!</definedName>
    <definedName name="KATDS" localSheetId="21">#REF!</definedName>
    <definedName name="KATDS" localSheetId="1">#REF!</definedName>
    <definedName name="KATDS" localSheetId="0">#REF!</definedName>
    <definedName name="KATDS" localSheetId="5">#REF!</definedName>
    <definedName name="KATDS" localSheetId="6">#REF!</definedName>
    <definedName name="KATDS" localSheetId="16">#REF!</definedName>
    <definedName name="KATDS" localSheetId="7">#REF!</definedName>
    <definedName name="KATDS">#REF!</definedName>
    <definedName name="KATES" localSheetId="21">#REF!</definedName>
    <definedName name="KATES" localSheetId="1">#REF!</definedName>
    <definedName name="KATES" localSheetId="0">#REF!</definedName>
    <definedName name="KATES" localSheetId="5">#REF!</definedName>
    <definedName name="KATES" localSheetId="6">#REF!</definedName>
    <definedName name="KATES" localSheetId="16">#REF!</definedName>
    <definedName name="KATES" localSheetId="7">#REF!</definedName>
    <definedName name="KATES">#REF!</definedName>
    <definedName name="KATSL" localSheetId="21">#REF!</definedName>
    <definedName name="KATSL" localSheetId="1">#REF!</definedName>
    <definedName name="KATSL" localSheetId="0">#REF!</definedName>
    <definedName name="KATSL" localSheetId="5">#REF!</definedName>
    <definedName name="KATSL" localSheetId="6">#REF!</definedName>
    <definedName name="KATSL" localSheetId="16">#REF!</definedName>
    <definedName name="KATSL" localSheetId="7">#REF!</definedName>
    <definedName name="KATSL">#REF!</definedName>
    <definedName name="KATSN" localSheetId="21">#REF!</definedName>
    <definedName name="KATSN" localSheetId="1">#REF!</definedName>
    <definedName name="KATSN" localSheetId="0">#REF!</definedName>
    <definedName name="KATSN" localSheetId="5">#REF!</definedName>
    <definedName name="KATSN" localSheetId="6">#REF!</definedName>
    <definedName name="KATSN" localSheetId="16">#REF!</definedName>
    <definedName name="KATSN" localSheetId="7">#REF!</definedName>
    <definedName name="KATSN">#REF!</definedName>
    <definedName name="kawat" localSheetId="18">#REF!</definedName>
    <definedName name="kawat" localSheetId="21">#REF!</definedName>
    <definedName name="kawat" localSheetId="1">#REF!</definedName>
    <definedName name="kawat" localSheetId="0">#REF!</definedName>
    <definedName name="kawat" localSheetId="5">#REF!</definedName>
    <definedName name="kawat" localSheetId="6">#REF!</definedName>
    <definedName name="kawat" localSheetId="16">#REF!</definedName>
    <definedName name="kawat" localSheetId="7">#REF!</definedName>
    <definedName name="kawat">#REF!</definedName>
    <definedName name="Kawatbronjong" localSheetId="21">'[26]Daftar Harga'!#REF!</definedName>
    <definedName name="Kawatbronjong" localSheetId="1">'[26]Daftar Harga'!#REF!</definedName>
    <definedName name="Kawatbronjong" localSheetId="0">'[26]Daftar Harga'!#REF!</definedName>
    <definedName name="Kawatbronjong" localSheetId="5">'[26]Daftar Harga'!#REF!</definedName>
    <definedName name="Kawatbronjong" localSheetId="6">'[26]Daftar Harga'!#REF!</definedName>
    <definedName name="Kawatbronjong" localSheetId="16">'[26]Daftar Harga'!#REF!</definedName>
    <definedName name="Kawatbronjong" localSheetId="7">'[26]Daftar Harga'!#REF!</definedName>
    <definedName name="Kawatbronjong">'[26]Daftar Harga'!#REF!</definedName>
    <definedName name="kayu" localSheetId="18">#REF!</definedName>
    <definedName name="kayu" localSheetId="21">#REF!</definedName>
    <definedName name="kayu" localSheetId="1">#REF!</definedName>
    <definedName name="kayu" localSheetId="0">#REF!</definedName>
    <definedName name="kayu" localSheetId="5">#REF!</definedName>
    <definedName name="kayu" localSheetId="6">#REF!</definedName>
    <definedName name="kayu" localSheetId="16">#REF!</definedName>
    <definedName name="kayu" localSheetId="7">#REF!</definedName>
    <definedName name="kayu">#REF!</definedName>
    <definedName name="kayuacuan" localSheetId="18">#REF!</definedName>
    <definedName name="kayuacuan" localSheetId="21">#REF!</definedName>
    <definedName name="kayuacuan" localSheetId="1">#REF!</definedName>
    <definedName name="kayuacuan" localSheetId="0">#REF!</definedName>
    <definedName name="kayuacuan" localSheetId="5">#REF!</definedName>
    <definedName name="kayuacuan" localSheetId="6">#REF!</definedName>
    <definedName name="kayuacuan" localSheetId="16">#REF!</definedName>
    <definedName name="kayuacuan" localSheetId="7">#REF!</definedName>
    <definedName name="kayuacuan">#REF!</definedName>
    <definedName name="Kayubakar" localSheetId="21">'[26]Daftar Harga'!#REF!</definedName>
    <definedName name="Kayubakar" localSheetId="1">'[26]Daftar Harga'!#REF!</definedName>
    <definedName name="Kayubakar" localSheetId="0">'[26]Daftar Harga'!#REF!</definedName>
    <definedName name="Kayubakar" localSheetId="5">'[26]Daftar Harga'!#REF!</definedName>
    <definedName name="Kayubakar" localSheetId="6">'[26]Daftar Harga'!#REF!</definedName>
    <definedName name="Kayubakar" localSheetId="16">'[26]Daftar Harga'!#REF!</definedName>
    <definedName name="Kayubakar" localSheetId="7">'[26]Daftar Harga'!#REF!</definedName>
    <definedName name="Kayubakar">'[26]Daftar Harga'!#REF!</definedName>
    <definedName name="KAYUBAKAU" localSheetId="21">#REF!</definedName>
    <definedName name="KAYUBAKAU" localSheetId="1">#REF!</definedName>
    <definedName name="KAYUBAKAU" localSheetId="0">#REF!</definedName>
    <definedName name="KAYUBAKAU" localSheetId="5">#REF!</definedName>
    <definedName name="KAYUBAKAU" localSheetId="6">#REF!</definedName>
    <definedName name="KAYUBAKAU" localSheetId="16">#REF!</definedName>
    <definedName name="KAYUBAKAU" localSheetId="7">#REF!</definedName>
    <definedName name="KAYUBAKAU">#REF!</definedName>
    <definedName name="KAYUIII" localSheetId="21">#REF!</definedName>
    <definedName name="KAYUIII" localSheetId="1">#REF!</definedName>
    <definedName name="KAYUIII" localSheetId="0">#REF!</definedName>
    <definedName name="KAYUIII" localSheetId="5">#REF!</definedName>
    <definedName name="KAYUIII" localSheetId="6">#REF!</definedName>
    <definedName name="KAYUIII" localSheetId="16">#REF!</definedName>
    <definedName name="KAYUIII" localSheetId="7">#REF!</definedName>
    <definedName name="KAYUIII">#REF!</definedName>
    <definedName name="KayuSeumantok">'[45]Daftar upah'!$G$56</definedName>
    <definedName name="Kbeton" localSheetId="21">'[26]Daftar Harga'!#REF!</definedName>
    <definedName name="Kbeton" localSheetId="1">'[26]Daftar Harga'!#REF!</definedName>
    <definedName name="Kbeton" localSheetId="0">'[26]Daftar Harga'!#REF!</definedName>
    <definedName name="Kbeton" localSheetId="5">'[26]Daftar Harga'!#REF!</definedName>
    <definedName name="Kbeton" localSheetId="6">'[26]Daftar Harga'!#REF!</definedName>
    <definedName name="Kbeton" localSheetId="16">'[26]Daftar Harga'!#REF!</definedName>
    <definedName name="Kbeton" localSheetId="7">'[26]Daftar Harga'!#REF!</definedName>
    <definedName name="Kbeton">'[26]Daftar Harga'!#REF!</definedName>
    <definedName name="Kbronjong" localSheetId="21">#REF!</definedName>
    <definedName name="Kbronjong" localSheetId="1">#REF!</definedName>
    <definedName name="Kbronjong" localSheetId="0">#REF!</definedName>
    <definedName name="Kbronjong" localSheetId="5">#REF!</definedName>
    <definedName name="Kbronjong" localSheetId="6">#REF!</definedName>
    <definedName name="Kbronjong" localSheetId="16">#REF!</definedName>
    <definedName name="Kbronjong" localSheetId="7">#REF!</definedName>
    <definedName name="Kbronjong">#REF!</definedName>
    <definedName name="KDT_" localSheetId="21">#REF!</definedName>
    <definedName name="KDT_" localSheetId="1">#REF!</definedName>
    <definedName name="KDT_" localSheetId="0">#REF!</definedName>
    <definedName name="KDT_" localSheetId="5">#REF!</definedName>
    <definedName name="KDT_" localSheetId="6">#REF!</definedName>
    <definedName name="KDT_" localSheetId="16">#REF!</definedName>
    <definedName name="KDT_" localSheetId="7">#REF!</definedName>
    <definedName name="KDT_">#REF!</definedName>
    <definedName name="Kduri" localSheetId="21">'[26]Daftar Harga'!#REF!</definedName>
    <definedName name="Kduri" localSheetId="1">'[26]Daftar Harga'!#REF!</definedName>
    <definedName name="Kduri" localSheetId="0">'[26]Daftar Harga'!#REF!</definedName>
    <definedName name="Kduri" localSheetId="5">'[26]Daftar Harga'!#REF!</definedName>
    <definedName name="Kduri" localSheetId="6">'[26]Daftar Harga'!#REF!</definedName>
    <definedName name="Kduri" localSheetId="16">'[26]Daftar Harga'!#REF!</definedName>
    <definedName name="Kduri" localSheetId="7">'[26]Daftar Harga'!#REF!</definedName>
    <definedName name="Kduri">'[26]Daftar Harga'!#REF!</definedName>
    <definedName name="ke" localSheetId="11">'[13]Kuantitas &amp; Harga'!#REF!</definedName>
    <definedName name="ke" localSheetId="10">'[13]Kuantitas &amp; Harga'!#REF!</definedName>
    <definedName name="ke" localSheetId="21">'[13]Kuantitas &amp; Harga'!#REF!</definedName>
    <definedName name="ke" localSheetId="12">'[13]Kuantitas &amp; Harga'!#REF!</definedName>
    <definedName name="ke" localSheetId="1">'[13]Kuantitas &amp; Harga'!#REF!</definedName>
    <definedName name="ke" localSheetId="0">'[13]Kuantitas &amp; Harga'!#REF!</definedName>
    <definedName name="ke" localSheetId="14">'[13]Kuantitas &amp; Harga'!#REF!</definedName>
    <definedName name="ke" localSheetId="5">'[13]Kuantitas &amp; Harga'!#REF!</definedName>
    <definedName name="ke" localSheetId="6">'[13]Kuantitas &amp; Harga'!#REF!</definedName>
    <definedName name="ke" localSheetId="16">'[13]Kuantitas &amp; Harga'!#REF!</definedName>
    <definedName name="ke" localSheetId="7">'[13]Kuantitas &amp; Harga'!#REF!</definedName>
    <definedName name="ke">'[13]Kuantitas &amp; Harga'!#REF!</definedName>
    <definedName name="keadaan">'[13]Upah&amp;Bahan'!$C$26</definedName>
    <definedName name="keg">[22]Catatan!$D$8</definedName>
    <definedName name="kenek" localSheetId="18">#REF!</definedName>
    <definedName name="kenek" localSheetId="11">#REF!</definedName>
    <definedName name="kenek" localSheetId="10">#REF!</definedName>
    <definedName name="kenek" localSheetId="21">#REF!</definedName>
    <definedName name="kenek" localSheetId="12">#REF!</definedName>
    <definedName name="kenek" localSheetId="1">#REF!</definedName>
    <definedName name="kenek" localSheetId="0">#REF!</definedName>
    <definedName name="kenek" localSheetId="14">#REF!</definedName>
    <definedName name="kenek" localSheetId="5">#REF!</definedName>
    <definedName name="kenek" localSheetId="6">#REF!</definedName>
    <definedName name="kenek" localSheetId="16">#REF!</definedName>
    <definedName name="kenek" localSheetId="7">#REF!</definedName>
    <definedName name="kenek">#REF!</definedName>
    <definedName name="kep" localSheetId="21">#REF!</definedName>
    <definedName name="kep" localSheetId="1">#REF!</definedName>
    <definedName name="kep" localSheetId="0">#REF!</definedName>
    <definedName name="kep" localSheetId="5">#REF!</definedName>
    <definedName name="kep" localSheetId="6">#REF!</definedName>
    <definedName name="kep" localSheetId="16">#REF!</definedName>
    <definedName name="kep" localSheetId="7">#REF!</definedName>
    <definedName name="kep">#REF!</definedName>
    <definedName name="Kepala">'[46]HARGA BAHAN'!$D$9</definedName>
    <definedName name="KEPALA_TUKANG" localSheetId="11">'[33]Harga Bahan'!$H$147</definedName>
    <definedName name="KEPALA_TUKANG" localSheetId="12">'[33]Harga Bahan'!$H$147</definedName>
    <definedName name="KEPALA_TUKANG" localSheetId="14">'[33]Harga Bahan'!$H$147</definedName>
    <definedName name="KEPALA_TUKANG">'[33]Harga Bahan'!$H$147</definedName>
    <definedName name="Kepalatukang">[30]rekap!$D$6</definedName>
    <definedName name="kepalatukanglas" localSheetId="18">[24]cover!#REF!</definedName>
    <definedName name="kepalatukanglas" localSheetId="10">[24]cover!#REF!</definedName>
    <definedName name="kepalatukanglas" localSheetId="21">[24]cover!#REF!</definedName>
    <definedName name="kepalatukanglas" localSheetId="1">[24]cover!#REF!</definedName>
    <definedName name="kepalatukanglas" localSheetId="0">[24]cover!#REF!</definedName>
    <definedName name="kepalatukanglas" localSheetId="5">[24]cover!#REF!</definedName>
    <definedName name="kepalatukanglas" localSheetId="6">[24]cover!#REF!</definedName>
    <definedName name="kepalatukanglas" localSheetId="16">[24]cover!#REF!</definedName>
    <definedName name="kepalatukanglas" localSheetId="7">[24]cover!#REF!</definedName>
    <definedName name="kepalatukanglas">[24]cover!#REF!</definedName>
    <definedName name="KEPTUKANG" localSheetId="18">#REF!</definedName>
    <definedName name="KEPTUKANG" localSheetId="21">#REF!</definedName>
    <definedName name="KEPTUKANG" localSheetId="1">#REF!</definedName>
    <definedName name="KEPTUKANG" localSheetId="0">#REF!</definedName>
    <definedName name="KEPTUKANG" localSheetId="5">#REF!</definedName>
    <definedName name="KEPTUKANG" localSheetId="6">#REF!</definedName>
    <definedName name="KEPTUKANG" localSheetId="16">#REF!</definedName>
    <definedName name="KEPTUKANG" localSheetId="7">#REF!</definedName>
    <definedName name="KEPTUKANG">#REF!</definedName>
    <definedName name="keramik20" localSheetId="18">[24]cover!#REF!</definedName>
    <definedName name="keramik20" localSheetId="10">[24]cover!#REF!</definedName>
    <definedName name="keramik20" localSheetId="21">[24]cover!#REF!</definedName>
    <definedName name="keramik20" localSheetId="1">[24]cover!#REF!</definedName>
    <definedName name="keramik20" localSheetId="0">[24]cover!#REF!</definedName>
    <definedName name="keramik20" localSheetId="5">[24]cover!#REF!</definedName>
    <definedName name="keramik20" localSheetId="6">[24]cover!#REF!</definedName>
    <definedName name="keramik20" localSheetId="16">[24]cover!#REF!</definedName>
    <definedName name="keramik20" localSheetId="7">[24]cover!#REF!</definedName>
    <definedName name="keramik20">[24]cover!#REF!</definedName>
    <definedName name="keramik25" localSheetId="18">[24]cover!#REF!</definedName>
    <definedName name="keramik25" localSheetId="10">[24]cover!#REF!</definedName>
    <definedName name="keramik25" localSheetId="21">[24]cover!#REF!</definedName>
    <definedName name="keramik25" localSheetId="1">[24]cover!#REF!</definedName>
    <definedName name="keramik25" localSheetId="0">[24]cover!#REF!</definedName>
    <definedName name="keramik25" localSheetId="5">[24]cover!#REF!</definedName>
    <definedName name="keramik25" localSheetId="6">[24]cover!#REF!</definedName>
    <definedName name="keramik25" localSheetId="16">[24]cover!#REF!</definedName>
    <definedName name="keramik25" localSheetId="7">[24]cover!#REF!</definedName>
    <definedName name="keramik25">[24]cover!#REF!</definedName>
    <definedName name="kerawang" localSheetId="18">[25]Analisis!#REF!</definedName>
    <definedName name="kerawang" localSheetId="10">[25]Analisis!#REF!</definedName>
    <definedName name="kerawang" localSheetId="21">[25]Analisis!#REF!</definedName>
    <definedName name="kerawang" localSheetId="1">[25]Analisis!#REF!</definedName>
    <definedName name="kerawang" localSheetId="0">[25]Analisis!#REF!</definedName>
    <definedName name="kerawang" localSheetId="5">[25]Analisis!#REF!</definedName>
    <definedName name="kerawang" localSheetId="6">[25]Analisis!#REF!</definedName>
    <definedName name="kerawang" localSheetId="16">[25]Analisis!#REF!</definedName>
    <definedName name="kerawang" localSheetId="7">[25]Analisis!#REF!</definedName>
    <definedName name="kerawang">[25]Analisis!#REF!</definedName>
    <definedName name="Kereta" localSheetId="21">[26]Analisa!#REF!</definedName>
    <definedName name="Kereta" localSheetId="1">[26]Analisa!#REF!</definedName>
    <definedName name="Kereta" localSheetId="0">[26]Analisa!#REF!</definedName>
    <definedName name="Kereta" localSheetId="5">[26]Analisa!#REF!</definedName>
    <definedName name="Kereta" localSheetId="6">[26]Analisa!#REF!</definedName>
    <definedName name="Kereta" localSheetId="16">[26]Analisa!#REF!</definedName>
    <definedName name="Kereta" localSheetId="7">[26]Analisa!#REF!</definedName>
    <definedName name="Kereta">[26]Analisa!#REF!</definedName>
    <definedName name="kerikil" localSheetId="18">#REF!</definedName>
    <definedName name="kerikil" localSheetId="21">#REF!</definedName>
    <definedName name="kerikil" localSheetId="1">#REF!</definedName>
    <definedName name="kerikil" localSheetId="0">#REF!</definedName>
    <definedName name="kerikil" localSheetId="5">#REF!</definedName>
    <definedName name="kerikil" localSheetId="6">#REF!</definedName>
    <definedName name="kerikil" localSheetId="16">#REF!</definedName>
    <definedName name="kerikil" localSheetId="7">#REF!</definedName>
    <definedName name="kerikil">#REF!</definedName>
    <definedName name="kerikiljagung" localSheetId="18">[24]cover!#REF!</definedName>
    <definedName name="kerikiljagung" localSheetId="10">[24]cover!#REF!</definedName>
    <definedName name="kerikiljagung" localSheetId="21">[24]cover!#REF!</definedName>
    <definedName name="kerikiljagung" localSheetId="1">[24]cover!#REF!</definedName>
    <definedName name="kerikiljagung" localSheetId="0">[24]cover!#REF!</definedName>
    <definedName name="kerikiljagung" localSheetId="5">[24]cover!#REF!</definedName>
    <definedName name="kerikiljagung" localSheetId="6">[24]cover!#REF!</definedName>
    <definedName name="kerikiljagung" localSheetId="16">[24]cover!#REF!</definedName>
    <definedName name="kerikiljagung" localSheetId="7">[24]cover!#REF!</definedName>
    <definedName name="kerikiljagung">[24]cover!#REF!</definedName>
    <definedName name="kerikilpecahtersaring" localSheetId="18">#REF!</definedName>
    <definedName name="kerikilpecahtersaring" localSheetId="21">#REF!</definedName>
    <definedName name="kerikilpecahtersaring" localSheetId="1">#REF!</definedName>
    <definedName name="kerikilpecahtersaring" localSheetId="0">#REF!</definedName>
    <definedName name="kerikilpecahtersaring" localSheetId="5">#REF!</definedName>
    <definedName name="kerikilpecahtersaring" localSheetId="6">#REF!</definedName>
    <definedName name="kerikilpecahtersaring" localSheetId="16">#REF!</definedName>
    <definedName name="kerikilpecahtersaring" localSheetId="7">#REF!</definedName>
    <definedName name="kerikilpecahtersaring">#REF!</definedName>
    <definedName name="kerikilsungaitidaktersaring" localSheetId="18">#REF!</definedName>
    <definedName name="kerikilsungaitidaktersaring" localSheetId="21">#REF!</definedName>
    <definedName name="kerikilsungaitidaktersaring" localSheetId="1">#REF!</definedName>
    <definedName name="kerikilsungaitidaktersaring" localSheetId="0">#REF!</definedName>
    <definedName name="kerikilsungaitidaktersaring" localSheetId="5">#REF!</definedName>
    <definedName name="kerikilsungaitidaktersaring" localSheetId="6">#REF!</definedName>
    <definedName name="kerikilsungaitidaktersaring" localSheetId="16">#REF!</definedName>
    <definedName name="kerikilsungaitidaktersaring" localSheetId="7">#REF!</definedName>
    <definedName name="kerikilsungaitidaktersaring">#REF!</definedName>
    <definedName name="KERJA">'[41]UPH &amp; BHN'!$F$8</definedName>
    <definedName name="KES.C" localSheetId="18">#REF!</definedName>
    <definedName name="KES.C" localSheetId="11">#REF!</definedName>
    <definedName name="KES.C" localSheetId="10">#REF!</definedName>
    <definedName name="KES.C" localSheetId="21">#REF!</definedName>
    <definedName name="KES.C" localSheetId="12">#REF!</definedName>
    <definedName name="KES.C" localSheetId="1">#REF!</definedName>
    <definedName name="KES.C" localSheetId="0">#REF!</definedName>
    <definedName name="KES.C" localSheetId="14">#REF!</definedName>
    <definedName name="KES.C" localSheetId="5">#REF!</definedName>
    <definedName name="KES.C" localSheetId="6">#REF!</definedName>
    <definedName name="KES.C" localSheetId="16">#REF!</definedName>
    <definedName name="KES.C" localSheetId="7">#REF!</definedName>
    <definedName name="KES.C">#REF!</definedName>
    <definedName name="KES.D" localSheetId="18">#REF!</definedName>
    <definedName name="KES.D" localSheetId="11">#REF!</definedName>
    <definedName name="KES.D" localSheetId="10">#REF!</definedName>
    <definedName name="KES.D" localSheetId="21">#REF!</definedName>
    <definedName name="KES.D" localSheetId="12">#REF!</definedName>
    <definedName name="KES.D" localSheetId="1">#REF!</definedName>
    <definedName name="KES.D" localSheetId="0">#REF!</definedName>
    <definedName name="KES.D" localSheetId="14">#REF!</definedName>
    <definedName name="KES.D" localSheetId="5">#REF!</definedName>
    <definedName name="KES.D" localSheetId="6">#REF!</definedName>
    <definedName name="KES.D" localSheetId="16">#REF!</definedName>
    <definedName name="KES.D" localSheetId="7">#REF!</definedName>
    <definedName name="KES.D">#REF!</definedName>
    <definedName name="KES.E" localSheetId="18">#REF!</definedName>
    <definedName name="KES.E" localSheetId="11">#REF!</definedName>
    <definedName name="KES.E" localSheetId="10">#REF!</definedName>
    <definedName name="KES.E" localSheetId="21">#REF!</definedName>
    <definedName name="KES.E" localSheetId="12">#REF!</definedName>
    <definedName name="KES.E" localSheetId="1">#REF!</definedName>
    <definedName name="KES.E" localSheetId="0">#REF!</definedName>
    <definedName name="KES.E" localSheetId="14">#REF!</definedName>
    <definedName name="KES.E" localSheetId="5">#REF!</definedName>
    <definedName name="KES.E" localSheetId="6">#REF!</definedName>
    <definedName name="KES.E" localSheetId="16">#REF!</definedName>
    <definedName name="KES.E" localSheetId="7">#REF!</definedName>
    <definedName name="KES.E">#REF!</definedName>
    <definedName name="kisdam" localSheetId="21">[29]ANALISA!#REF!</definedName>
    <definedName name="kisdam" localSheetId="1">[29]ANALISA!#REF!</definedName>
    <definedName name="kisdam" localSheetId="0">[29]ANALISA!#REF!</definedName>
    <definedName name="kisdam" localSheetId="5">[29]ANALISA!#REF!</definedName>
    <definedName name="kisdam" localSheetId="6">[29]ANALISA!#REF!</definedName>
    <definedName name="kisdam" localSheetId="16">[29]ANALISA!#REF!</definedName>
    <definedName name="kisdam" localSheetId="7">[29]ANALISA!#REF!</definedName>
    <definedName name="kisdam">[29]ANALISA!#REF!</definedName>
    <definedName name="KJKLHH">[5]alat!$AW$16</definedName>
    <definedName name="klurs">'[23]Upah&amp;Bahan'!$C$61</definedName>
    <definedName name="KMASD" localSheetId="21">#REF!</definedName>
    <definedName name="KMASD" localSheetId="1">#REF!</definedName>
    <definedName name="KMASD" localSheetId="0">#REF!</definedName>
    <definedName name="KMASD" localSheetId="5">#REF!</definedName>
    <definedName name="KMASD" localSheetId="6">#REF!</definedName>
    <definedName name="KMASD" localSheetId="16">#REF!</definedName>
    <definedName name="KMASD" localSheetId="7">#REF!</definedName>
    <definedName name="KMASD">#REF!</definedName>
    <definedName name="KMDDE" localSheetId="21">#REF!</definedName>
    <definedName name="KMDDE" localSheetId="1">#REF!</definedName>
    <definedName name="KMDDE" localSheetId="0">#REF!</definedName>
    <definedName name="KMDDE" localSheetId="5">#REF!</definedName>
    <definedName name="KMDDE" localSheetId="6">#REF!</definedName>
    <definedName name="KMDDE" localSheetId="16">#REF!</definedName>
    <definedName name="KMDDE" localSheetId="7">#REF!</definedName>
    <definedName name="KMDDE">#REF!</definedName>
    <definedName name="KMDDL" localSheetId="21">#REF!</definedName>
    <definedName name="KMDDL" localSheetId="1">#REF!</definedName>
    <definedName name="KMDDL" localSheetId="0">#REF!</definedName>
    <definedName name="KMDDL" localSheetId="5">#REF!</definedName>
    <definedName name="KMDDL" localSheetId="6">#REF!</definedName>
    <definedName name="KMDDL" localSheetId="16">#REF!</definedName>
    <definedName name="KMDDL" localSheetId="7">#REF!</definedName>
    <definedName name="KMDDL">#REF!</definedName>
    <definedName name="KMDSL" localSheetId="21">#REF!</definedName>
    <definedName name="KMDSL" localSheetId="1">#REF!</definedName>
    <definedName name="KMDSL" localSheetId="0">#REF!</definedName>
    <definedName name="KMDSL" localSheetId="5">#REF!</definedName>
    <definedName name="KMDSL" localSheetId="6">#REF!</definedName>
    <definedName name="KMDSL" localSheetId="16">#REF!</definedName>
    <definedName name="KMDSL" localSheetId="7">#REF!</definedName>
    <definedName name="KMDSL">#REF!</definedName>
    <definedName name="KMDSN" localSheetId="21">#REF!</definedName>
    <definedName name="KMDSN" localSheetId="1">#REF!</definedName>
    <definedName name="KMDSN" localSheetId="0">#REF!</definedName>
    <definedName name="KMDSN" localSheetId="5">#REF!</definedName>
    <definedName name="KMDSN" localSheetId="6">#REF!</definedName>
    <definedName name="KMDSN" localSheetId="16">#REF!</definedName>
    <definedName name="KMDSN" localSheetId="7">#REF!</definedName>
    <definedName name="KMDSN">#REF!</definedName>
    <definedName name="KMEDT" localSheetId="21">#REF!</definedName>
    <definedName name="KMEDT" localSheetId="1">#REF!</definedName>
    <definedName name="KMEDT" localSheetId="0">#REF!</definedName>
    <definedName name="KMEDT" localSheetId="5">#REF!</definedName>
    <definedName name="KMEDT" localSheetId="6">#REF!</definedName>
    <definedName name="KMEDT" localSheetId="16">#REF!</definedName>
    <definedName name="KMEDT" localSheetId="7">#REF!</definedName>
    <definedName name="KMEDT">#REF!</definedName>
    <definedName name="KMESN" localSheetId="21">#REF!</definedName>
    <definedName name="KMESN" localSheetId="1">#REF!</definedName>
    <definedName name="KMESN" localSheetId="0">#REF!</definedName>
    <definedName name="KMESN" localSheetId="5">#REF!</definedName>
    <definedName name="KMESN" localSheetId="6">#REF!</definedName>
    <definedName name="KMESN" localSheetId="16">#REF!</definedName>
    <definedName name="KMESN" localSheetId="7">#REF!</definedName>
    <definedName name="KMESN">#REF!</definedName>
    <definedName name="KMFD" localSheetId="21">#REF!</definedName>
    <definedName name="KMFD" localSheetId="1">#REF!</definedName>
    <definedName name="KMFD" localSheetId="0">#REF!</definedName>
    <definedName name="KMFD" localSheetId="5">#REF!</definedName>
    <definedName name="KMFD" localSheetId="6">#REF!</definedName>
    <definedName name="KMFD" localSheetId="16">#REF!</definedName>
    <definedName name="KMFD" localSheetId="7">#REF!</definedName>
    <definedName name="KMFD">#REF!</definedName>
    <definedName name="KMFE" localSheetId="21">#REF!</definedName>
    <definedName name="KMFE" localSheetId="1">#REF!</definedName>
    <definedName name="KMFE" localSheetId="0">#REF!</definedName>
    <definedName name="KMFE" localSheetId="5">#REF!</definedName>
    <definedName name="KMFE" localSheetId="6">#REF!</definedName>
    <definedName name="KMFE" localSheetId="16">#REF!</definedName>
    <definedName name="KMFE" localSheetId="7">#REF!</definedName>
    <definedName name="KMFE">#REF!</definedName>
    <definedName name="KMGLT" localSheetId="21">#REF!</definedName>
    <definedName name="KMGLT" localSheetId="1">#REF!</definedName>
    <definedName name="KMGLT" localSheetId="0">#REF!</definedName>
    <definedName name="KMGLT" localSheetId="5">#REF!</definedName>
    <definedName name="KMGLT" localSheetId="6">#REF!</definedName>
    <definedName name="KMGLT" localSheetId="16">#REF!</definedName>
    <definedName name="KMGLT" localSheetId="7">#REF!</definedName>
    <definedName name="KMGLT">#REF!</definedName>
    <definedName name="KMHD" localSheetId="21">#REF!</definedName>
    <definedName name="KMHD" localSheetId="1">#REF!</definedName>
    <definedName name="KMHD" localSheetId="0">#REF!</definedName>
    <definedName name="KMHD" localSheetId="5">#REF!</definedName>
    <definedName name="KMHD" localSheetId="6">#REF!</definedName>
    <definedName name="KMHD" localSheetId="16">#REF!</definedName>
    <definedName name="KMHD" localSheetId="7">#REF!</definedName>
    <definedName name="KMHD">#REF!</definedName>
    <definedName name="KMKS" localSheetId="21">#REF!</definedName>
    <definedName name="KMKS" localSheetId="1">#REF!</definedName>
    <definedName name="KMKS" localSheetId="0">#REF!</definedName>
    <definedName name="KMKS" localSheetId="5">#REF!</definedName>
    <definedName name="KMKS" localSheetId="6">#REF!</definedName>
    <definedName name="KMKS" localSheetId="16">#REF!</definedName>
    <definedName name="KMKS" localSheetId="7">#REF!</definedName>
    <definedName name="KMKS">#REF!</definedName>
    <definedName name="KMLSE" localSheetId="21">#REF!</definedName>
    <definedName name="KMLSE" localSheetId="1">#REF!</definedName>
    <definedName name="KMLSE" localSheetId="0">#REF!</definedName>
    <definedName name="KMLSE" localSheetId="5">#REF!</definedName>
    <definedName name="KMLSE" localSheetId="6">#REF!</definedName>
    <definedName name="KMLSE" localSheetId="16">#REF!</definedName>
    <definedName name="KMLSE" localSheetId="7">#REF!</definedName>
    <definedName name="KMLSE">#REF!</definedName>
    <definedName name="KMNSD" localSheetId="21">#REF!</definedName>
    <definedName name="KMNSD" localSheetId="1">#REF!</definedName>
    <definedName name="KMNSD" localSheetId="0">#REF!</definedName>
    <definedName name="KMNSD" localSheetId="5">#REF!</definedName>
    <definedName name="KMNSD" localSheetId="6">#REF!</definedName>
    <definedName name="KMNSD" localSheetId="16">#REF!</definedName>
    <definedName name="KMNSD" localSheetId="7">#REF!</definedName>
    <definedName name="KMNSD">#REF!</definedName>
    <definedName name="KMNST" localSheetId="21">#REF!</definedName>
    <definedName name="KMNST" localSheetId="1">#REF!</definedName>
    <definedName name="KMNST" localSheetId="0">#REF!</definedName>
    <definedName name="KMNST" localSheetId="5">#REF!</definedName>
    <definedName name="KMNST" localSheetId="6">#REF!</definedName>
    <definedName name="KMNST" localSheetId="16">#REF!</definedName>
    <definedName name="KMNST" localSheetId="7">#REF!</definedName>
    <definedName name="KMNST">#REF!</definedName>
    <definedName name="KMNTE" localSheetId="21">#REF!</definedName>
    <definedName name="KMNTE" localSheetId="1">#REF!</definedName>
    <definedName name="KMNTE" localSheetId="0">#REF!</definedName>
    <definedName name="KMNTE" localSheetId="5">#REF!</definedName>
    <definedName name="KMNTE" localSheetId="6">#REF!</definedName>
    <definedName name="KMNTE" localSheetId="16">#REF!</definedName>
    <definedName name="KMNTE" localSheetId="7">#REF!</definedName>
    <definedName name="KMNTE">#REF!</definedName>
    <definedName name="kmp.banjar" localSheetId="18">#REF!</definedName>
    <definedName name="kmp.banjar" localSheetId="11">#REF!</definedName>
    <definedName name="kmp.banjar" localSheetId="10">#REF!</definedName>
    <definedName name="kmp.banjar" localSheetId="21">#REF!</definedName>
    <definedName name="kmp.banjar" localSheetId="12">#REF!</definedName>
    <definedName name="kmp.banjar" localSheetId="1">#REF!</definedName>
    <definedName name="kmp.banjar" localSheetId="0">#REF!</definedName>
    <definedName name="kmp.banjar" localSheetId="14">#REF!</definedName>
    <definedName name="kmp.banjar" localSheetId="5">#REF!</definedName>
    <definedName name="kmp.banjar" localSheetId="6">#REF!</definedName>
    <definedName name="kmp.banjar" localSheetId="16">#REF!</definedName>
    <definedName name="kmp.banjar" localSheetId="7">#REF!</definedName>
    <definedName name="kmp.banjar">#REF!</definedName>
    <definedName name="KMSDS" localSheetId="21">#REF!</definedName>
    <definedName name="KMSDS" localSheetId="1">#REF!</definedName>
    <definedName name="KMSDS" localSheetId="0">#REF!</definedName>
    <definedName name="KMSDS" localSheetId="5">#REF!</definedName>
    <definedName name="KMSDS" localSheetId="6">#REF!</definedName>
    <definedName name="KMSDS" localSheetId="16">#REF!</definedName>
    <definedName name="KMSDS" localSheetId="7">#REF!</definedName>
    <definedName name="KMSDS">#REF!</definedName>
    <definedName name="KMSNIB" localSheetId="21">#REF!</definedName>
    <definedName name="KMSNIB" localSheetId="1">#REF!</definedName>
    <definedName name="KMSNIB" localSheetId="0">#REF!</definedName>
    <definedName name="KMSNIB" localSheetId="5">#REF!</definedName>
    <definedName name="KMSNIB" localSheetId="6">#REF!</definedName>
    <definedName name="KMSNIB" localSheetId="16">#REF!</definedName>
    <definedName name="KMSNIB" localSheetId="7">#REF!</definedName>
    <definedName name="KMSNIB">#REF!</definedName>
    <definedName name="KMSNIH" localSheetId="21">#REF!</definedName>
    <definedName name="KMSNIH" localSheetId="1">#REF!</definedName>
    <definedName name="KMSNIH" localSheetId="0">#REF!</definedName>
    <definedName name="KMSNIH" localSheetId="5">#REF!</definedName>
    <definedName name="KMSNIH" localSheetId="6">#REF!</definedName>
    <definedName name="KMSNIH" localSheetId="16">#REF!</definedName>
    <definedName name="KMSNIH" localSheetId="7">#REF!</definedName>
    <definedName name="KMSNIH">#REF!</definedName>
    <definedName name="KMSSN" localSheetId="21">#REF!</definedName>
    <definedName name="KMSSN" localSheetId="1">#REF!</definedName>
    <definedName name="KMSSN" localSheetId="0">#REF!</definedName>
    <definedName name="KMSSN" localSheetId="5">#REF!</definedName>
    <definedName name="KMSSN" localSheetId="6">#REF!</definedName>
    <definedName name="KMSSN" localSheetId="16">#REF!</definedName>
    <definedName name="KMSSN" localSheetId="7">#REF!</definedName>
    <definedName name="KMSSN">#REF!</definedName>
    <definedName name="KMTDL" localSheetId="21">#REF!</definedName>
    <definedName name="KMTDL" localSheetId="1">#REF!</definedName>
    <definedName name="KMTDL" localSheetId="0">#REF!</definedName>
    <definedName name="KMTDL" localSheetId="5">#REF!</definedName>
    <definedName name="KMTDL" localSheetId="6">#REF!</definedName>
    <definedName name="KMTDL" localSheetId="16">#REF!</definedName>
    <definedName name="KMTDL" localSheetId="7">#REF!</definedName>
    <definedName name="KMTDL">#REF!</definedName>
    <definedName name="KMTDN" localSheetId="21">#REF!</definedName>
    <definedName name="KMTDN" localSheetId="1">#REF!</definedName>
    <definedName name="KMTDN" localSheetId="0">#REF!</definedName>
    <definedName name="KMTDN" localSheetId="5">#REF!</definedName>
    <definedName name="KMTDN" localSheetId="6">#REF!</definedName>
    <definedName name="KMTDN" localSheetId="16">#REF!</definedName>
    <definedName name="KMTDN" localSheetId="7">#REF!</definedName>
    <definedName name="KMTDN">#REF!</definedName>
    <definedName name="KMTDS" localSheetId="21">#REF!</definedName>
    <definedName name="KMTDS" localSheetId="1">#REF!</definedName>
    <definedName name="KMTDS" localSheetId="0">#REF!</definedName>
    <definedName name="KMTDS" localSheetId="5">#REF!</definedName>
    <definedName name="KMTDS" localSheetId="6">#REF!</definedName>
    <definedName name="KMTDS" localSheetId="16">#REF!</definedName>
    <definedName name="KMTDS" localSheetId="7">#REF!</definedName>
    <definedName name="KMTDS">#REF!</definedName>
    <definedName name="KMTES" localSheetId="21">#REF!</definedName>
    <definedName name="KMTES" localSheetId="1">#REF!</definedName>
    <definedName name="KMTES" localSheetId="0">#REF!</definedName>
    <definedName name="KMTES" localSheetId="5">#REF!</definedName>
    <definedName name="KMTES" localSheetId="6">#REF!</definedName>
    <definedName name="KMTES" localSheetId="16">#REF!</definedName>
    <definedName name="KMTES" localSheetId="7">#REF!</definedName>
    <definedName name="KMTES">#REF!</definedName>
    <definedName name="KMTSL" localSheetId="21">#REF!</definedName>
    <definedName name="KMTSL" localSheetId="1">#REF!</definedName>
    <definedName name="KMTSL" localSheetId="0">#REF!</definedName>
    <definedName name="KMTSL" localSheetId="5">#REF!</definedName>
    <definedName name="KMTSL" localSheetId="6">#REF!</definedName>
    <definedName name="KMTSL" localSheetId="16">#REF!</definedName>
    <definedName name="KMTSL" localSheetId="7">#REF!</definedName>
    <definedName name="KMTSL">#REF!</definedName>
    <definedName name="KMTSN" localSheetId="21">#REF!</definedName>
    <definedName name="KMTSN" localSheetId="1">#REF!</definedName>
    <definedName name="KMTSN" localSheetId="0">#REF!</definedName>
    <definedName name="KMTSN" localSheetId="5">#REF!</definedName>
    <definedName name="KMTSN" localSheetId="6">#REF!</definedName>
    <definedName name="KMTSN" localSheetId="16">#REF!</definedName>
    <definedName name="KMTSN" localSheetId="7">#REF!</definedName>
    <definedName name="KMTSN">#REF!</definedName>
    <definedName name="kode" localSheetId="18">#REF!</definedName>
    <definedName name="kode" localSheetId="10">#REF!</definedName>
    <definedName name="kode" localSheetId="21">#REF!</definedName>
    <definedName name="kode" localSheetId="1">#REF!</definedName>
    <definedName name="kode" localSheetId="0">#REF!</definedName>
    <definedName name="kode" localSheetId="5">#REF!</definedName>
    <definedName name="kode" localSheetId="6">#REF!</definedName>
    <definedName name="kode" localSheetId="16">#REF!</definedName>
    <definedName name="kode" localSheetId="7">#REF!</definedName>
    <definedName name="kode">#REF!</definedName>
    <definedName name="Kom">'[14]Analisa AB'!$X$111</definedName>
    <definedName name="kont">[47]rekap!$J$12</definedName>
    <definedName name="koral" localSheetId="21">#REF!</definedName>
    <definedName name="koral" localSheetId="1">#REF!</definedName>
    <definedName name="koral" localSheetId="0">#REF!</definedName>
    <definedName name="koral" localSheetId="5">#REF!</definedName>
    <definedName name="koral" localSheetId="6">#REF!</definedName>
    <definedName name="koral" localSheetId="16">#REF!</definedName>
    <definedName name="koral" localSheetId="7">#REF!</definedName>
    <definedName name="koral">#REF!</definedName>
    <definedName name="kosen" localSheetId="18">[25]Analisis!#REF!</definedName>
    <definedName name="kosen" localSheetId="10">[25]Analisis!#REF!</definedName>
    <definedName name="kosen" localSheetId="21">[25]Analisis!#REF!</definedName>
    <definedName name="kosen" localSheetId="1">[25]Analisis!#REF!</definedName>
    <definedName name="kosen" localSheetId="0">[25]Analisis!#REF!</definedName>
    <definedName name="kosen" localSheetId="5">[25]Analisis!#REF!</definedName>
    <definedName name="kosen" localSheetId="6">[25]Analisis!#REF!</definedName>
    <definedName name="kosen" localSheetId="16">[25]Analisis!#REF!</definedName>
    <definedName name="kosen" localSheetId="7">[25]Analisis!#REF!</definedName>
    <definedName name="kosen">[25]Analisis!#REF!</definedName>
    <definedName name="kpb" localSheetId="18">#REF!</definedName>
    <definedName name="kpb" localSheetId="21">#REF!</definedName>
    <definedName name="kpb" localSheetId="1">#REF!</definedName>
    <definedName name="kpb" localSheetId="0">#REF!</definedName>
    <definedName name="kpb" localSheetId="5">#REF!</definedName>
    <definedName name="kpb" localSheetId="6">#REF!</definedName>
    <definedName name="kpb" localSheetId="16">#REF!</definedName>
    <definedName name="kpb" localSheetId="7">#REF!</definedName>
    <definedName name="kpb">#REF!</definedName>
    <definedName name="kr" localSheetId="21">#REF!</definedName>
    <definedName name="kr" localSheetId="1">#REF!</definedName>
    <definedName name="kr" localSheetId="0">#REF!</definedName>
    <definedName name="kr" localSheetId="5">#REF!</definedName>
    <definedName name="kr" localSheetId="6">#REF!</definedName>
    <definedName name="kr" localSheetId="16">#REF!</definedName>
    <definedName name="kr" localSheetId="7">#REF!</definedName>
    <definedName name="kr">#REF!</definedName>
    <definedName name="kran.bbk" localSheetId="18">#REF!</definedName>
    <definedName name="kran.bbk" localSheetId="11">#REF!</definedName>
    <definedName name="kran.bbk" localSheetId="10">#REF!</definedName>
    <definedName name="kran.bbk" localSheetId="21">#REF!</definedName>
    <definedName name="kran.bbk" localSheetId="12">#REF!</definedName>
    <definedName name="kran.bbk" localSheetId="1">#REF!</definedName>
    <definedName name="kran.bbk" localSheetId="0">#REF!</definedName>
    <definedName name="kran.bbk" localSheetId="14">#REF!</definedName>
    <definedName name="kran.bbk" localSheetId="5">#REF!</definedName>
    <definedName name="kran.bbk" localSheetId="6">#REF!</definedName>
    <definedName name="kran.bbk" localSheetId="16">#REF!</definedName>
    <definedName name="kran.bbk" localSheetId="7">#REF!</definedName>
    <definedName name="kran.bbk">#REF!</definedName>
    <definedName name="kran.ddg" localSheetId="18">#REF!</definedName>
    <definedName name="kran.ddg" localSheetId="11">#REF!</definedName>
    <definedName name="kran.ddg" localSheetId="10">#REF!</definedName>
    <definedName name="kran.ddg" localSheetId="21">#REF!</definedName>
    <definedName name="kran.ddg" localSheetId="12">#REF!</definedName>
    <definedName name="kran.ddg" localSheetId="1">#REF!</definedName>
    <definedName name="kran.ddg" localSheetId="0">#REF!</definedName>
    <definedName name="kran.ddg" localSheetId="14">#REF!</definedName>
    <definedName name="kran.ddg" localSheetId="5">#REF!</definedName>
    <definedName name="kran.ddg" localSheetId="6">#REF!</definedName>
    <definedName name="kran.ddg" localSheetId="16">#REF!</definedName>
    <definedName name="kran.ddg" localSheetId="7">#REF!</definedName>
    <definedName name="kran.ddg">#REF!</definedName>
    <definedName name="Krib">[26]Analisa!$I$141</definedName>
    <definedName name="KSDSL" localSheetId="21">#REF!</definedName>
    <definedName name="KSDSL" localSheetId="1">#REF!</definedName>
    <definedName name="KSDSL" localSheetId="0">#REF!</definedName>
    <definedName name="KSDSL" localSheetId="5">#REF!</definedName>
    <definedName name="KSDSL" localSheetId="6">#REF!</definedName>
    <definedName name="KSDSL" localSheetId="16">#REF!</definedName>
    <definedName name="KSDSL" localSheetId="7">#REF!</definedName>
    <definedName name="KSDSL">#REF!</definedName>
    <definedName name="KSS" localSheetId="21">#REF!</definedName>
    <definedName name="KSS" localSheetId="1">#REF!</definedName>
    <definedName name="KSS" localSheetId="0">#REF!</definedName>
    <definedName name="KSS" localSheetId="5">#REF!</definedName>
    <definedName name="KSS" localSheetId="6">#REF!</definedName>
    <definedName name="KSS" localSheetId="16">#REF!</definedName>
    <definedName name="KSS" localSheetId="7">#REF!</definedName>
    <definedName name="KSS">#REF!</definedName>
    <definedName name="KSS_" localSheetId="21">#REF!</definedName>
    <definedName name="KSS_" localSheetId="1">#REF!</definedName>
    <definedName name="KSS_" localSheetId="0">#REF!</definedName>
    <definedName name="KSS_" localSheetId="5">#REF!</definedName>
    <definedName name="KSS_" localSheetId="6">#REF!</definedName>
    <definedName name="KSS_" localSheetId="16">#REF!</definedName>
    <definedName name="KSS_" localSheetId="7">#REF!</definedName>
    <definedName name="KSS_">#REF!</definedName>
    <definedName name="kt" localSheetId="21">#REF!</definedName>
    <definedName name="kt" localSheetId="1">#REF!</definedName>
    <definedName name="kt" localSheetId="0">#REF!</definedName>
    <definedName name="kt" localSheetId="5">#REF!</definedName>
    <definedName name="kt" localSheetId="6">#REF!</definedName>
    <definedName name="kt" localSheetId="16">#REF!</definedName>
    <definedName name="kt" localSheetId="7">#REF!</definedName>
    <definedName name="kt">#REF!</definedName>
    <definedName name="KTT" localSheetId="21">#REF!</definedName>
    <definedName name="KTT" localSheetId="1">#REF!</definedName>
    <definedName name="KTT" localSheetId="0">#REF!</definedName>
    <definedName name="KTT" localSheetId="5">#REF!</definedName>
    <definedName name="KTT" localSheetId="6">#REF!</definedName>
    <definedName name="KTT" localSheetId="16">#REF!</definedName>
    <definedName name="KTT" localSheetId="7">#REF!</definedName>
    <definedName name="KTT">#REF!</definedName>
    <definedName name="KTukang" localSheetId="21">#REF!</definedName>
    <definedName name="KTukang" localSheetId="1">#REF!</definedName>
    <definedName name="KTukang" localSheetId="0">#REF!</definedName>
    <definedName name="KTukang" localSheetId="5">#REF!</definedName>
    <definedName name="KTukang" localSheetId="6">#REF!</definedName>
    <definedName name="KTukang" localSheetId="16">#REF!</definedName>
    <definedName name="KTukang" localSheetId="7">#REF!</definedName>
    <definedName name="KTukang">#REF!</definedName>
    <definedName name="ku">'[13]Upah&amp;Bahan'!$C$41</definedName>
    <definedName name="kua" localSheetId="18">#REF!</definedName>
    <definedName name="kua" localSheetId="11">#REF!</definedName>
    <definedName name="kua" localSheetId="10">#REF!</definedName>
    <definedName name="kua" localSheetId="21">#REF!</definedName>
    <definedName name="kua" localSheetId="12">#REF!</definedName>
    <definedName name="kua" localSheetId="1">#REF!</definedName>
    <definedName name="kua" localSheetId="0">#REF!</definedName>
    <definedName name="kua" localSheetId="14">#REF!</definedName>
    <definedName name="kua" localSheetId="5">#REF!</definedName>
    <definedName name="kua" localSheetId="6">#REF!</definedName>
    <definedName name="kua" localSheetId="16">#REF!</definedName>
    <definedName name="kua" localSheetId="7">#REF!</definedName>
    <definedName name="kua">#REF!</definedName>
    <definedName name="KUANTITAS" localSheetId="18">#REF!</definedName>
    <definedName name="KUANTITAS" localSheetId="11">#REF!</definedName>
    <definedName name="KUANTITAS" localSheetId="10">#REF!</definedName>
    <definedName name="KUANTITAS" localSheetId="21">#REF!</definedName>
    <definedName name="KUANTITAS" localSheetId="12">#REF!</definedName>
    <definedName name="KUANTITAS" localSheetId="1">#REF!</definedName>
    <definedName name="KUANTITAS" localSheetId="0">#REF!</definedName>
    <definedName name="KUANTITAS" localSheetId="14">#REF!</definedName>
    <definedName name="KUANTITAS" localSheetId="5">#REF!</definedName>
    <definedName name="KUANTITAS" localSheetId="6">#REF!</definedName>
    <definedName name="KUANTITAS" localSheetId="16">#REF!</definedName>
    <definedName name="KUANTITAS" localSheetId="7">#REF!</definedName>
    <definedName name="KUANTITAS">#REF!</definedName>
    <definedName name="KUASD" localSheetId="21">#REF!</definedName>
    <definedName name="KUASD" localSheetId="1">#REF!</definedName>
    <definedName name="KUASD" localSheetId="0">#REF!</definedName>
    <definedName name="KUASD" localSheetId="5">#REF!</definedName>
    <definedName name="KUASD" localSheetId="6">#REF!</definedName>
    <definedName name="KUASD" localSheetId="16">#REF!</definedName>
    <definedName name="KUASD" localSheetId="7">#REF!</definedName>
    <definedName name="KUASD">#REF!</definedName>
    <definedName name="kudakuda" localSheetId="18">[25]Analisis!#REF!</definedName>
    <definedName name="kudakuda" localSheetId="10">[25]Analisis!#REF!</definedName>
    <definedName name="kudakuda" localSheetId="21">[25]Analisis!#REF!</definedName>
    <definedName name="kudakuda" localSheetId="1">[25]Analisis!#REF!</definedName>
    <definedName name="kudakuda" localSheetId="0">[25]Analisis!#REF!</definedName>
    <definedName name="kudakuda" localSheetId="5">[25]Analisis!#REF!</definedName>
    <definedName name="kudakuda" localSheetId="6">[25]Analisis!#REF!</definedName>
    <definedName name="kudakuda" localSheetId="16">[25]Analisis!#REF!</definedName>
    <definedName name="kudakuda" localSheetId="7">[25]Analisis!#REF!</definedName>
    <definedName name="kudakuda">[25]Analisis!#REF!</definedName>
    <definedName name="KUDDE" localSheetId="21">#REF!</definedName>
    <definedName name="KUDDE" localSheetId="1">#REF!</definedName>
    <definedName name="KUDDE" localSheetId="0">#REF!</definedName>
    <definedName name="KUDDE" localSheetId="5">#REF!</definedName>
    <definedName name="KUDDE" localSheetId="6">#REF!</definedName>
    <definedName name="KUDDE" localSheetId="16">#REF!</definedName>
    <definedName name="KUDDE" localSheetId="7">#REF!</definedName>
    <definedName name="KUDDE">#REF!</definedName>
    <definedName name="KUDDL" localSheetId="21">#REF!</definedName>
    <definedName name="KUDDL" localSheetId="1">#REF!</definedName>
    <definedName name="KUDDL" localSheetId="0">#REF!</definedName>
    <definedName name="KUDDL" localSheetId="5">#REF!</definedName>
    <definedName name="KUDDL" localSheetId="6">#REF!</definedName>
    <definedName name="KUDDL" localSheetId="16">#REF!</definedName>
    <definedName name="KUDDL" localSheetId="7">#REF!</definedName>
    <definedName name="KUDDL">#REF!</definedName>
    <definedName name="KUDSL" localSheetId="21">#REF!</definedName>
    <definedName name="KUDSL" localSheetId="1">#REF!</definedName>
    <definedName name="KUDSL" localSheetId="0">#REF!</definedName>
    <definedName name="KUDSL" localSheetId="5">#REF!</definedName>
    <definedName name="KUDSL" localSheetId="6">#REF!</definedName>
    <definedName name="KUDSL" localSheetId="16">#REF!</definedName>
    <definedName name="KUDSL" localSheetId="7">#REF!</definedName>
    <definedName name="KUDSL">#REF!</definedName>
    <definedName name="KUDSN" localSheetId="21">#REF!</definedName>
    <definedName name="KUDSN" localSheetId="1">#REF!</definedName>
    <definedName name="KUDSN" localSheetId="0">#REF!</definedName>
    <definedName name="KUDSN" localSheetId="5">#REF!</definedName>
    <definedName name="KUDSN" localSheetId="6">#REF!</definedName>
    <definedName name="KUDSN" localSheetId="16">#REF!</definedName>
    <definedName name="KUDSN" localSheetId="7">#REF!</definedName>
    <definedName name="KUDSN">#REF!</definedName>
    <definedName name="KUEDT" localSheetId="21">#REF!</definedName>
    <definedName name="KUEDT" localSheetId="1">#REF!</definedName>
    <definedName name="KUEDT" localSheetId="0">#REF!</definedName>
    <definedName name="KUEDT" localSheetId="5">#REF!</definedName>
    <definedName name="KUEDT" localSheetId="6">#REF!</definedName>
    <definedName name="KUEDT" localSheetId="16">#REF!</definedName>
    <definedName name="KUEDT" localSheetId="7">#REF!</definedName>
    <definedName name="KUEDT">#REF!</definedName>
    <definedName name="KUESN" localSheetId="21">#REF!</definedName>
    <definedName name="KUESN" localSheetId="1">#REF!</definedName>
    <definedName name="KUESN" localSheetId="0">#REF!</definedName>
    <definedName name="KUESN" localSheetId="5">#REF!</definedName>
    <definedName name="KUESN" localSheetId="6">#REF!</definedName>
    <definedName name="KUESN" localSheetId="16">#REF!</definedName>
    <definedName name="KUESN" localSheetId="7">#REF!</definedName>
    <definedName name="KUESN">#REF!</definedName>
    <definedName name="KUFD" localSheetId="21">#REF!</definedName>
    <definedName name="KUFD" localSheetId="1">#REF!</definedName>
    <definedName name="KUFD" localSheetId="0">#REF!</definedName>
    <definedName name="KUFD" localSheetId="5">#REF!</definedName>
    <definedName name="KUFD" localSheetId="6">#REF!</definedName>
    <definedName name="KUFD" localSheetId="16">#REF!</definedName>
    <definedName name="KUFD" localSheetId="7">#REF!</definedName>
    <definedName name="KUFD">#REF!</definedName>
    <definedName name="KUFE" localSheetId="21">#REF!</definedName>
    <definedName name="KUFE" localSheetId="1">#REF!</definedName>
    <definedName name="KUFE" localSheetId="0">#REF!</definedName>
    <definedName name="KUFE" localSheetId="5">#REF!</definedName>
    <definedName name="KUFE" localSheetId="6">#REF!</definedName>
    <definedName name="KUFE" localSheetId="16">#REF!</definedName>
    <definedName name="KUFE" localSheetId="7">#REF!</definedName>
    <definedName name="KUFE">#REF!</definedName>
    <definedName name="KUGLT" localSheetId="21">#REF!</definedName>
    <definedName name="KUGLT" localSheetId="1">#REF!</definedName>
    <definedName name="KUGLT" localSheetId="0">#REF!</definedName>
    <definedName name="KUGLT" localSheetId="5">#REF!</definedName>
    <definedName name="KUGLT" localSheetId="6">#REF!</definedName>
    <definedName name="KUGLT" localSheetId="16">#REF!</definedName>
    <definedName name="KUGLT" localSheetId="7">#REF!</definedName>
    <definedName name="KUGLT">#REF!</definedName>
    <definedName name="KUHD" localSheetId="21">#REF!</definedName>
    <definedName name="KUHD" localSheetId="1">#REF!</definedName>
    <definedName name="KUHD" localSheetId="0">#REF!</definedName>
    <definedName name="KUHD" localSheetId="5">#REF!</definedName>
    <definedName name="KUHD" localSheetId="6">#REF!</definedName>
    <definedName name="KUHD" localSheetId="16">#REF!</definedName>
    <definedName name="KUHD" localSheetId="7">#REF!</definedName>
    <definedName name="KUHD">#REF!</definedName>
    <definedName name="KUKS" localSheetId="21">#REF!</definedName>
    <definedName name="KUKS" localSheetId="1">#REF!</definedName>
    <definedName name="KUKS" localSheetId="0">#REF!</definedName>
    <definedName name="KUKS" localSheetId="5">#REF!</definedName>
    <definedName name="KUKS" localSheetId="6">#REF!</definedName>
    <definedName name="KUKS" localSheetId="16">#REF!</definedName>
    <definedName name="KUKS" localSheetId="7">#REF!</definedName>
    <definedName name="KUKS">#REF!</definedName>
    <definedName name="KULSE" localSheetId="21">#REF!</definedName>
    <definedName name="KULSE" localSheetId="1">#REF!</definedName>
    <definedName name="KULSE" localSheetId="0">#REF!</definedName>
    <definedName name="KULSE" localSheetId="5">#REF!</definedName>
    <definedName name="KULSE" localSheetId="6">#REF!</definedName>
    <definedName name="KULSE" localSheetId="16">#REF!</definedName>
    <definedName name="KULSE" localSheetId="7">#REF!</definedName>
    <definedName name="KULSE">#REF!</definedName>
    <definedName name="Kunci2slag" localSheetId="18">[24]cover!#REF!</definedName>
    <definedName name="Kunci2slag" localSheetId="10">[24]cover!#REF!</definedName>
    <definedName name="Kunci2slag" localSheetId="21">[24]cover!#REF!</definedName>
    <definedName name="Kunci2slag" localSheetId="1">[24]cover!#REF!</definedName>
    <definedName name="Kunci2slag" localSheetId="0">[24]cover!#REF!</definedName>
    <definedName name="Kunci2slag" localSheetId="5">[24]cover!#REF!</definedName>
    <definedName name="Kunci2slag" localSheetId="6">[24]cover!#REF!</definedName>
    <definedName name="Kunci2slag" localSheetId="16">[24]cover!#REF!</definedName>
    <definedName name="Kunci2slag" localSheetId="7">[24]cover!#REF!</definedName>
    <definedName name="Kunci2slag">[24]cover!#REF!</definedName>
    <definedName name="KUNSD" localSheetId="21">#REF!</definedName>
    <definedName name="KUNSD" localSheetId="1">#REF!</definedName>
    <definedName name="KUNSD" localSheetId="0">#REF!</definedName>
    <definedName name="KUNSD" localSheetId="5">#REF!</definedName>
    <definedName name="KUNSD" localSheetId="6">#REF!</definedName>
    <definedName name="KUNSD" localSheetId="16">#REF!</definedName>
    <definedName name="KUNSD" localSheetId="7">#REF!</definedName>
    <definedName name="KUNSD">#REF!</definedName>
    <definedName name="KUNST" localSheetId="21">#REF!</definedName>
    <definedName name="KUNST" localSheetId="1">#REF!</definedName>
    <definedName name="KUNST" localSheetId="0">#REF!</definedName>
    <definedName name="KUNST" localSheetId="5">#REF!</definedName>
    <definedName name="KUNST" localSheetId="6">#REF!</definedName>
    <definedName name="KUNST" localSheetId="16">#REF!</definedName>
    <definedName name="KUNST" localSheetId="7">#REF!</definedName>
    <definedName name="KUNST">#REF!</definedName>
    <definedName name="KUNTE" localSheetId="21">#REF!</definedName>
    <definedName name="KUNTE" localSheetId="1">#REF!</definedName>
    <definedName name="KUNTE" localSheetId="0">#REF!</definedName>
    <definedName name="KUNTE" localSheetId="5">#REF!</definedName>
    <definedName name="KUNTE" localSheetId="6">#REF!</definedName>
    <definedName name="KUNTE" localSheetId="16">#REF!</definedName>
    <definedName name="KUNTE" localSheetId="7">#REF!</definedName>
    <definedName name="KUNTE">#REF!</definedName>
    <definedName name="kurs">[23]ANGKUT!$H$42</definedName>
    <definedName name="kursi">'[23]Upah&amp;Bahan'!$C$90</definedName>
    <definedName name="kurva">[48]Rkp!$K$29</definedName>
    <definedName name="KUSDS" localSheetId="21">#REF!</definedName>
    <definedName name="KUSDS" localSheetId="1">#REF!</definedName>
    <definedName name="KUSDS" localSheetId="0">#REF!</definedName>
    <definedName name="KUSDS" localSheetId="5">#REF!</definedName>
    <definedName name="KUSDS" localSheetId="6">#REF!</definedName>
    <definedName name="KUSDS" localSheetId="16">#REF!</definedName>
    <definedName name="KUSDS" localSheetId="7">#REF!</definedName>
    <definedName name="KUSDS">#REF!</definedName>
    <definedName name="kusen" localSheetId="18">#REF!</definedName>
    <definedName name="kusen" localSheetId="11">#REF!</definedName>
    <definedName name="kusen" localSheetId="10">#REF!</definedName>
    <definedName name="kusen" localSheetId="21">#REF!</definedName>
    <definedName name="kusen" localSheetId="12">#REF!</definedName>
    <definedName name="kusen" localSheetId="1">#REF!</definedName>
    <definedName name="kusen" localSheetId="0">#REF!</definedName>
    <definedName name="kusen" localSheetId="14">#REF!</definedName>
    <definedName name="kusen" localSheetId="5">#REF!</definedName>
    <definedName name="kusen" localSheetId="6">#REF!</definedName>
    <definedName name="kusen" localSheetId="16">#REF!</definedName>
    <definedName name="kusen" localSheetId="7">#REF!</definedName>
    <definedName name="kusen">#REF!</definedName>
    <definedName name="kusen.alum" localSheetId="18">#REF!</definedName>
    <definedName name="kusen.alum" localSheetId="11">#REF!</definedName>
    <definedName name="kusen.alum" localSheetId="10">#REF!</definedName>
    <definedName name="kusen.alum" localSheetId="21">#REF!</definedName>
    <definedName name="kusen.alum" localSheetId="12">#REF!</definedName>
    <definedName name="kusen.alum" localSheetId="1">#REF!</definedName>
    <definedName name="kusen.alum" localSheetId="0">#REF!</definedName>
    <definedName name="kusen.alum" localSheetId="14">#REF!</definedName>
    <definedName name="kusen.alum" localSheetId="5">#REF!</definedName>
    <definedName name="kusen.alum" localSheetId="6">#REF!</definedName>
    <definedName name="kusen.alum" localSheetId="16">#REF!</definedName>
    <definedName name="kusen.alum" localSheetId="7">#REF!</definedName>
    <definedName name="kusen.alum">#REF!</definedName>
    <definedName name="KUSNIB" localSheetId="21">#REF!</definedName>
    <definedName name="KUSNIB" localSheetId="1">#REF!</definedName>
    <definedName name="KUSNIB" localSheetId="0">#REF!</definedName>
    <definedName name="KUSNIB" localSheetId="5">#REF!</definedName>
    <definedName name="KUSNIB" localSheetId="6">#REF!</definedName>
    <definedName name="KUSNIB" localSheetId="16">#REF!</definedName>
    <definedName name="KUSNIB" localSheetId="7">#REF!</definedName>
    <definedName name="KUSNIB">#REF!</definedName>
    <definedName name="KUSNIH" localSheetId="21">#REF!</definedName>
    <definedName name="KUSNIH" localSheetId="1">#REF!</definedName>
    <definedName name="KUSNIH" localSheetId="0">#REF!</definedName>
    <definedName name="KUSNIH" localSheetId="5">#REF!</definedName>
    <definedName name="KUSNIH" localSheetId="6">#REF!</definedName>
    <definedName name="KUSNIH" localSheetId="16">#REF!</definedName>
    <definedName name="KUSNIH" localSheetId="7">#REF!</definedName>
    <definedName name="KUSNIH">#REF!</definedName>
    <definedName name="KUSSN" localSheetId="21">#REF!</definedName>
    <definedName name="KUSSN" localSheetId="1">#REF!</definedName>
    <definedName name="KUSSN" localSheetId="0">#REF!</definedName>
    <definedName name="KUSSN" localSheetId="5">#REF!</definedName>
    <definedName name="KUSSN" localSheetId="6">#REF!</definedName>
    <definedName name="KUSSN" localSheetId="16">#REF!</definedName>
    <definedName name="KUSSN" localSheetId="7">#REF!</definedName>
    <definedName name="KUSSN">#REF!</definedName>
    <definedName name="KUTDL" localSheetId="21">#REF!</definedName>
    <definedName name="KUTDL" localSheetId="1">#REF!</definedName>
    <definedName name="KUTDL" localSheetId="0">#REF!</definedName>
    <definedName name="KUTDL" localSheetId="5">#REF!</definedName>
    <definedName name="KUTDL" localSheetId="6">#REF!</definedName>
    <definedName name="KUTDL" localSheetId="16">#REF!</definedName>
    <definedName name="KUTDL" localSheetId="7">#REF!</definedName>
    <definedName name="KUTDL">#REF!</definedName>
    <definedName name="KUTDN" localSheetId="21">#REF!</definedName>
    <definedName name="KUTDN" localSheetId="1">#REF!</definedName>
    <definedName name="KUTDN" localSheetId="0">#REF!</definedName>
    <definedName name="KUTDN" localSheetId="5">#REF!</definedName>
    <definedName name="KUTDN" localSheetId="6">#REF!</definedName>
    <definedName name="KUTDN" localSheetId="16">#REF!</definedName>
    <definedName name="KUTDN" localSheetId="7">#REF!</definedName>
    <definedName name="KUTDN">#REF!</definedName>
    <definedName name="KUTDS" localSheetId="21">#REF!</definedName>
    <definedName name="KUTDS" localSheetId="1">#REF!</definedName>
    <definedName name="KUTDS" localSheetId="0">#REF!</definedName>
    <definedName name="KUTDS" localSheetId="5">#REF!</definedName>
    <definedName name="KUTDS" localSheetId="6">#REF!</definedName>
    <definedName name="KUTDS" localSheetId="16">#REF!</definedName>
    <definedName name="KUTDS" localSheetId="7">#REF!</definedName>
    <definedName name="KUTDS">#REF!</definedName>
    <definedName name="KUTES" localSheetId="21">#REF!</definedName>
    <definedName name="KUTES" localSheetId="1">#REF!</definedName>
    <definedName name="KUTES" localSheetId="0">#REF!</definedName>
    <definedName name="KUTES" localSheetId="5">#REF!</definedName>
    <definedName name="KUTES" localSheetId="6">#REF!</definedName>
    <definedName name="KUTES" localSheetId="16">#REF!</definedName>
    <definedName name="KUTES" localSheetId="7">#REF!</definedName>
    <definedName name="KUTES">#REF!</definedName>
    <definedName name="KUTSL" localSheetId="21">#REF!</definedName>
    <definedName name="KUTSL" localSheetId="1">#REF!</definedName>
    <definedName name="KUTSL" localSheetId="0">#REF!</definedName>
    <definedName name="KUTSL" localSheetId="5">#REF!</definedName>
    <definedName name="KUTSL" localSheetId="6">#REF!</definedName>
    <definedName name="KUTSL" localSheetId="16">#REF!</definedName>
    <definedName name="KUTSL" localSheetId="7">#REF!</definedName>
    <definedName name="KUTSL">#REF!</definedName>
    <definedName name="KUTSN" localSheetId="21">#REF!</definedName>
    <definedName name="KUTSN" localSheetId="1">#REF!</definedName>
    <definedName name="KUTSN" localSheetId="0">#REF!</definedName>
    <definedName name="KUTSN" localSheetId="5">#REF!</definedName>
    <definedName name="KUTSN" localSheetId="6">#REF!</definedName>
    <definedName name="KUTSN" localSheetId="16">#REF!</definedName>
    <definedName name="KUTSN" localSheetId="7">#REF!</definedName>
    <definedName name="KUTSN">#REF!</definedName>
    <definedName name="l" localSheetId="18">[9]BPS!#REF!</definedName>
    <definedName name="l" localSheetId="10">[9]BPS!#REF!</definedName>
    <definedName name="l" localSheetId="21">[9]BPS!#REF!</definedName>
    <definedName name="l" localSheetId="1">[9]BPS!#REF!</definedName>
    <definedName name="l" localSheetId="0">[9]BPS!#REF!</definedName>
    <definedName name="l" localSheetId="5">[9]BPS!#REF!</definedName>
    <definedName name="l" localSheetId="6">[9]BPS!#REF!</definedName>
    <definedName name="l" localSheetId="16">[9]BPS!#REF!</definedName>
    <definedName name="l" localSheetId="7">[9]BPS!#REF!</definedName>
    <definedName name="l">[9]BPS!#REF!</definedName>
    <definedName name="L.061" localSheetId="18">#REF!</definedName>
    <definedName name="L.061" localSheetId="11">#REF!</definedName>
    <definedName name="L.061" localSheetId="10">#REF!</definedName>
    <definedName name="L.061" localSheetId="21">#REF!</definedName>
    <definedName name="L.061" localSheetId="12">#REF!</definedName>
    <definedName name="L.061" localSheetId="1">#REF!</definedName>
    <definedName name="L.061" localSheetId="0">#REF!</definedName>
    <definedName name="L.061" localSheetId="14">#REF!</definedName>
    <definedName name="L.061" localSheetId="5">#REF!</definedName>
    <definedName name="L.061" localSheetId="6">#REF!</definedName>
    <definedName name="L.061" localSheetId="16">#REF!</definedName>
    <definedName name="L.061" localSheetId="7">#REF!</definedName>
    <definedName name="L.061">#REF!</definedName>
    <definedName name="l.068" localSheetId="18">#REF!</definedName>
    <definedName name="l.068" localSheetId="11">#REF!</definedName>
    <definedName name="l.068" localSheetId="10">#REF!</definedName>
    <definedName name="l.068" localSheetId="21">#REF!</definedName>
    <definedName name="l.068" localSheetId="12">#REF!</definedName>
    <definedName name="l.068" localSheetId="1">#REF!</definedName>
    <definedName name="l.068" localSheetId="0">#REF!</definedName>
    <definedName name="l.068" localSheetId="14">#REF!</definedName>
    <definedName name="l.068" localSheetId="5">#REF!</definedName>
    <definedName name="l.068" localSheetId="6">#REF!</definedName>
    <definedName name="l.068" localSheetId="16">#REF!</definedName>
    <definedName name="l.068" localSheetId="7">#REF!</definedName>
    <definedName name="l.068">#REF!</definedName>
    <definedName name="L.071" localSheetId="18">#REF!</definedName>
    <definedName name="L.071" localSheetId="11">#REF!</definedName>
    <definedName name="L.071" localSheetId="10">#REF!</definedName>
    <definedName name="L.071" localSheetId="21">#REF!</definedName>
    <definedName name="L.071" localSheetId="12">#REF!</definedName>
    <definedName name="L.071" localSheetId="1">#REF!</definedName>
    <definedName name="L.071" localSheetId="0">#REF!</definedName>
    <definedName name="L.071" localSheetId="14">#REF!</definedName>
    <definedName name="L.071" localSheetId="5">#REF!</definedName>
    <definedName name="L.071" localSheetId="6">#REF!</definedName>
    <definedName name="L.071" localSheetId="16">#REF!</definedName>
    <definedName name="L.071" localSheetId="7">#REF!</definedName>
    <definedName name="L.071">#REF!</definedName>
    <definedName name="L.073" localSheetId="18">#REF!</definedName>
    <definedName name="L.073" localSheetId="11">#REF!</definedName>
    <definedName name="L.073" localSheetId="10">#REF!</definedName>
    <definedName name="L.073" localSheetId="21">#REF!</definedName>
    <definedName name="L.073" localSheetId="12">#REF!</definedName>
    <definedName name="L.073" localSheetId="1">#REF!</definedName>
    <definedName name="L.073" localSheetId="0">#REF!</definedName>
    <definedName name="L.073" localSheetId="14">#REF!</definedName>
    <definedName name="L.073" localSheetId="5">#REF!</definedName>
    <definedName name="L.073" localSheetId="6">#REF!</definedName>
    <definedName name="L.073" localSheetId="16">#REF!</definedName>
    <definedName name="L.073" localSheetId="7">#REF!</definedName>
    <definedName name="L.073">#REF!</definedName>
    <definedName name="l.075" localSheetId="18">#REF!</definedName>
    <definedName name="l.075" localSheetId="11">#REF!</definedName>
    <definedName name="l.075" localSheetId="10">#REF!</definedName>
    <definedName name="l.075" localSheetId="21">#REF!</definedName>
    <definedName name="l.075" localSheetId="12">#REF!</definedName>
    <definedName name="l.075" localSheetId="1">#REF!</definedName>
    <definedName name="l.075" localSheetId="0">#REF!</definedName>
    <definedName name="l.075" localSheetId="14">#REF!</definedName>
    <definedName name="l.075" localSheetId="5">#REF!</definedName>
    <definedName name="l.075" localSheetId="6">#REF!</definedName>
    <definedName name="l.075" localSheetId="16">#REF!</definedName>
    <definedName name="l.075" localSheetId="7">#REF!</definedName>
    <definedName name="l.075">#REF!</definedName>
    <definedName name="L.079" localSheetId="18">#REF!</definedName>
    <definedName name="L.079" localSheetId="11">#REF!</definedName>
    <definedName name="L.079" localSheetId="10">#REF!</definedName>
    <definedName name="L.079" localSheetId="21">#REF!</definedName>
    <definedName name="L.079" localSheetId="12">#REF!</definedName>
    <definedName name="L.079" localSheetId="1">#REF!</definedName>
    <definedName name="L.079" localSheetId="0">#REF!</definedName>
    <definedName name="L.079" localSheetId="14">#REF!</definedName>
    <definedName name="L.079" localSheetId="5">#REF!</definedName>
    <definedName name="L.079" localSheetId="6">#REF!</definedName>
    <definedName name="L.079" localSheetId="16">#REF!</definedName>
    <definedName name="L.079" localSheetId="7">#REF!</definedName>
    <definedName name="L.079">#REF!</definedName>
    <definedName name="L.081" localSheetId="18">#REF!</definedName>
    <definedName name="L.081" localSheetId="11">#REF!</definedName>
    <definedName name="L.081" localSheetId="10">#REF!</definedName>
    <definedName name="L.081" localSheetId="21">#REF!</definedName>
    <definedName name="L.081" localSheetId="12">#REF!</definedName>
    <definedName name="L.081" localSheetId="1">#REF!</definedName>
    <definedName name="L.081" localSheetId="0">#REF!</definedName>
    <definedName name="L.081" localSheetId="14">#REF!</definedName>
    <definedName name="L.081" localSheetId="5">#REF!</definedName>
    <definedName name="L.081" localSheetId="6">#REF!</definedName>
    <definedName name="L.081" localSheetId="16">#REF!</definedName>
    <definedName name="L.081" localSheetId="7">#REF!</definedName>
    <definedName name="L.081">#REF!</definedName>
    <definedName name="L.082" localSheetId="18">#REF!</definedName>
    <definedName name="L.082" localSheetId="11">#REF!</definedName>
    <definedName name="L.082" localSheetId="10">#REF!</definedName>
    <definedName name="L.082" localSheetId="21">#REF!</definedName>
    <definedName name="L.082" localSheetId="12">#REF!</definedName>
    <definedName name="L.082" localSheetId="1">#REF!</definedName>
    <definedName name="L.082" localSheetId="0">#REF!</definedName>
    <definedName name="L.082" localSheetId="14">#REF!</definedName>
    <definedName name="L.082" localSheetId="5">#REF!</definedName>
    <definedName name="L.082" localSheetId="6">#REF!</definedName>
    <definedName name="L.082" localSheetId="16">#REF!</definedName>
    <definedName name="L.082" localSheetId="7">#REF!</definedName>
    <definedName name="L.082">#REF!</definedName>
    <definedName name="L.083" localSheetId="18">#REF!</definedName>
    <definedName name="L.083" localSheetId="11">#REF!</definedName>
    <definedName name="L.083" localSheetId="10">#REF!</definedName>
    <definedName name="L.083" localSheetId="21">#REF!</definedName>
    <definedName name="L.083" localSheetId="12">#REF!</definedName>
    <definedName name="L.083" localSheetId="1">#REF!</definedName>
    <definedName name="L.083" localSheetId="0">#REF!</definedName>
    <definedName name="L.083" localSheetId="14">#REF!</definedName>
    <definedName name="L.083" localSheetId="5">#REF!</definedName>
    <definedName name="L.083" localSheetId="6">#REF!</definedName>
    <definedName name="L.083" localSheetId="16">#REF!</definedName>
    <definedName name="L.083" localSheetId="7">#REF!</definedName>
    <definedName name="L.083">#REF!</definedName>
    <definedName name="l.085" localSheetId="18">#REF!</definedName>
    <definedName name="l.085" localSheetId="11">#REF!</definedName>
    <definedName name="l.085" localSheetId="10">#REF!</definedName>
    <definedName name="l.085" localSheetId="21">#REF!</definedName>
    <definedName name="l.085" localSheetId="12">#REF!</definedName>
    <definedName name="l.085" localSheetId="1">#REF!</definedName>
    <definedName name="l.085" localSheetId="0">#REF!</definedName>
    <definedName name="l.085" localSheetId="14">#REF!</definedName>
    <definedName name="l.085" localSheetId="5">#REF!</definedName>
    <definedName name="l.085" localSheetId="6">#REF!</definedName>
    <definedName name="l.085" localSheetId="16">#REF!</definedName>
    <definedName name="l.085" localSheetId="7">#REF!</definedName>
    <definedName name="l.085">#REF!</definedName>
    <definedName name="L.091" localSheetId="18">#REF!</definedName>
    <definedName name="L.091" localSheetId="11">#REF!</definedName>
    <definedName name="L.091" localSheetId="10">#REF!</definedName>
    <definedName name="L.091" localSheetId="21">#REF!</definedName>
    <definedName name="L.091" localSheetId="12">#REF!</definedName>
    <definedName name="L.091" localSheetId="1">#REF!</definedName>
    <definedName name="L.091" localSheetId="0">#REF!</definedName>
    <definedName name="L.091" localSheetId="14">#REF!</definedName>
    <definedName name="L.091" localSheetId="5">#REF!</definedName>
    <definedName name="L.091" localSheetId="6">#REF!</definedName>
    <definedName name="L.091" localSheetId="16">#REF!</definedName>
    <definedName name="L.091" localSheetId="7">#REF!</definedName>
    <definedName name="L.091">#REF!</definedName>
    <definedName name="l.095" localSheetId="18">#REF!</definedName>
    <definedName name="l.095" localSheetId="11">#REF!</definedName>
    <definedName name="l.095" localSheetId="10">#REF!</definedName>
    <definedName name="l.095" localSheetId="21">#REF!</definedName>
    <definedName name="l.095" localSheetId="12">#REF!</definedName>
    <definedName name="l.095" localSheetId="1">#REF!</definedName>
    <definedName name="l.095" localSheetId="0">#REF!</definedName>
    <definedName name="l.095" localSheetId="14">#REF!</definedName>
    <definedName name="l.095" localSheetId="5">#REF!</definedName>
    <definedName name="l.095" localSheetId="6">#REF!</definedName>
    <definedName name="l.095" localSheetId="16">#REF!</definedName>
    <definedName name="l.095" localSheetId="7">#REF!</definedName>
    <definedName name="l.095">#REF!</definedName>
    <definedName name="L.099" localSheetId="18">#REF!</definedName>
    <definedName name="L.099" localSheetId="11">#REF!</definedName>
    <definedName name="L.099" localSheetId="10">#REF!</definedName>
    <definedName name="L.099" localSheetId="21">#REF!</definedName>
    <definedName name="L.099" localSheetId="12">#REF!</definedName>
    <definedName name="L.099" localSheetId="1">#REF!</definedName>
    <definedName name="L.099" localSheetId="0">#REF!</definedName>
    <definedName name="L.099" localSheetId="14">#REF!</definedName>
    <definedName name="L.099" localSheetId="5">#REF!</definedName>
    <definedName name="L.099" localSheetId="6">#REF!</definedName>
    <definedName name="L.099" localSheetId="16">#REF!</definedName>
    <definedName name="L.099" localSheetId="7">#REF!</definedName>
    <definedName name="L.099">#REF!</definedName>
    <definedName name="L.101" localSheetId="18">#REF!</definedName>
    <definedName name="L.101" localSheetId="11">#REF!</definedName>
    <definedName name="L.101" localSheetId="10">#REF!</definedName>
    <definedName name="L.101" localSheetId="21">#REF!</definedName>
    <definedName name="L.101" localSheetId="12">#REF!</definedName>
    <definedName name="L.101" localSheetId="1">#REF!</definedName>
    <definedName name="L.101" localSheetId="0">#REF!</definedName>
    <definedName name="L.101" localSheetId="14">#REF!</definedName>
    <definedName name="L.101" localSheetId="5">#REF!</definedName>
    <definedName name="L.101" localSheetId="6">#REF!</definedName>
    <definedName name="L.101" localSheetId="16">#REF!</definedName>
    <definedName name="L.101" localSheetId="7">#REF!</definedName>
    <definedName name="L.101">#REF!</definedName>
    <definedName name="L.103" localSheetId="18">#REF!</definedName>
    <definedName name="L.103" localSheetId="11">#REF!</definedName>
    <definedName name="L.103" localSheetId="10">#REF!</definedName>
    <definedName name="L.103" localSheetId="21">#REF!</definedName>
    <definedName name="L.103" localSheetId="12">#REF!</definedName>
    <definedName name="L.103" localSheetId="1">#REF!</definedName>
    <definedName name="L.103" localSheetId="0">#REF!</definedName>
    <definedName name="L.103" localSheetId="14">#REF!</definedName>
    <definedName name="L.103" localSheetId="5">#REF!</definedName>
    <definedName name="L.103" localSheetId="6">#REF!</definedName>
    <definedName name="L.103" localSheetId="16">#REF!</definedName>
    <definedName name="L.103" localSheetId="7">#REF!</definedName>
    <definedName name="L.103">#REF!</definedName>
    <definedName name="l.105" localSheetId="18">#REF!</definedName>
    <definedName name="l.105" localSheetId="11">#REF!</definedName>
    <definedName name="l.105" localSheetId="10">#REF!</definedName>
    <definedName name="l.105" localSheetId="21">#REF!</definedName>
    <definedName name="l.105" localSheetId="12">#REF!</definedName>
    <definedName name="l.105" localSheetId="1">#REF!</definedName>
    <definedName name="l.105" localSheetId="0">#REF!</definedName>
    <definedName name="l.105" localSheetId="14">#REF!</definedName>
    <definedName name="l.105" localSheetId="5">#REF!</definedName>
    <definedName name="l.105" localSheetId="6">#REF!</definedName>
    <definedName name="l.105" localSheetId="16">#REF!</definedName>
    <definedName name="l.105" localSheetId="7">#REF!</definedName>
    <definedName name="l.105">#REF!</definedName>
    <definedName name="L.106" localSheetId="18">#REF!</definedName>
    <definedName name="L.106" localSheetId="11">#REF!</definedName>
    <definedName name="L.106" localSheetId="10">#REF!</definedName>
    <definedName name="L.106" localSheetId="21">#REF!</definedName>
    <definedName name="L.106" localSheetId="12">#REF!</definedName>
    <definedName name="L.106" localSheetId="1">#REF!</definedName>
    <definedName name="L.106" localSheetId="0">#REF!</definedName>
    <definedName name="L.106" localSheetId="14">#REF!</definedName>
    <definedName name="L.106" localSheetId="5">#REF!</definedName>
    <definedName name="L.106" localSheetId="6">#REF!</definedName>
    <definedName name="L.106" localSheetId="16">#REF!</definedName>
    <definedName name="L.106" localSheetId="7">#REF!</definedName>
    <definedName name="L.106">#REF!</definedName>
    <definedName name="l.107" localSheetId="18">#REF!</definedName>
    <definedName name="l.107" localSheetId="11">#REF!</definedName>
    <definedName name="l.107" localSheetId="10">#REF!</definedName>
    <definedName name="l.107" localSheetId="21">#REF!</definedName>
    <definedName name="l.107" localSheetId="12">#REF!</definedName>
    <definedName name="l.107" localSheetId="1">#REF!</definedName>
    <definedName name="l.107" localSheetId="0">#REF!</definedName>
    <definedName name="l.107" localSheetId="14">#REF!</definedName>
    <definedName name="l.107" localSheetId="5">#REF!</definedName>
    <definedName name="l.107" localSheetId="6">#REF!</definedName>
    <definedName name="l.107" localSheetId="16">#REF!</definedName>
    <definedName name="l.107" localSheetId="7">#REF!</definedName>
    <definedName name="l.107">#REF!</definedName>
    <definedName name="L.15A" localSheetId="18">#REF!</definedName>
    <definedName name="L.15A" localSheetId="11">#REF!</definedName>
    <definedName name="L.15A" localSheetId="10">#REF!</definedName>
    <definedName name="L.15A" localSheetId="21">#REF!</definedName>
    <definedName name="L.15A" localSheetId="12">#REF!</definedName>
    <definedName name="L.15A" localSheetId="1">#REF!</definedName>
    <definedName name="L.15A" localSheetId="0">#REF!</definedName>
    <definedName name="L.15A" localSheetId="14">#REF!</definedName>
    <definedName name="L.15A" localSheetId="5">#REF!</definedName>
    <definedName name="L.15A" localSheetId="6">#REF!</definedName>
    <definedName name="L.15A" localSheetId="16">#REF!</definedName>
    <definedName name="L.15A" localSheetId="7">#REF!</definedName>
    <definedName name="L.15A">#REF!</definedName>
    <definedName name="lagi">'[13]Upah&amp;Bahan'!$C$27</definedName>
    <definedName name="lain1" localSheetId="21">'[16]R-MP'!#REF!</definedName>
    <definedName name="lain1" localSheetId="1">'[16]R-MP'!#REF!</definedName>
    <definedName name="lain1" localSheetId="0">'[16]R-MP'!#REF!</definedName>
    <definedName name="lain1" localSheetId="5">'[16]R-MP'!#REF!</definedName>
    <definedName name="lain1" localSheetId="6">'[16]R-MP'!#REF!</definedName>
    <definedName name="lain1" localSheetId="16">'[16]R-MP'!#REF!</definedName>
    <definedName name="lain1" localSheetId="7">'[16]R-MP'!#REF!</definedName>
    <definedName name="lain1">'[16]R-MP'!#REF!</definedName>
    <definedName name="lain2" localSheetId="21">'[15]R-MP2-98'!#REF!</definedName>
    <definedName name="lain2" localSheetId="1">'[15]R-MP2-98'!#REF!</definedName>
    <definedName name="lain2" localSheetId="0">'[15]R-MP2-98'!#REF!</definedName>
    <definedName name="lain2" localSheetId="5">'[15]R-MP2-98'!#REF!</definedName>
    <definedName name="lain2" localSheetId="6">'[15]R-MP2-98'!#REF!</definedName>
    <definedName name="lain2" localSheetId="16">'[15]R-MP2-98'!#REF!</definedName>
    <definedName name="lain2" localSheetId="7">'[15]R-MP2-98'!#REF!</definedName>
    <definedName name="lain2">'[15]R-MP2-98'!#REF!</definedName>
    <definedName name="lain3" localSheetId="21">'[15]R-MP2-98'!#REF!</definedName>
    <definedName name="lain3" localSheetId="1">'[15]R-MP2-98'!#REF!</definedName>
    <definedName name="lain3" localSheetId="0">'[15]R-MP2-98'!#REF!</definedName>
    <definedName name="lain3" localSheetId="5">'[15]R-MP2-98'!#REF!</definedName>
    <definedName name="lain3" localSheetId="6">'[15]R-MP2-98'!#REF!</definedName>
    <definedName name="lain3" localSheetId="16">'[15]R-MP2-98'!#REF!</definedName>
    <definedName name="lain3" localSheetId="7">'[15]R-MP2-98'!#REF!</definedName>
    <definedName name="lain3">'[15]R-MP2-98'!#REF!</definedName>
    <definedName name="lain5" localSheetId="21">'[15]R-MP2-98'!#REF!</definedName>
    <definedName name="lain5" localSheetId="1">'[15]R-MP2-98'!#REF!</definedName>
    <definedName name="lain5" localSheetId="0">'[15]R-MP2-98'!#REF!</definedName>
    <definedName name="lain5" localSheetId="5">'[15]R-MP2-98'!#REF!</definedName>
    <definedName name="lain5" localSheetId="6">'[15]R-MP2-98'!#REF!</definedName>
    <definedName name="lain5" localSheetId="16">'[15]R-MP2-98'!#REF!</definedName>
    <definedName name="lain5" localSheetId="7">'[15]R-MP2-98'!#REF!</definedName>
    <definedName name="lain5">'[15]R-MP2-98'!#REF!</definedName>
    <definedName name="lain6" localSheetId="21">'[16]R-MP'!#REF!</definedName>
    <definedName name="lain6" localSheetId="1">'[16]R-MP'!#REF!</definedName>
    <definedName name="lain6" localSheetId="0">'[16]R-MP'!#REF!</definedName>
    <definedName name="lain6" localSheetId="5">'[16]R-MP'!#REF!</definedName>
    <definedName name="lain6" localSheetId="6">'[16]R-MP'!#REF!</definedName>
    <definedName name="lain6" localSheetId="16">'[16]R-MP'!#REF!</definedName>
    <definedName name="lain6" localSheetId="7">'[16]R-MP'!#REF!</definedName>
    <definedName name="lain6">'[16]R-MP'!#REF!</definedName>
    <definedName name="LAINLAIN" localSheetId="18">'[12]Kuantitas &amp; Harga'!#REF!</definedName>
    <definedName name="LAINLAIN" localSheetId="11">'[12]Kuantitas &amp; Harga'!#REF!</definedName>
    <definedName name="LAINLAIN" localSheetId="10">'[12]Kuantitas &amp; Harga'!#REF!</definedName>
    <definedName name="LAINLAIN" localSheetId="21">'[12]Kuantitas &amp; Harga'!#REF!</definedName>
    <definedName name="LAINLAIN" localSheetId="12">'[12]Kuantitas &amp; Harga'!#REF!</definedName>
    <definedName name="LAINLAIN" localSheetId="1">'[12]Kuantitas &amp; Harga'!#REF!</definedName>
    <definedName name="LAINLAIN" localSheetId="0">'[12]Kuantitas &amp; Harga'!#REF!</definedName>
    <definedName name="LAINLAIN" localSheetId="14">'[12]Kuantitas &amp; Harga'!#REF!</definedName>
    <definedName name="LAINLAIN" localSheetId="5">'[12]Kuantitas &amp; Harga'!#REF!</definedName>
    <definedName name="LAINLAIN" localSheetId="6">'[12]Kuantitas &amp; Harga'!#REF!</definedName>
    <definedName name="LAINLAIN" localSheetId="16">'[12]Kuantitas &amp; Harga'!#REF!</definedName>
    <definedName name="LAINLAIN" localSheetId="7">'[12]Kuantitas &amp; Harga'!#REF!</definedName>
    <definedName name="LAINLAIN">'[12]Kuantitas &amp; Harga'!#REF!</definedName>
    <definedName name="laki" localSheetId="18">#REF!</definedName>
    <definedName name="laki" localSheetId="11">#REF!</definedName>
    <definedName name="laki" localSheetId="10">#REF!</definedName>
    <definedName name="laki" localSheetId="21">#REF!</definedName>
    <definedName name="laki" localSheetId="12">#REF!</definedName>
    <definedName name="laki" localSheetId="1">#REF!</definedName>
    <definedName name="laki" localSheetId="0">#REF!</definedName>
    <definedName name="laki" localSheetId="14">#REF!</definedName>
    <definedName name="laki" localSheetId="5">#REF!</definedName>
    <definedName name="laki" localSheetId="6">#REF!</definedName>
    <definedName name="laki" localSheetId="16">#REF!</definedName>
    <definedName name="laki" localSheetId="7">#REF!</definedName>
    <definedName name="laki">#REF!</definedName>
    <definedName name="laku">'[23]Upah&amp;Bahan'!$C$18</definedName>
    <definedName name="lama">'[13]Upah&amp;Bahan'!$C$47</definedName>
    <definedName name="lantaikeramik" localSheetId="18">[25]Analisis!#REF!</definedName>
    <definedName name="lantaikeramik" localSheetId="10">[25]Analisis!#REF!</definedName>
    <definedName name="lantaikeramik" localSheetId="21">[25]Analisis!#REF!</definedName>
    <definedName name="lantaikeramik" localSheetId="1">[25]Analisis!#REF!</definedName>
    <definedName name="lantaikeramik" localSheetId="0">[25]Analisis!#REF!</definedName>
    <definedName name="lantaikeramik" localSheetId="5">[25]Analisis!#REF!</definedName>
    <definedName name="lantaikeramik" localSheetId="6">[25]Analisis!#REF!</definedName>
    <definedName name="lantaikeramik" localSheetId="16">[25]Analisis!#REF!</definedName>
    <definedName name="lantaikeramik" localSheetId="7">[25]Analisis!#REF!</definedName>
    <definedName name="lantaikeramik">[25]Analisis!#REF!</definedName>
    <definedName name="laptu" localSheetId="21">[10]HSP!#REF!</definedName>
    <definedName name="laptu" localSheetId="1">[10]HSP!#REF!</definedName>
    <definedName name="laptu" localSheetId="0">[10]HSP!#REF!</definedName>
    <definedName name="laptu" localSheetId="5">[10]HSP!#REF!</definedName>
    <definedName name="laptu" localSheetId="6">[10]HSP!#REF!</definedName>
    <definedName name="laptu" localSheetId="16">[10]HSP!#REF!</definedName>
    <definedName name="laptu" localSheetId="7">[10]HSP!#REF!</definedName>
    <definedName name="laptu">[10]HSP!#REF!</definedName>
    <definedName name="Lasbes" localSheetId="21">'[26]Daftar Harga'!#REF!</definedName>
    <definedName name="Lasbes" localSheetId="1">'[26]Daftar Harga'!#REF!</definedName>
    <definedName name="Lasbes" localSheetId="0">'[26]Daftar Harga'!#REF!</definedName>
    <definedName name="Lasbes" localSheetId="5">'[26]Daftar Harga'!#REF!</definedName>
    <definedName name="Lasbes" localSheetId="6">'[26]Daftar Harga'!#REF!</definedName>
    <definedName name="Lasbes" localSheetId="16">'[26]Daftar Harga'!#REF!</definedName>
    <definedName name="Lasbes" localSheetId="7">'[26]Daftar Harga'!#REF!</definedName>
    <definedName name="Lasbes">'[26]Daftar Harga'!#REF!</definedName>
    <definedName name="latai" localSheetId="18">[25]Analisis!#REF!</definedName>
    <definedName name="latai" localSheetId="10">[25]Analisis!#REF!</definedName>
    <definedName name="latai" localSheetId="21">[25]Analisis!#REF!</definedName>
    <definedName name="latai" localSheetId="1">[25]Analisis!#REF!</definedName>
    <definedName name="latai" localSheetId="0">[25]Analisis!#REF!</definedName>
    <definedName name="latai" localSheetId="5">[25]Analisis!#REF!</definedName>
    <definedName name="latai" localSheetId="6">[25]Analisis!#REF!</definedName>
    <definedName name="latai" localSheetId="16">[25]Analisis!#REF!</definedName>
    <definedName name="latai" localSheetId="7">[25]Analisis!#REF!</definedName>
    <definedName name="latai">[25]Analisis!#REF!</definedName>
    <definedName name="latasir">'[38]DRUP (ASLI)'!$I$363</definedName>
    <definedName name="LDD" localSheetId="21">#REF!</definedName>
    <definedName name="LDD" localSheetId="1">#REF!</definedName>
    <definedName name="LDD" localSheetId="0">#REF!</definedName>
    <definedName name="LDD" localSheetId="5">#REF!</definedName>
    <definedName name="LDD" localSheetId="6">#REF!</definedName>
    <definedName name="LDD" localSheetId="16">#REF!</definedName>
    <definedName name="LDD" localSheetId="7">#REF!</definedName>
    <definedName name="LDD">#REF!</definedName>
    <definedName name="len" localSheetId="18">[9]BPS!#REF!</definedName>
    <definedName name="len" localSheetId="10">[9]BPS!#REF!</definedName>
    <definedName name="len" localSheetId="21">[9]BPS!#REF!</definedName>
    <definedName name="len" localSheetId="1">[9]BPS!#REF!</definedName>
    <definedName name="len" localSheetId="0">[9]BPS!#REF!</definedName>
    <definedName name="len" localSheetId="5">[9]BPS!#REF!</definedName>
    <definedName name="len" localSheetId="6">[9]BPS!#REF!</definedName>
    <definedName name="len" localSheetId="16">[9]BPS!#REF!</definedName>
    <definedName name="len" localSheetId="7">[9]BPS!#REF!</definedName>
    <definedName name="len">[9]BPS!#REF!</definedName>
    <definedName name="lisplank" localSheetId="18">[25]Analisis!#REF!</definedName>
    <definedName name="lisplank" localSheetId="10">[25]Analisis!#REF!</definedName>
    <definedName name="lisplank" localSheetId="21">[25]Analisis!#REF!</definedName>
    <definedName name="lisplank" localSheetId="1">[25]Analisis!#REF!</definedName>
    <definedName name="lisplank" localSheetId="0">[25]Analisis!#REF!</definedName>
    <definedName name="lisplank" localSheetId="5">[25]Analisis!#REF!</definedName>
    <definedName name="lisplank" localSheetId="6">[25]Analisis!#REF!</definedName>
    <definedName name="lisplank" localSheetId="16">[25]Analisis!#REF!</definedName>
    <definedName name="lisplank" localSheetId="7">[25]Analisis!#REF!</definedName>
    <definedName name="lisplank">[25]Analisis!#REF!</definedName>
    <definedName name="LK" localSheetId="18">#REF!</definedName>
    <definedName name="LK" localSheetId="21">#REF!</definedName>
    <definedName name="LK" localSheetId="1">#REF!</definedName>
    <definedName name="LK" localSheetId="0">#REF!</definedName>
    <definedName name="LK" localSheetId="5">#REF!</definedName>
    <definedName name="LK" localSheetId="6">#REF!</definedName>
    <definedName name="LK" localSheetId="16">#REF!</definedName>
    <definedName name="LK" localSheetId="7">#REF!</definedName>
    <definedName name="LK">#REF!</definedName>
    <definedName name="ll" localSheetId="18">#REF!</definedName>
    <definedName name="ll" localSheetId="10">#REF!</definedName>
    <definedName name="ll" localSheetId="21">#REF!</definedName>
    <definedName name="ll" localSheetId="1">#REF!</definedName>
    <definedName name="ll" localSheetId="0">#REF!</definedName>
    <definedName name="ll" localSheetId="5">#REF!</definedName>
    <definedName name="ll" localSheetId="6">#REF!</definedName>
    <definedName name="ll" localSheetId="16">#REF!</definedName>
    <definedName name="ll" localSheetId="7">#REF!</definedName>
    <definedName name="ll">#REF!</definedName>
    <definedName name="LMASD" localSheetId="21">#REF!</definedName>
    <definedName name="LMASD" localSheetId="1">#REF!</definedName>
    <definedName name="LMASD" localSheetId="0">#REF!</definedName>
    <definedName name="LMASD" localSheetId="5">#REF!</definedName>
    <definedName name="LMASD" localSheetId="6">#REF!</definedName>
    <definedName name="LMASD" localSheetId="16">#REF!</definedName>
    <definedName name="LMASD" localSheetId="7">#REF!</definedName>
    <definedName name="LMASD">#REF!</definedName>
    <definedName name="LMDDE" localSheetId="21">#REF!</definedName>
    <definedName name="LMDDE" localSheetId="1">#REF!</definedName>
    <definedName name="LMDDE" localSheetId="0">#REF!</definedName>
    <definedName name="LMDDE" localSheetId="5">#REF!</definedName>
    <definedName name="LMDDE" localSheetId="6">#REF!</definedName>
    <definedName name="LMDDE" localSheetId="16">#REF!</definedName>
    <definedName name="LMDDE" localSheetId="7">#REF!</definedName>
    <definedName name="LMDDE">#REF!</definedName>
    <definedName name="LMDDL" localSheetId="21">#REF!</definedName>
    <definedName name="LMDDL" localSheetId="1">#REF!</definedName>
    <definedName name="LMDDL" localSheetId="0">#REF!</definedName>
    <definedName name="LMDDL" localSheetId="5">#REF!</definedName>
    <definedName name="LMDDL" localSheetId="6">#REF!</definedName>
    <definedName name="LMDDL" localSheetId="16">#REF!</definedName>
    <definedName name="LMDDL" localSheetId="7">#REF!</definedName>
    <definedName name="LMDDL">#REF!</definedName>
    <definedName name="LMDSL" localSheetId="21">#REF!</definedName>
    <definedName name="LMDSL" localSheetId="1">#REF!</definedName>
    <definedName name="LMDSL" localSheetId="0">#REF!</definedName>
    <definedName name="LMDSL" localSheetId="5">#REF!</definedName>
    <definedName name="LMDSL" localSheetId="6">#REF!</definedName>
    <definedName name="LMDSL" localSheetId="16">#REF!</definedName>
    <definedName name="LMDSL" localSheetId="7">#REF!</definedName>
    <definedName name="LMDSL">#REF!</definedName>
    <definedName name="LMDSN" localSheetId="21">#REF!</definedName>
    <definedName name="LMDSN" localSheetId="1">#REF!</definedName>
    <definedName name="LMDSN" localSheetId="0">#REF!</definedName>
    <definedName name="LMDSN" localSheetId="5">#REF!</definedName>
    <definedName name="LMDSN" localSheetId="6">#REF!</definedName>
    <definedName name="LMDSN" localSheetId="16">#REF!</definedName>
    <definedName name="LMDSN" localSheetId="7">#REF!</definedName>
    <definedName name="LMDSN">#REF!</definedName>
    <definedName name="LMEDT" localSheetId="21">#REF!</definedName>
    <definedName name="LMEDT" localSheetId="1">#REF!</definedName>
    <definedName name="LMEDT" localSheetId="0">#REF!</definedName>
    <definedName name="LMEDT" localSheetId="5">#REF!</definedName>
    <definedName name="LMEDT" localSheetId="6">#REF!</definedName>
    <definedName name="LMEDT" localSheetId="16">#REF!</definedName>
    <definedName name="LMEDT" localSheetId="7">#REF!</definedName>
    <definedName name="LMEDT">#REF!</definedName>
    <definedName name="LMESN" localSheetId="21">#REF!</definedName>
    <definedName name="LMESN" localSheetId="1">#REF!</definedName>
    <definedName name="LMESN" localSheetId="0">#REF!</definedName>
    <definedName name="LMESN" localSheetId="5">#REF!</definedName>
    <definedName name="LMESN" localSheetId="6">#REF!</definedName>
    <definedName name="LMESN" localSheetId="16">#REF!</definedName>
    <definedName name="LMESN" localSheetId="7">#REF!</definedName>
    <definedName name="LMESN">#REF!</definedName>
    <definedName name="LMFD" localSheetId="21">#REF!</definedName>
    <definedName name="LMFD" localSheetId="1">#REF!</definedName>
    <definedName name="LMFD" localSheetId="0">#REF!</definedName>
    <definedName name="LMFD" localSheetId="5">#REF!</definedName>
    <definedName name="LMFD" localSheetId="6">#REF!</definedName>
    <definedName name="LMFD" localSheetId="16">#REF!</definedName>
    <definedName name="LMFD" localSheetId="7">#REF!</definedName>
    <definedName name="LMFD">#REF!</definedName>
    <definedName name="LMFE" localSheetId="21">#REF!</definedName>
    <definedName name="LMFE" localSheetId="1">#REF!</definedName>
    <definedName name="LMFE" localSheetId="0">#REF!</definedName>
    <definedName name="LMFE" localSheetId="5">#REF!</definedName>
    <definedName name="LMFE" localSheetId="6">#REF!</definedName>
    <definedName name="LMFE" localSheetId="16">#REF!</definedName>
    <definedName name="LMFE" localSheetId="7">#REF!</definedName>
    <definedName name="LMFE">#REF!</definedName>
    <definedName name="LMGLT" localSheetId="21">#REF!</definedName>
    <definedName name="LMGLT" localSheetId="1">#REF!</definedName>
    <definedName name="LMGLT" localSheetId="0">#REF!</definedName>
    <definedName name="LMGLT" localSheetId="5">#REF!</definedName>
    <definedName name="LMGLT" localSheetId="6">#REF!</definedName>
    <definedName name="LMGLT" localSheetId="16">#REF!</definedName>
    <definedName name="LMGLT" localSheetId="7">#REF!</definedName>
    <definedName name="LMGLT">#REF!</definedName>
    <definedName name="LMHD" localSheetId="21">#REF!</definedName>
    <definedName name="LMHD" localSheetId="1">#REF!</definedName>
    <definedName name="LMHD" localSheetId="0">#REF!</definedName>
    <definedName name="LMHD" localSheetId="5">#REF!</definedName>
    <definedName name="LMHD" localSheetId="6">#REF!</definedName>
    <definedName name="LMHD" localSheetId="16">#REF!</definedName>
    <definedName name="LMHD" localSheetId="7">#REF!</definedName>
    <definedName name="LMHD">#REF!</definedName>
    <definedName name="LMKS" localSheetId="21">#REF!</definedName>
    <definedName name="LMKS" localSheetId="1">#REF!</definedName>
    <definedName name="LMKS" localSheetId="0">#REF!</definedName>
    <definedName name="LMKS" localSheetId="5">#REF!</definedName>
    <definedName name="LMKS" localSheetId="6">#REF!</definedName>
    <definedName name="LMKS" localSheetId="16">#REF!</definedName>
    <definedName name="LMKS" localSheetId="7">#REF!</definedName>
    <definedName name="LMKS">#REF!</definedName>
    <definedName name="LMLSE" localSheetId="21">#REF!</definedName>
    <definedName name="LMLSE" localSheetId="1">#REF!</definedName>
    <definedName name="LMLSE" localSheetId="0">#REF!</definedName>
    <definedName name="LMLSE" localSheetId="5">#REF!</definedName>
    <definedName name="LMLSE" localSheetId="6">#REF!</definedName>
    <definedName name="LMLSE" localSheetId="16">#REF!</definedName>
    <definedName name="LMLSE" localSheetId="7">#REF!</definedName>
    <definedName name="LMLSE">#REF!</definedName>
    <definedName name="LMNSD" localSheetId="21">#REF!</definedName>
    <definedName name="LMNSD" localSheetId="1">#REF!</definedName>
    <definedName name="LMNSD" localSheetId="0">#REF!</definedName>
    <definedName name="LMNSD" localSheetId="5">#REF!</definedName>
    <definedName name="LMNSD" localSheetId="6">#REF!</definedName>
    <definedName name="LMNSD" localSheetId="16">#REF!</definedName>
    <definedName name="LMNSD" localSheetId="7">#REF!</definedName>
    <definedName name="LMNSD">#REF!</definedName>
    <definedName name="LMNST" localSheetId="21">#REF!</definedName>
    <definedName name="LMNST" localSheetId="1">#REF!</definedName>
    <definedName name="LMNST" localSheetId="0">#REF!</definedName>
    <definedName name="LMNST" localSheetId="5">#REF!</definedName>
    <definedName name="LMNST" localSheetId="6">#REF!</definedName>
    <definedName name="LMNST" localSheetId="16">#REF!</definedName>
    <definedName name="LMNST" localSheetId="7">#REF!</definedName>
    <definedName name="LMNST">#REF!</definedName>
    <definedName name="LMNTE" localSheetId="21">#REF!</definedName>
    <definedName name="LMNTE" localSheetId="1">#REF!</definedName>
    <definedName name="LMNTE" localSheetId="0">#REF!</definedName>
    <definedName name="LMNTE" localSheetId="5">#REF!</definedName>
    <definedName name="LMNTE" localSheetId="6">#REF!</definedName>
    <definedName name="LMNTE" localSheetId="16">#REF!</definedName>
    <definedName name="LMNTE" localSheetId="7">#REF!</definedName>
    <definedName name="LMNTE">#REF!</definedName>
    <definedName name="LMSDS" localSheetId="21">#REF!</definedName>
    <definedName name="LMSDS" localSheetId="1">#REF!</definedName>
    <definedName name="LMSDS" localSheetId="0">#REF!</definedName>
    <definedName name="LMSDS" localSheetId="5">#REF!</definedName>
    <definedName name="LMSDS" localSheetId="6">#REF!</definedName>
    <definedName name="LMSDS" localSheetId="16">#REF!</definedName>
    <definedName name="LMSDS" localSheetId="7">#REF!</definedName>
    <definedName name="LMSDS">#REF!</definedName>
    <definedName name="LMSNIB" localSheetId="21">#REF!</definedName>
    <definedName name="LMSNIB" localSheetId="1">#REF!</definedName>
    <definedName name="LMSNIB" localSheetId="0">#REF!</definedName>
    <definedName name="LMSNIB" localSheetId="5">#REF!</definedName>
    <definedName name="LMSNIB" localSheetId="6">#REF!</definedName>
    <definedName name="LMSNIB" localSheetId="16">#REF!</definedName>
    <definedName name="LMSNIB" localSheetId="7">#REF!</definedName>
    <definedName name="LMSNIB">#REF!</definedName>
    <definedName name="LMSNIH" localSheetId="21">#REF!</definedName>
    <definedName name="LMSNIH" localSheetId="1">#REF!</definedName>
    <definedName name="LMSNIH" localSheetId="0">#REF!</definedName>
    <definedName name="LMSNIH" localSheetId="5">#REF!</definedName>
    <definedName name="LMSNIH" localSheetId="6">#REF!</definedName>
    <definedName name="LMSNIH" localSheetId="16">#REF!</definedName>
    <definedName name="LMSNIH" localSheetId="7">#REF!</definedName>
    <definedName name="LMSNIH">#REF!</definedName>
    <definedName name="LMSSN" localSheetId="21">#REF!</definedName>
    <definedName name="LMSSN" localSheetId="1">#REF!</definedName>
    <definedName name="LMSSN" localSheetId="0">#REF!</definedName>
    <definedName name="LMSSN" localSheetId="5">#REF!</definedName>
    <definedName name="LMSSN" localSheetId="6">#REF!</definedName>
    <definedName name="LMSSN" localSheetId="16">#REF!</definedName>
    <definedName name="LMSSN" localSheetId="7">#REF!</definedName>
    <definedName name="LMSSN">#REF!</definedName>
    <definedName name="LMTDL" localSheetId="21">#REF!</definedName>
    <definedName name="LMTDL" localSheetId="1">#REF!</definedName>
    <definedName name="LMTDL" localSheetId="0">#REF!</definedName>
    <definedName name="LMTDL" localSheetId="5">#REF!</definedName>
    <definedName name="LMTDL" localSheetId="6">#REF!</definedName>
    <definedName name="LMTDL" localSheetId="16">#REF!</definedName>
    <definedName name="LMTDL" localSheetId="7">#REF!</definedName>
    <definedName name="LMTDL">#REF!</definedName>
    <definedName name="LMTDN" localSheetId="21">#REF!</definedName>
    <definedName name="LMTDN" localSheetId="1">#REF!</definedName>
    <definedName name="LMTDN" localSheetId="0">#REF!</definedName>
    <definedName name="LMTDN" localSheetId="5">#REF!</definedName>
    <definedName name="LMTDN" localSheetId="6">#REF!</definedName>
    <definedName name="LMTDN" localSheetId="16">#REF!</definedName>
    <definedName name="LMTDN" localSheetId="7">#REF!</definedName>
    <definedName name="LMTDN">#REF!</definedName>
    <definedName name="LMTDS" localSheetId="21">#REF!</definedName>
    <definedName name="LMTDS" localSheetId="1">#REF!</definedName>
    <definedName name="LMTDS" localSheetId="0">#REF!</definedName>
    <definedName name="LMTDS" localSheetId="5">#REF!</definedName>
    <definedName name="LMTDS" localSheetId="6">#REF!</definedName>
    <definedName name="LMTDS" localSheetId="16">#REF!</definedName>
    <definedName name="LMTDS" localSheetId="7">#REF!</definedName>
    <definedName name="LMTDS">#REF!</definedName>
    <definedName name="LMTES" localSheetId="21">#REF!</definedName>
    <definedName name="LMTES" localSheetId="1">#REF!</definedName>
    <definedName name="LMTES" localSheetId="0">#REF!</definedName>
    <definedName name="LMTES" localSheetId="5">#REF!</definedName>
    <definedName name="LMTES" localSheetId="6">#REF!</definedName>
    <definedName name="LMTES" localSheetId="16">#REF!</definedName>
    <definedName name="LMTES" localSheetId="7">#REF!</definedName>
    <definedName name="LMTES">#REF!</definedName>
    <definedName name="LMTSL" localSheetId="21">#REF!</definedName>
    <definedName name="LMTSL" localSheetId="1">#REF!</definedName>
    <definedName name="LMTSL" localSheetId="0">#REF!</definedName>
    <definedName name="LMTSL" localSheetId="5">#REF!</definedName>
    <definedName name="LMTSL" localSheetId="6">#REF!</definedName>
    <definedName name="LMTSL" localSheetId="16">#REF!</definedName>
    <definedName name="LMTSL" localSheetId="7">#REF!</definedName>
    <definedName name="LMTSL">#REF!</definedName>
    <definedName name="LMTSN" localSheetId="21">#REF!</definedName>
    <definedName name="LMTSN" localSheetId="1">#REF!</definedName>
    <definedName name="LMTSN" localSheetId="0">#REF!</definedName>
    <definedName name="LMTSN" localSheetId="5">#REF!</definedName>
    <definedName name="LMTSN" localSheetId="6">#REF!</definedName>
    <definedName name="LMTSN" localSheetId="16">#REF!</definedName>
    <definedName name="LMTSN" localSheetId="7">#REF!</definedName>
    <definedName name="LMTSN">#REF!</definedName>
    <definedName name="loader115" localSheetId="18">#REF!</definedName>
    <definedName name="loader115" localSheetId="21">#REF!</definedName>
    <definedName name="loader115" localSheetId="1">#REF!</definedName>
    <definedName name="loader115" localSheetId="0">#REF!</definedName>
    <definedName name="loader115" localSheetId="5">#REF!</definedName>
    <definedName name="loader115" localSheetId="6">#REF!</definedName>
    <definedName name="loader115" localSheetId="16">#REF!</definedName>
    <definedName name="loader115" localSheetId="7">#REF!</definedName>
    <definedName name="loader115">#REF!</definedName>
    <definedName name="loaderwheel80hp" localSheetId="18">#REF!</definedName>
    <definedName name="loaderwheel80hp" localSheetId="21">#REF!</definedName>
    <definedName name="loaderwheel80hp" localSheetId="1">#REF!</definedName>
    <definedName name="loaderwheel80hp" localSheetId="0">#REF!</definedName>
    <definedName name="loaderwheel80hp" localSheetId="5">#REF!</definedName>
    <definedName name="loaderwheel80hp" localSheetId="6">#REF!</definedName>
    <definedName name="loaderwheel80hp" localSheetId="16">#REF!</definedName>
    <definedName name="loaderwheel80hp" localSheetId="7">#REF!</definedName>
    <definedName name="loaderwheel80hp">#REF!</definedName>
    <definedName name="Lokasi" localSheetId="21">#REF!</definedName>
    <definedName name="Lokasi" localSheetId="1">#REF!</definedName>
    <definedName name="Lokasi" localSheetId="0">#REF!</definedName>
    <definedName name="Lokasi" localSheetId="5">#REF!</definedName>
    <definedName name="Lokasi" localSheetId="6">#REF!</definedName>
    <definedName name="Lokasi" localSheetId="16">#REF!</definedName>
    <definedName name="Lokasi" localSheetId="7">#REF!</definedName>
    <definedName name="Lokasi">#REF!</definedName>
    <definedName name="LPAA" localSheetId="18">#REF!</definedName>
    <definedName name="LPAA" localSheetId="10">#REF!</definedName>
    <definedName name="LPAA" localSheetId="21">#REF!</definedName>
    <definedName name="LPAA" localSheetId="1">#REF!</definedName>
    <definedName name="LPAA" localSheetId="0">#REF!</definedName>
    <definedName name="LPAA" localSheetId="5">#REF!</definedName>
    <definedName name="LPAA" localSheetId="6">#REF!</definedName>
    <definedName name="LPAA" localSheetId="16">#REF!</definedName>
    <definedName name="LPAA" localSheetId="7">#REF!</definedName>
    <definedName name="LPAA">#REF!</definedName>
    <definedName name="LPBC" localSheetId="18">#REF!</definedName>
    <definedName name="LPBC" localSheetId="10">#REF!</definedName>
    <definedName name="LPBC" localSheetId="21">#REF!</definedName>
    <definedName name="LPBC" localSheetId="1">#REF!</definedName>
    <definedName name="LPBC" localSheetId="0">#REF!</definedName>
    <definedName name="LPBC" localSheetId="5">#REF!</definedName>
    <definedName name="LPBC" localSheetId="6">#REF!</definedName>
    <definedName name="LPBC" localSheetId="16">#REF!</definedName>
    <definedName name="LPBC" localSheetId="7">#REF!</definedName>
    <definedName name="LPBC">#REF!</definedName>
    <definedName name="LSE" localSheetId="21">#REF!</definedName>
    <definedName name="LSE" localSheetId="1">#REF!</definedName>
    <definedName name="LSE" localSheetId="0">#REF!</definedName>
    <definedName name="LSE" localSheetId="5">#REF!</definedName>
    <definedName name="LSE" localSheetId="6">#REF!</definedName>
    <definedName name="LSE" localSheetId="16">#REF!</definedName>
    <definedName name="LSE" localSheetId="7">#REF!</definedName>
    <definedName name="LSE">#REF!</definedName>
    <definedName name="LUASD" localSheetId="21">#REF!</definedName>
    <definedName name="LUASD" localSheetId="1">#REF!</definedName>
    <definedName name="LUASD" localSheetId="0">#REF!</definedName>
    <definedName name="LUASD" localSheetId="5">#REF!</definedName>
    <definedName name="LUASD" localSheetId="6">#REF!</definedName>
    <definedName name="LUASD" localSheetId="16">#REF!</definedName>
    <definedName name="LUASD" localSheetId="7">#REF!</definedName>
    <definedName name="LUASD">#REF!</definedName>
    <definedName name="LUDDE" localSheetId="21">#REF!</definedName>
    <definedName name="LUDDE" localSheetId="1">#REF!</definedName>
    <definedName name="LUDDE" localSheetId="0">#REF!</definedName>
    <definedName name="LUDDE" localSheetId="5">#REF!</definedName>
    <definedName name="LUDDE" localSheetId="6">#REF!</definedName>
    <definedName name="LUDDE" localSheetId="16">#REF!</definedName>
    <definedName name="LUDDE" localSheetId="7">#REF!</definedName>
    <definedName name="LUDDE">#REF!</definedName>
    <definedName name="LUDDL" localSheetId="21">#REF!</definedName>
    <definedName name="LUDDL" localSheetId="1">#REF!</definedName>
    <definedName name="LUDDL" localSheetId="0">#REF!</definedName>
    <definedName name="LUDDL" localSheetId="5">#REF!</definedName>
    <definedName name="LUDDL" localSheetId="6">#REF!</definedName>
    <definedName name="LUDDL" localSheetId="16">#REF!</definedName>
    <definedName name="LUDDL" localSheetId="7">#REF!</definedName>
    <definedName name="LUDDL">#REF!</definedName>
    <definedName name="LUDSL" localSheetId="21">#REF!</definedName>
    <definedName name="LUDSL" localSheetId="1">#REF!</definedName>
    <definedName name="LUDSL" localSheetId="0">#REF!</definedName>
    <definedName name="LUDSL" localSheetId="5">#REF!</definedName>
    <definedName name="LUDSL" localSheetId="6">#REF!</definedName>
    <definedName name="LUDSL" localSheetId="16">#REF!</definedName>
    <definedName name="LUDSL" localSheetId="7">#REF!</definedName>
    <definedName name="LUDSL">#REF!</definedName>
    <definedName name="LUDSN" localSheetId="21">#REF!</definedName>
    <definedName name="LUDSN" localSheetId="1">#REF!</definedName>
    <definedName name="LUDSN" localSheetId="0">#REF!</definedName>
    <definedName name="LUDSN" localSheetId="5">#REF!</definedName>
    <definedName name="LUDSN" localSheetId="6">#REF!</definedName>
    <definedName name="LUDSN" localSheetId="16">#REF!</definedName>
    <definedName name="LUDSN" localSheetId="7">#REF!</definedName>
    <definedName name="LUDSN">#REF!</definedName>
    <definedName name="LUEDT" localSheetId="21">#REF!</definedName>
    <definedName name="LUEDT" localSheetId="1">#REF!</definedName>
    <definedName name="LUEDT" localSheetId="0">#REF!</definedName>
    <definedName name="LUEDT" localSheetId="5">#REF!</definedName>
    <definedName name="LUEDT" localSheetId="6">#REF!</definedName>
    <definedName name="LUEDT" localSheetId="16">#REF!</definedName>
    <definedName name="LUEDT" localSheetId="7">#REF!</definedName>
    <definedName name="LUEDT">#REF!</definedName>
    <definedName name="LUESN" localSheetId="21">#REF!</definedName>
    <definedName name="LUESN" localSheetId="1">#REF!</definedName>
    <definedName name="LUESN" localSheetId="0">#REF!</definedName>
    <definedName name="LUESN" localSheetId="5">#REF!</definedName>
    <definedName name="LUESN" localSheetId="6">#REF!</definedName>
    <definedName name="LUESN" localSheetId="16">#REF!</definedName>
    <definedName name="LUESN" localSheetId="7">#REF!</definedName>
    <definedName name="LUESN">#REF!</definedName>
    <definedName name="LUFD" localSheetId="21">#REF!</definedName>
    <definedName name="LUFD" localSheetId="1">#REF!</definedName>
    <definedName name="LUFD" localSheetId="0">#REF!</definedName>
    <definedName name="LUFD" localSheetId="5">#REF!</definedName>
    <definedName name="LUFD" localSheetId="6">#REF!</definedName>
    <definedName name="LUFD" localSheetId="16">#REF!</definedName>
    <definedName name="LUFD" localSheetId="7">#REF!</definedName>
    <definedName name="LUFD">#REF!</definedName>
    <definedName name="LUFE" localSheetId="21">#REF!</definedName>
    <definedName name="LUFE" localSheetId="1">#REF!</definedName>
    <definedName name="LUFE" localSheetId="0">#REF!</definedName>
    <definedName name="LUFE" localSheetId="5">#REF!</definedName>
    <definedName name="LUFE" localSheetId="6">#REF!</definedName>
    <definedName name="LUFE" localSheetId="16">#REF!</definedName>
    <definedName name="LUFE" localSheetId="7">#REF!</definedName>
    <definedName name="LUFE">#REF!</definedName>
    <definedName name="LUGLT" localSheetId="21">#REF!</definedName>
    <definedName name="LUGLT" localSheetId="1">#REF!</definedName>
    <definedName name="LUGLT" localSheetId="0">#REF!</definedName>
    <definedName name="LUGLT" localSheetId="5">#REF!</definedName>
    <definedName name="LUGLT" localSheetId="6">#REF!</definedName>
    <definedName name="LUGLT" localSheetId="16">#REF!</definedName>
    <definedName name="LUGLT" localSheetId="7">#REF!</definedName>
    <definedName name="LUGLT">#REF!</definedName>
    <definedName name="LUHD" localSheetId="21">#REF!</definedName>
    <definedName name="LUHD" localSheetId="1">#REF!</definedName>
    <definedName name="LUHD" localSheetId="0">#REF!</definedName>
    <definedName name="LUHD" localSheetId="5">#REF!</definedName>
    <definedName name="LUHD" localSheetId="6">#REF!</definedName>
    <definedName name="LUHD" localSheetId="16">#REF!</definedName>
    <definedName name="LUHD" localSheetId="7">#REF!</definedName>
    <definedName name="LUHD">#REF!</definedName>
    <definedName name="LUKS" localSheetId="21">#REF!</definedName>
    <definedName name="LUKS" localSheetId="1">#REF!</definedName>
    <definedName name="LUKS" localSheetId="0">#REF!</definedName>
    <definedName name="LUKS" localSheetId="5">#REF!</definedName>
    <definedName name="LUKS" localSheetId="6">#REF!</definedName>
    <definedName name="LUKS" localSheetId="16">#REF!</definedName>
    <definedName name="LUKS" localSheetId="7">#REF!</definedName>
    <definedName name="LUKS">#REF!</definedName>
    <definedName name="LULSE" localSheetId="21">#REF!</definedName>
    <definedName name="LULSE" localSheetId="1">#REF!</definedName>
    <definedName name="LULSE" localSheetId="0">#REF!</definedName>
    <definedName name="LULSE" localSheetId="5">#REF!</definedName>
    <definedName name="LULSE" localSheetId="6">#REF!</definedName>
    <definedName name="LULSE" localSheetId="16">#REF!</definedName>
    <definedName name="LULSE" localSheetId="7">#REF!</definedName>
    <definedName name="LULSE">#REF!</definedName>
    <definedName name="lumpur" localSheetId="21">[41]ANALISA!#REF!</definedName>
    <definedName name="lumpur" localSheetId="1">[41]ANALISA!#REF!</definedName>
    <definedName name="lumpur" localSheetId="0">[41]ANALISA!#REF!</definedName>
    <definedName name="lumpur" localSheetId="5">[41]ANALISA!#REF!</definedName>
    <definedName name="lumpur" localSheetId="6">[41]ANALISA!#REF!</definedName>
    <definedName name="lumpur" localSheetId="16">[41]ANALISA!#REF!</definedName>
    <definedName name="lumpur" localSheetId="7">[41]ANALISA!#REF!</definedName>
    <definedName name="lumpur">[41]ANALISA!#REF!</definedName>
    <definedName name="LUNSD" localSheetId="21">#REF!</definedName>
    <definedName name="LUNSD" localSheetId="1">#REF!</definedName>
    <definedName name="LUNSD" localSheetId="0">#REF!</definedName>
    <definedName name="LUNSD" localSheetId="5">#REF!</definedName>
    <definedName name="LUNSD" localSheetId="6">#REF!</definedName>
    <definedName name="LUNSD" localSheetId="16">#REF!</definedName>
    <definedName name="LUNSD" localSheetId="7">#REF!</definedName>
    <definedName name="LUNSD">#REF!</definedName>
    <definedName name="LUNSY" localSheetId="21">#REF!</definedName>
    <definedName name="LUNSY" localSheetId="1">#REF!</definedName>
    <definedName name="LUNSY" localSheetId="0">#REF!</definedName>
    <definedName name="LUNSY" localSheetId="5">#REF!</definedName>
    <definedName name="LUNSY" localSheetId="6">#REF!</definedName>
    <definedName name="LUNSY" localSheetId="16">#REF!</definedName>
    <definedName name="LUNSY" localSheetId="7">#REF!</definedName>
    <definedName name="LUNSY">#REF!</definedName>
    <definedName name="LUNTE" localSheetId="21">#REF!</definedName>
    <definedName name="LUNTE" localSheetId="1">#REF!</definedName>
    <definedName name="LUNTE" localSheetId="0">#REF!</definedName>
    <definedName name="LUNTE" localSheetId="5">#REF!</definedName>
    <definedName name="LUNTE" localSheetId="6">#REF!</definedName>
    <definedName name="LUNTE" localSheetId="16">#REF!</definedName>
    <definedName name="LUNTE" localSheetId="7">#REF!</definedName>
    <definedName name="LUNTE">#REF!</definedName>
    <definedName name="LUSDS" localSheetId="21">#REF!</definedName>
    <definedName name="LUSDS" localSheetId="1">#REF!</definedName>
    <definedName name="LUSDS" localSheetId="0">#REF!</definedName>
    <definedName name="LUSDS" localSheetId="5">#REF!</definedName>
    <definedName name="LUSDS" localSheetId="6">#REF!</definedName>
    <definedName name="LUSDS" localSheetId="16">#REF!</definedName>
    <definedName name="LUSDS" localSheetId="7">#REF!</definedName>
    <definedName name="LUSDS">#REF!</definedName>
    <definedName name="LUSNIB" localSheetId="21">#REF!</definedName>
    <definedName name="LUSNIB" localSheetId="1">#REF!</definedName>
    <definedName name="LUSNIB" localSheetId="0">#REF!</definedName>
    <definedName name="LUSNIB" localSheetId="5">#REF!</definedName>
    <definedName name="LUSNIB" localSheetId="6">#REF!</definedName>
    <definedName name="LUSNIB" localSheetId="16">#REF!</definedName>
    <definedName name="LUSNIB" localSheetId="7">#REF!</definedName>
    <definedName name="LUSNIB">#REF!</definedName>
    <definedName name="LUSNIH" localSheetId="21">#REF!</definedName>
    <definedName name="LUSNIH" localSheetId="1">#REF!</definedName>
    <definedName name="LUSNIH" localSheetId="0">#REF!</definedName>
    <definedName name="LUSNIH" localSheetId="5">#REF!</definedName>
    <definedName name="LUSNIH" localSheetId="6">#REF!</definedName>
    <definedName name="LUSNIH" localSheetId="16">#REF!</definedName>
    <definedName name="LUSNIH" localSheetId="7">#REF!</definedName>
    <definedName name="LUSNIH">#REF!</definedName>
    <definedName name="LUSSN" localSheetId="21">#REF!</definedName>
    <definedName name="LUSSN" localSheetId="1">#REF!</definedName>
    <definedName name="LUSSN" localSheetId="0">#REF!</definedName>
    <definedName name="LUSSN" localSheetId="5">#REF!</definedName>
    <definedName name="LUSSN" localSheetId="6">#REF!</definedName>
    <definedName name="LUSSN" localSheetId="16">#REF!</definedName>
    <definedName name="LUSSN" localSheetId="7">#REF!</definedName>
    <definedName name="LUSSN">#REF!</definedName>
    <definedName name="LUTDL" localSheetId="21">#REF!</definedName>
    <definedName name="LUTDL" localSheetId="1">#REF!</definedName>
    <definedName name="LUTDL" localSheetId="0">#REF!</definedName>
    <definedName name="LUTDL" localSheetId="5">#REF!</definedName>
    <definedName name="LUTDL" localSheetId="6">#REF!</definedName>
    <definedName name="LUTDL" localSheetId="16">#REF!</definedName>
    <definedName name="LUTDL" localSheetId="7">#REF!</definedName>
    <definedName name="LUTDL">#REF!</definedName>
    <definedName name="LUTDN" localSheetId="21">#REF!</definedName>
    <definedName name="LUTDN" localSheetId="1">#REF!</definedName>
    <definedName name="LUTDN" localSheetId="0">#REF!</definedName>
    <definedName name="LUTDN" localSheetId="5">#REF!</definedName>
    <definedName name="LUTDN" localSheetId="6">#REF!</definedName>
    <definedName name="LUTDN" localSheetId="16">#REF!</definedName>
    <definedName name="LUTDN" localSheetId="7">#REF!</definedName>
    <definedName name="LUTDN">#REF!</definedName>
    <definedName name="LUTDS" localSheetId="21">#REF!</definedName>
    <definedName name="LUTDS" localSheetId="1">#REF!</definedName>
    <definedName name="LUTDS" localSheetId="0">#REF!</definedName>
    <definedName name="LUTDS" localSheetId="5">#REF!</definedName>
    <definedName name="LUTDS" localSheetId="6">#REF!</definedName>
    <definedName name="LUTDS" localSheetId="16">#REF!</definedName>
    <definedName name="LUTDS" localSheetId="7">#REF!</definedName>
    <definedName name="LUTDS">#REF!</definedName>
    <definedName name="LUTES" localSheetId="21">#REF!</definedName>
    <definedName name="LUTES" localSheetId="1">#REF!</definedName>
    <definedName name="LUTES" localSheetId="0">#REF!</definedName>
    <definedName name="LUTES" localSheetId="5">#REF!</definedName>
    <definedName name="LUTES" localSheetId="6">#REF!</definedName>
    <definedName name="LUTES" localSheetId="16">#REF!</definedName>
    <definedName name="LUTES" localSheetId="7">#REF!</definedName>
    <definedName name="LUTES">#REF!</definedName>
    <definedName name="LUTSL" localSheetId="21">#REF!</definedName>
    <definedName name="LUTSL" localSheetId="1">#REF!</definedName>
    <definedName name="LUTSL" localSheetId="0">#REF!</definedName>
    <definedName name="LUTSL" localSheetId="5">#REF!</definedName>
    <definedName name="LUTSL" localSheetId="6">#REF!</definedName>
    <definedName name="LUTSL" localSheetId="16">#REF!</definedName>
    <definedName name="LUTSL" localSheetId="7">#REF!</definedName>
    <definedName name="LUTSL">#REF!</definedName>
    <definedName name="LUTSN" localSheetId="21">#REF!</definedName>
    <definedName name="LUTSN" localSheetId="1">#REF!</definedName>
    <definedName name="LUTSN" localSheetId="0">#REF!</definedName>
    <definedName name="LUTSN" localSheetId="5">#REF!</definedName>
    <definedName name="LUTSN" localSheetId="6">#REF!</definedName>
    <definedName name="LUTSN" localSheetId="16">#REF!</definedName>
    <definedName name="LUTSN" localSheetId="7">#REF!</definedName>
    <definedName name="LUTSN">#REF!</definedName>
    <definedName name="M.010" localSheetId="18">#REF!</definedName>
    <definedName name="M.010" localSheetId="11">#REF!</definedName>
    <definedName name="M.010" localSheetId="10">#REF!</definedName>
    <definedName name="M.010" localSheetId="21">#REF!</definedName>
    <definedName name="M.010" localSheetId="12">#REF!</definedName>
    <definedName name="M.010" localSheetId="1">#REF!</definedName>
    <definedName name="M.010" localSheetId="0">#REF!</definedName>
    <definedName name="M.010" localSheetId="14">#REF!</definedName>
    <definedName name="M.010" localSheetId="5">#REF!</definedName>
    <definedName name="M.010" localSheetId="6">#REF!</definedName>
    <definedName name="M.010" localSheetId="16">#REF!</definedName>
    <definedName name="M.010" localSheetId="7">#REF!</definedName>
    <definedName name="M.010">#REF!</definedName>
    <definedName name="M.023" localSheetId="18">#REF!</definedName>
    <definedName name="M.023" localSheetId="11">#REF!</definedName>
    <definedName name="M.023" localSheetId="10">#REF!</definedName>
    <definedName name="M.023" localSheetId="21">#REF!</definedName>
    <definedName name="M.023" localSheetId="12">#REF!</definedName>
    <definedName name="M.023" localSheetId="1">#REF!</definedName>
    <definedName name="M.023" localSheetId="0">#REF!</definedName>
    <definedName name="M.023" localSheetId="14">#REF!</definedName>
    <definedName name="M.023" localSheetId="5">#REF!</definedName>
    <definedName name="M.023" localSheetId="6">#REF!</definedName>
    <definedName name="M.023" localSheetId="16">#REF!</definedName>
    <definedName name="M.023" localSheetId="7">#REF!</definedName>
    <definedName name="M.023">#REF!</definedName>
    <definedName name="M.024" localSheetId="18">#REF!</definedName>
    <definedName name="M.024" localSheetId="11">#REF!</definedName>
    <definedName name="M.024" localSheetId="10">#REF!</definedName>
    <definedName name="M.024" localSheetId="21">#REF!</definedName>
    <definedName name="M.024" localSheetId="12">#REF!</definedName>
    <definedName name="M.024" localSheetId="1">#REF!</definedName>
    <definedName name="M.024" localSheetId="0">#REF!</definedName>
    <definedName name="M.024" localSheetId="14">#REF!</definedName>
    <definedName name="M.024" localSheetId="5">#REF!</definedName>
    <definedName name="M.024" localSheetId="6">#REF!</definedName>
    <definedName name="M.024" localSheetId="16">#REF!</definedName>
    <definedName name="M.024" localSheetId="7">#REF!</definedName>
    <definedName name="M.024">#REF!</definedName>
    <definedName name="M.025" localSheetId="18">#REF!</definedName>
    <definedName name="M.025" localSheetId="11">#REF!</definedName>
    <definedName name="M.025" localSheetId="10">#REF!</definedName>
    <definedName name="M.025" localSheetId="21">#REF!</definedName>
    <definedName name="M.025" localSheetId="12">#REF!</definedName>
    <definedName name="M.025" localSheetId="1">#REF!</definedName>
    <definedName name="M.025" localSheetId="0">#REF!</definedName>
    <definedName name="M.025" localSheetId="14">#REF!</definedName>
    <definedName name="M.025" localSheetId="5">#REF!</definedName>
    <definedName name="M.025" localSheetId="6">#REF!</definedName>
    <definedName name="M.025" localSheetId="16">#REF!</definedName>
    <definedName name="M.025" localSheetId="7">#REF!</definedName>
    <definedName name="M.025">#REF!</definedName>
    <definedName name="m.028" localSheetId="18">#REF!</definedName>
    <definedName name="m.028" localSheetId="11">#REF!</definedName>
    <definedName name="m.028" localSheetId="10">#REF!</definedName>
    <definedName name="m.028" localSheetId="21">#REF!</definedName>
    <definedName name="m.028" localSheetId="12">#REF!</definedName>
    <definedName name="m.028" localSheetId="1">#REF!</definedName>
    <definedName name="m.028" localSheetId="0">#REF!</definedName>
    <definedName name="m.028" localSheetId="14">#REF!</definedName>
    <definedName name="m.028" localSheetId="5">#REF!</definedName>
    <definedName name="m.028" localSheetId="6">#REF!</definedName>
    <definedName name="m.028" localSheetId="16">#REF!</definedName>
    <definedName name="m.028" localSheetId="7">#REF!</definedName>
    <definedName name="m.028">#REF!</definedName>
    <definedName name="m.029" localSheetId="18">#REF!</definedName>
    <definedName name="m.029" localSheetId="11">#REF!</definedName>
    <definedName name="m.029" localSheetId="10">#REF!</definedName>
    <definedName name="m.029" localSheetId="21">#REF!</definedName>
    <definedName name="m.029" localSheetId="12">#REF!</definedName>
    <definedName name="m.029" localSheetId="1">#REF!</definedName>
    <definedName name="m.029" localSheetId="0">#REF!</definedName>
    <definedName name="m.029" localSheetId="14">#REF!</definedName>
    <definedName name="m.029" localSheetId="5">#REF!</definedName>
    <definedName name="m.029" localSheetId="6">#REF!</definedName>
    <definedName name="m.029" localSheetId="16">#REF!</definedName>
    <definedName name="m.029" localSheetId="7">#REF!</definedName>
    <definedName name="m.029">#REF!</definedName>
    <definedName name="M.040" localSheetId="18">#REF!</definedName>
    <definedName name="M.040" localSheetId="11">#REF!</definedName>
    <definedName name="M.040" localSheetId="10">#REF!</definedName>
    <definedName name="M.040" localSheetId="21">#REF!</definedName>
    <definedName name="M.040" localSheetId="12">#REF!</definedName>
    <definedName name="M.040" localSheetId="1">#REF!</definedName>
    <definedName name="M.040" localSheetId="0">#REF!</definedName>
    <definedName name="M.040" localSheetId="14">#REF!</definedName>
    <definedName name="M.040" localSheetId="5">#REF!</definedName>
    <definedName name="M.040" localSheetId="6">#REF!</definedName>
    <definedName name="M.040" localSheetId="16">#REF!</definedName>
    <definedName name="M.040" localSheetId="7">#REF!</definedName>
    <definedName name="M.040">#REF!</definedName>
    <definedName name="M.041" localSheetId="18">#REF!</definedName>
    <definedName name="M.041" localSheetId="11">#REF!</definedName>
    <definedName name="M.041" localSheetId="10">#REF!</definedName>
    <definedName name="M.041" localSheetId="21">#REF!</definedName>
    <definedName name="M.041" localSheetId="12">#REF!</definedName>
    <definedName name="M.041" localSheetId="1">#REF!</definedName>
    <definedName name="M.041" localSheetId="0">#REF!</definedName>
    <definedName name="M.041" localSheetId="14">#REF!</definedName>
    <definedName name="M.041" localSheetId="5">#REF!</definedName>
    <definedName name="M.041" localSheetId="6">#REF!</definedName>
    <definedName name="M.041" localSheetId="16">#REF!</definedName>
    <definedName name="M.041" localSheetId="7">#REF!</definedName>
    <definedName name="M.041">#REF!</definedName>
    <definedName name="M.042" localSheetId="18">#REF!</definedName>
    <definedName name="M.042" localSheetId="11">#REF!</definedName>
    <definedName name="M.042" localSheetId="10">#REF!</definedName>
    <definedName name="M.042" localSheetId="21">#REF!</definedName>
    <definedName name="M.042" localSheetId="12">#REF!</definedName>
    <definedName name="M.042" localSheetId="1">#REF!</definedName>
    <definedName name="M.042" localSheetId="0">#REF!</definedName>
    <definedName name="M.042" localSheetId="14">#REF!</definedName>
    <definedName name="M.042" localSheetId="5">#REF!</definedName>
    <definedName name="M.042" localSheetId="6">#REF!</definedName>
    <definedName name="M.042" localSheetId="16">#REF!</definedName>
    <definedName name="M.042" localSheetId="7">#REF!</definedName>
    <definedName name="M.042">#REF!</definedName>
    <definedName name="m.045" localSheetId="18">#REF!</definedName>
    <definedName name="m.045" localSheetId="11">#REF!</definedName>
    <definedName name="m.045" localSheetId="10">#REF!</definedName>
    <definedName name="m.045" localSheetId="21">#REF!</definedName>
    <definedName name="m.045" localSheetId="12">#REF!</definedName>
    <definedName name="m.045" localSheetId="1">#REF!</definedName>
    <definedName name="m.045" localSheetId="0">#REF!</definedName>
    <definedName name="m.045" localSheetId="14">#REF!</definedName>
    <definedName name="m.045" localSheetId="5">#REF!</definedName>
    <definedName name="m.045" localSheetId="6">#REF!</definedName>
    <definedName name="m.045" localSheetId="16">#REF!</definedName>
    <definedName name="m.045" localSheetId="7">#REF!</definedName>
    <definedName name="m.045">#REF!</definedName>
    <definedName name="m.047" localSheetId="18">#REF!</definedName>
    <definedName name="m.047" localSheetId="11">#REF!</definedName>
    <definedName name="m.047" localSheetId="10">#REF!</definedName>
    <definedName name="m.047" localSheetId="21">#REF!</definedName>
    <definedName name="m.047" localSheetId="12">#REF!</definedName>
    <definedName name="m.047" localSheetId="1">#REF!</definedName>
    <definedName name="m.047" localSheetId="0">#REF!</definedName>
    <definedName name="m.047" localSheetId="14">#REF!</definedName>
    <definedName name="m.047" localSheetId="5">#REF!</definedName>
    <definedName name="m.047" localSheetId="6">#REF!</definedName>
    <definedName name="m.047" localSheetId="16">#REF!</definedName>
    <definedName name="m.047" localSheetId="7">#REF!</definedName>
    <definedName name="m.047">#REF!</definedName>
    <definedName name="m.048" localSheetId="18">#REF!</definedName>
    <definedName name="m.048" localSheetId="11">#REF!</definedName>
    <definedName name="m.048" localSheetId="10">#REF!</definedName>
    <definedName name="m.048" localSheetId="21">#REF!</definedName>
    <definedName name="m.048" localSheetId="12">#REF!</definedName>
    <definedName name="m.048" localSheetId="1">#REF!</definedName>
    <definedName name="m.048" localSheetId="0">#REF!</definedName>
    <definedName name="m.048" localSheetId="14">#REF!</definedName>
    <definedName name="m.048" localSheetId="5">#REF!</definedName>
    <definedName name="m.048" localSheetId="6">#REF!</definedName>
    <definedName name="m.048" localSheetId="16">#REF!</definedName>
    <definedName name="m.048" localSheetId="7">#REF!</definedName>
    <definedName name="m.048">#REF!</definedName>
    <definedName name="m.049">'[13]Upah&amp;Bahan'!$C$44</definedName>
    <definedName name="M.061" localSheetId="18">#REF!</definedName>
    <definedName name="M.061" localSheetId="11">#REF!</definedName>
    <definedName name="M.061" localSheetId="10">#REF!</definedName>
    <definedName name="M.061" localSheetId="21">#REF!</definedName>
    <definedName name="M.061" localSheetId="12">#REF!</definedName>
    <definedName name="M.061" localSheetId="1">#REF!</definedName>
    <definedName name="M.061" localSheetId="0">#REF!</definedName>
    <definedName name="M.061" localSheetId="14">#REF!</definedName>
    <definedName name="M.061" localSheetId="5">#REF!</definedName>
    <definedName name="M.061" localSheetId="6">#REF!</definedName>
    <definedName name="M.061" localSheetId="16">#REF!</definedName>
    <definedName name="M.061" localSheetId="7">#REF!</definedName>
    <definedName name="M.061">#REF!</definedName>
    <definedName name="M.065" localSheetId="18">#REF!</definedName>
    <definedName name="M.065" localSheetId="11">#REF!</definedName>
    <definedName name="M.065" localSheetId="10">#REF!</definedName>
    <definedName name="M.065" localSheetId="21">#REF!</definedName>
    <definedName name="M.065" localSheetId="12">#REF!</definedName>
    <definedName name="M.065" localSheetId="1">#REF!</definedName>
    <definedName name="M.065" localSheetId="0">#REF!</definedName>
    <definedName name="M.065" localSheetId="14">#REF!</definedName>
    <definedName name="M.065" localSheetId="5">#REF!</definedName>
    <definedName name="M.065" localSheetId="6">#REF!</definedName>
    <definedName name="M.065" localSheetId="16">#REF!</definedName>
    <definedName name="M.065" localSheetId="7">#REF!</definedName>
    <definedName name="M.065">#REF!</definedName>
    <definedName name="m.068">'[13]Upah&amp;Bahan'!$C$90</definedName>
    <definedName name="m.069">'[13]Upah&amp;Bahan'!$C$83</definedName>
    <definedName name="M.080" localSheetId="18">#REF!</definedName>
    <definedName name="M.080" localSheetId="11">#REF!</definedName>
    <definedName name="M.080" localSheetId="10">#REF!</definedName>
    <definedName name="M.080" localSheetId="21">#REF!</definedName>
    <definedName name="M.080" localSheetId="12">#REF!</definedName>
    <definedName name="M.080" localSheetId="1">#REF!</definedName>
    <definedName name="M.080" localSheetId="0">#REF!</definedName>
    <definedName name="M.080" localSheetId="14">#REF!</definedName>
    <definedName name="M.080" localSheetId="5">#REF!</definedName>
    <definedName name="M.080" localSheetId="6">#REF!</definedName>
    <definedName name="M.080" localSheetId="16">#REF!</definedName>
    <definedName name="M.080" localSheetId="7">#REF!</definedName>
    <definedName name="M.080">#REF!</definedName>
    <definedName name="m.089">'[13]Upah&amp;Bahan'!$C$62</definedName>
    <definedName name="m.105" localSheetId="18">#REF!</definedName>
    <definedName name="m.105" localSheetId="11">#REF!</definedName>
    <definedName name="m.105" localSheetId="10">#REF!</definedName>
    <definedName name="m.105" localSheetId="21">#REF!</definedName>
    <definedName name="m.105" localSheetId="12">#REF!</definedName>
    <definedName name="m.105" localSheetId="1">#REF!</definedName>
    <definedName name="m.105" localSheetId="0">#REF!</definedName>
    <definedName name="m.105" localSheetId="14">#REF!</definedName>
    <definedName name="m.105" localSheetId="5">#REF!</definedName>
    <definedName name="m.105" localSheetId="6">#REF!</definedName>
    <definedName name="m.105" localSheetId="16">#REF!</definedName>
    <definedName name="m.105" localSheetId="7">#REF!</definedName>
    <definedName name="m.105">#REF!</definedName>
    <definedName name="M.166" localSheetId="18">#REF!</definedName>
    <definedName name="M.166" localSheetId="11">#REF!</definedName>
    <definedName name="M.166" localSheetId="10">#REF!</definedName>
    <definedName name="M.166" localSheetId="21">#REF!</definedName>
    <definedName name="M.166" localSheetId="12">#REF!</definedName>
    <definedName name="M.166" localSheetId="1">#REF!</definedName>
    <definedName name="M.166" localSheetId="0">#REF!</definedName>
    <definedName name="M.166" localSheetId="14">#REF!</definedName>
    <definedName name="M.166" localSheetId="5">#REF!</definedName>
    <definedName name="M.166" localSheetId="6">#REF!</definedName>
    <definedName name="M.166" localSheetId="16">#REF!</definedName>
    <definedName name="M.166" localSheetId="7">#REF!</definedName>
    <definedName name="M.166">#REF!</definedName>
    <definedName name="M.167" localSheetId="18">#REF!</definedName>
    <definedName name="M.167" localSheetId="11">#REF!</definedName>
    <definedName name="M.167" localSheetId="10">#REF!</definedName>
    <definedName name="M.167" localSheetId="21">#REF!</definedName>
    <definedName name="M.167" localSheetId="12">#REF!</definedName>
    <definedName name="M.167" localSheetId="1">#REF!</definedName>
    <definedName name="M.167" localSheetId="0">#REF!</definedName>
    <definedName name="M.167" localSheetId="14">#REF!</definedName>
    <definedName name="M.167" localSheetId="5">#REF!</definedName>
    <definedName name="M.167" localSheetId="6">#REF!</definedName>
    <definedName name="M.167" localSheetId="16">#REF!</definedName>
    <definedName name="M.167" localSheetId="7">#REF!</definedName>
    <definedName name="M.167">#REF!</definedName>
    <definedName name="m.169" localSheetId="18">#REF!</definedName>
    <definedName name="m.169" localSheetId="11">#REF!</definedName>
    <definedName name="m.169" localSheetId="10">#REF!</definedName>
    <definedName name="m.169" localSheetId="21">#REF!</definedName>
    <definedName name="m.169" localSheetId="12">#REF!</definedName>
    <definedName name="m.169" localSheetId="1">#REF!</definedName>
    <definedName name="m.169" localSheetId="0">#REF!</definedName>
    <definedName name="m.169" localSheetId="14">#REF!</definedName>
    <definedName name="m.169" localSheetId="5">#REF!</definedName>
    <definedName name="m.169" localSheetId="6">#REF!</definedName>
    <definedName name="m.169" localSheetId="16">#REF!</definedName>
    <definedName name="m.169" localSheetId="7">#REF!</definedName>
    <definedName name="m.169">#REF!</definedName>
    <definedName name="M.170" localSheetId="18">#REF!</definedName>
    <definedName name="M.170" localSheetId="11">#REF!</definedName>
    <definedName name="M.170" localSheetId="10">#REF!</definedName>
    <definedName name="M.170" localSheetId="21">#REF!</definedName>
    <definedName name="M.170" localSheetId="12">#REF!</definedName>
    <definedName name="M.170" localSheetId="1">#REF!</definedName>
    <definedName name="M.170" localSheetId="0">#REF!</definedName>
    <definedName name="M.170" localSheetId="14">#REF!</definedName>
    <definedName name="M.170" localSheetId="5">#REF!</definedName>
    <definedName name="M.170" localSheetId="6">#REF!</definedName>
    <definedName name="M.170" localSheetId="16">#REF!</definedName>
    <definedName name="M.170" localSheetId="7">#REF!</definedName>
    <definedName name="M.170">#REF!</definedName>
    <definedName name="M.180" localSheetId="18">#REF!</definedName>
    <definedName name="M.180" localSheetId="11">#REF!</definedName>
    <definedName name="M.180" localSheetId="10">#REF!</definedName>
    <definedName name="M.180" localSheetId="21">#REF!</definedName>
    <definedName name="M.180" localSheetId="12">#REF!</definedName>
    <definedName name="M.180" localSheetId="1">#REF!</definedName>
    <definedName name="M.180" localSheetId="0">#REF!</definedName>
    <definedName name="M.180" localSheetId="14">#REF!</definedName>
    <definedName name="M.180" localSheetId="5">#REF!</definedName>
    <definedName name="M.180" localSheetId="6">#REF!</definedName>
    <definedName name="M.180" localSheetId="16">#REF!</definedName>
    <definedName name="M.180" localSheetId="7">#REF!</definedName>
    <definedName name="M.180">#REF!</definedName>
    <definedName name="m.190">'[23]Upah&amp;Bahan'!$C$100</definedName>
    <definedName name="m.68">'[13]Upah&amp;Bahan'!$C$61</definedName>
    <definedName name="maka">'[23]Upah&amp;Bahan'!$C$44</definedName>
    <definedName name="Mal" localSheetId="21">[10]HSP!#REF!</definedName>
    <definedName name="Mal" localSheetId="1">[10]HSP!#REF!</definedName>
    <definedName name="Mal" localSheetId="0">[10]HSP!#REF!</definedName>
    <definedName name="Mal" localSheetId="5">[10]HSP!#REF!</definedName>
    <definedName name="Mal" localSheetId="6">[10]HSP!#REF!</definedName>
    <definedName name="Mal" localSheetId="16">[10]HSP!#REF!</definedName>
    <definedName name="Mal" localSheetId="7">[10]HSP!#REF!</definedName>
    <definedName name="Mal">[10]HSP!#REF!</definedName>
    <definedName name="man" localSheetId="21">#REF!</definedName>
    <definedName name="man" localSheetId="1">#REF!</definedName>
    <definedName name="man" localSheetId="0">#REF!</definedName>
    <definedName name="man" localSheetId="5">#REF!</definedName>
    <definedName name="man" localSheetId="6">#REF!</definedName>
    <definedName name="man" localSheetId="16">#REF!</definedName>
    <definedName name="man" localSheetId="7">#REF!</definedName>
    <definedName name="man">#REF!</definedName>
    <definedName name="MANDOR" localSheetId="11">'[33]Harga Bahan'!$H$150</definedName>
    <definedName name="MANDOR" localSheetId="12">'[33]Harga Bahan'!$H$150</definedName>
    <definedName name="MANDOR" localSheetId="14">'[33]Harga Bahan'!$H$150</definedName>
    <definedName name="MANDOR">'[33]Harga Bahan'!$H$150</definedName>
    <definedName name="mata">'[23]Upah&amp;Bahan'!$C$52</definedName>
    <definedName name="matahari">'[23]Upah&amp;Bahan'!$C$51</definedName>
    <definedName name="MATERIAL" localSheetId="18">#REF!</definedName>
    <definedName name="MATERIAL" localSheetId="21">#REF!</definedName>
    <definedName name="MATERIAL" localSheetId="1">#REF!</definedName>
    <definedName name="MATERIAL" localSheetId="0">#REF!</definedName>
    <definedName name="MATERIAL" localSheetId="5">#REF!</definedName>
    <definedName name="MATERIAL" localSheetId="6">#REF!</definedName>
    <definedName name="MATERIAL" localSheetId="16">#REF!</definedName>
    <definedName name="MATERIAL" localSheetId="7">#REF!</definedName>
    <definedName name="MATERIAL">#REF!</definedName>
    <definedName name="mau">'[13]Upah&amp;Bahan'!$C$54</definedName>
    <definedName name="md" localSheetId="21">#REF!</definedName>
    <definedName name="md" localSheetId="1">#REF!</definedName>
    <definedName name="md" localSheetId="0">#REF!</definedName>
    <definedName name="md" localSheetId="5">#REF!</definedName>
    <definedName name="md" localSheetId="6">#REF!</definedName>
    <definedName name="md" localSheetId="16">#REF!</definedName>
    <definedName name="md" localSheetId="7">#REF!</definedName>
    <definedName name="md">#REF!</definedName>
    <definedName name="medan3.4" localSheetId="18">#REF!</definedName>
    <definedName name="medan3.4" localSheetId="11">#REF!</definedName>
    <definedName name="medan3.4" localSheetId="10">#REF!</definedName>
    <definedName name="medan3.4" localSheetId="21">#REF!</definedName>
    <definedName name="medan3.4" localSheetId="12">#REF!</definedName>
    <definedName name="medan3.4" localSheetId="1">#REF!</definedName>
    <definedName name="medan3.4" localSheetId="0">#REF!</definedName>
    <definedName name="medan3.4" localSheetId="14">#REF!</definedName>
    <definedName name="medan3.4" localSheetId="5">#REF!</definedName>
    <definedName name="medan3.4" localSheetId="6">#REF!</definedName>
    <definedName name="medan3.4" localSheetId="16">#REF!</definedName>
    <definedName name="medan3.4" localSheetId="7">#REF!</definedName>
    <definedName name="medan3.4">#REF!</definedName>
    <definedName name="medan5.10" localSheetId="18">#REF!</definedName>
    <definedName name="medan5.10" localSheetId="11">#REF!</definedName>
    <definedName name="medan5.10" localSheetId="10">#REF!</definedName>
    <definedName name="medan5.10" localSheetId="21">#REF!</definedName>
    <definedName name="medan5.10" localSheetId="12">#REF!</definedName>
    <definedName name="medan5.10" localSheetId="1">#REF!</definedName>
    <definedName name="medan5.10" localSheetId="0">#REF!</definedName>
    <definedName name="medan5.10" localSheetId="14">#REF!</definedName>
    <definedName name="medan5.10" localSheetId="5">#REF!</definedName>
    <definedName name="medan5.10" localSheetId="6">#REF!</definedName>
    <definedName name="medan5.10" localSheetId="16">#REF!</definedName>
    <definedName name="medan5.10" localSheetId="7">#REF!</definedName>
    <definedName name="medan5.10">#REF!</definedName>
    <definedName name="medan5.7" localSheetId="18">#REF!</definedName>
    <definedName name="medan5.7" localSheetId="11">#REF!</definedName>
    <definedName name="medan5.7" localSheetId="10">#REF!</definedName>
    <definedName name="medan5.7" localSheetId="21">#REF!</definedName>
    <definedName name="medan5.7" localSheetId="12">#REF!</definedName>
    <definedName name="medan5.7" localSheetId="1">#REF!</definedName>
    <definedName name="medan5.7" localSheetId="0">#REF!</definedName>
    <definedName name="medan5.7" localSheetId="14">#REF!</definedName>
    <definedName name="medan5.7" localSheetId="5">#REF!</definedName>
    <definedName name="medan5.7" localSheetId="6">#REF!</definedName>
    <definedName name="medan5.7" localSheetId="16">#REF!</definedName>
    <definedName name="medan5.7" localSheetId="7">#REF!</definedName>
    <definedName name="medan5.7">#REF!</definedName>
    <definedName name="medan6.12" localSheetId="18">#REF!</definedName>
    <definedName name="medan6.12" localSheetId="11">#REF!</definedName>
    <definedName name="medan6.12" localSheetId="10">#REF!</definedName>
    <definedName name="medan6.12" localSheetId="21">#REF!</definedName>
    <definedName name="medan6.12" localSheetId="12">#REF!</definedName>
    <definedName name="medan6.12" localSheetId="1">#REF!</definedName>
    <definedName name="medan6.12" localSheetId="0">#REF!</definedName>
    <definedName name="medan6.12" localSheetId="14">#REF!</definedName>
    <definedName name="medan6.12" localSheetId="5">#REF!</definedName>
    <definedName name="medan6.12" localSheetId="6">#REF!</definedName>
    <definedName name="medan6.12" localSheetId="16">#REF!</definedName>
    <definedName name="medan6.12" localSheetId="7">#REF!</definedName>
    <definedName name="medan6.12">#REF!</definedName>
    <definedName name="medan8.15" localSheetId="18">#REF!</definedName>
    <definedName name="medan8.15" localSheetId="11">#REF!</definedName>
    <definedName name="medan8.15" localSheetId="10">#REF!</definedName>
    <definedName name="medan8.15" localSheetId="21">#REF!</definedName>
    <definedName name="medan8.15" localSheetId="12">#REF!</definedName>
    <definedName name="medan8.15" localSheetId="1">#REF!</definedName>
    <definedName name="medan8.15" localSheetId="0">#REF!</definedName>
    <definedName name="medan8.15" localSheetId="14">#REF!</definedName>
    <definedName name="medan8.15" localSheetId="5">#REF!</definedName>
    <definedName name="medan8.15" localSheetId="6">#REF!</definedName>
    <definedName name="medan8.15" localSheetId="16">#REF!</definedName>
    <definedName name="medan8.15" localSheetId="7">#REF!</definedName>
    <definedName name="medan8.15">#REF!</definedName>
    <definedName name="meja">'[23]Upah&amp;Bahan'!$C$83</definedName>
    <definedName name="MEKANIK" localSheetId="18">#REF!</definedName>
    <definedName name="MEKANIK" localSheetId="21">#REF!</definedName>
    <definedName name="MEKANIK" localSheetId="1">#REF!</definedName>
    <definedName name="MEKANIK" localSheetId="0">#REF!</definedName>
    <definedName name="MEKANIK" localSheetId="5">#REF!</definedName>
    <definedName name="MEKANIK" localSheetId="6">#REF!</definedName>
    <definedName name="MEKANIK" localSheetId="16">#REF!</definedName>
    <definedName name="MEKANIK" localSheetId="7">#REF!</definedName>
    <definedName name="MEKANIK">#REF!</definedName>
    <definedName name="mengapa" localSheetId="18">'[13]Kuantitas &amp; Harga'!#REF!</definedName>
    <definedName name="mengapa" localSheetId="11">'[13]Kuantitas &amp; Harga'!#REF!</definedName>
    <definedName name="mengapa" localSheetId="10">'[13]Kuantitas &amp; Harga'!#REF!</definedName>
    <definedName name="mengapa" localSheetId="21">'[13]Kuantitas &amp; Harga'!#REF!</definedName>
    <definedName name="mengapa" localSheetId="12">'[13]Kuantitas &amp; Harga'!#REF!</definedName>
    <definedName name="mengapa" localSheetId="1">'[13]Kuantitas &amp; Harga'!#REF!</definedName>
    <definedName name="mengapa" localSheetId="0">'[13]Kuantitas &amp; Harga'!#REF!</definedName>
    <definedName name="mengapa" localSheetId="14">'[13]Kuantitas &amp; Harga'!#REF!</definedName>
    <definedName name="mengapa" localSheetId="5">'[13]Kuantitas &amp; Harga'!#REF!</definedName>
    <definedName name="mengapa" localSheetId="6">'[13]Kuantitas &amp; Harga'!#REF!</definedName>
    <definedName name="mengapa" localSheetId="16">'[13]Kuantitas &amp; Harga'!#REF!</definedName>
    <definedName name="mengapa" localSheetId="7">'[13]Kuantitas &amp; Harga'!#REF!</definedName>
    <definedName name="mengapa">'[13]Kuantitas &amp; Harga'!#REF!</definedName>
    <definedName name="menunggu">'[13]Upah&amp;Bahan'!$C$17</definedName>
    <definedName name="Meranti" localSheetId="21">'[26]Daftar Harga'!#REF!</definedName>
    <definedName name="Meranti" localSheetId="1">'[26]Daftar Harga'!#REF!</definedName>
    <definedName name="Meranti" localSheetId="0">'[26]Daftar Harga'!#REF!</definedName>
    <definedName name="Meranti" localSheetId="5">'[26]Daftar Harga'!#REF!</definedName>
    <definedName name="Meranti" localSheetId="6">'[26]Daftar Harga'!#REF!</definedName>
    <definedName name="Meranti" localSheetId="16">'[26]Daftar Harga'!#REF!</definedName>
    <definedName name="Meranti" localSheetId="7">'[26]Daftar Harga'!#REF!</definedName>
    <definedName name="Meranti">'[26]Daftar Harga'!#REF!</definedName>
    <definedName name="Merbau" localSheetId="21">'[26]Daftar Harga'!#REF!</definedName>
    <definedName name="Merbau" localSheetId="1">'[26]Daftar Harga'!#REF!</definedName>
    <definedName name="Merbau" localSheetId="0">'[26]Daftar Harga'!#REF!</definedName>
    <definedName name="Merbau" localSheetId="5">'[26]Daftar Harga'!#REF!</definedName>
    <definedName name="Merbau" localSheetId="6">'[26]Daftar Harga'!#REF!</definedName>
    <definedName name="Merbau" localSheetId="16">'[26]Daftar Harga'!#REF!</definedName>
    <definedName name="Merbau" localSheetId="7">'[26]Daftar Harga'!#REF!</definedName>
    <definedName name="Merbau">'[26]Daftar Harga'!#REF!</definedName>
    <definedName name="mesingilas3roda" localSheetId="18">#REF!</definedName>
    <definedName name="mesingilas3roda" localSheetId="21">#REF!</definedName>
    <definedName name="mesingilas3roda" localSheetId="1">#REF!</definedName>
    <definedName name="mesingilas3roda" localSheetId="0">#REF!</definedName>
    <definedName name="mesingilas3roda" localSheetId="5">#REF!</definedName>
    <definedName name="mesingilas3roda" localSheetId="6">#REF!</definedName>
    <definedName name="mesingilas3roda" localSheetId="16">#REF!</definedName>
    <definedName name="mesingilas3roda" localSheetId="7">#REF!</definedName>
    <definedName name="mesingilas3roda">#REF!</definedName>
    <definedName name="mesingilaskaret" localSheetId="18">#REF!</definedName>
    <definedName name="mesingilaskaret" localSheetId="21">#REF!</definedName>
    <definedName name="mesingilaskaret" localSheetId="1">#REF!</definedName>
    <definedName name="mesingilaskaret" localSheetId="0">#REF!</definedName>
    <definedName name="mesingilaskaret" localSheetId="5">#REF!</definedName>
    <definedName name="mesingilaskaret" localSheetId="6">#REF!</definedName>
    <definedName name="mesingilaskaret" localSheetId="16">#REF!</definedName>
    <definedName name="mesingilaskaret" localSheetId="7">#REF!</definedName>
    <definedName name="mesingilaskaret">#REF!</definedName>
    <definedName name="mesingilastendem" localSheetId="18">#REF!</definedName>
    <definedName name="mesingilastendem" localSheetId="21">#REF!</definedName>
    <definedName name="mesingilastendem" localSheetId="1">#REF!</definedName>
    <definedName name="mesingilastendem" localSheetId="0">#REF!</definedName>
    <definedName name="mesingilastendem" localSheetId="5">#REF!</definedName>
    <definedName name="mesingilastendem" localSheetId="6">#REF!</definedName>
    <definedName name="mesingilastendem" localSheetId="16">#REF!</definedName>
    <definedName name="mesingilastendem" localSheetId="7">#REF!</definedName>
    <definedName name="mesingilastendem">#REF!</definedName>
    <definedName name="MF8A" localSheetId="21">#REF!</definedName>
    <definedName name="MF8A" localSheetId="1">#REF!</definedName>
    <definedName name="MF8A" localSheetId="0">#REF!</definedName>
    <definedName name="MF8A" localSheetId="5">#REF!</definedName>
    <definedName name="MF8A" localSheetId="6">#REF!</definedName>
    <definedName name="MF8A" localSheetId="16">#REF!</definedName>
    <definedName name="MF8A" localSheetId="7">#REF!</definedName>
    <definedName name="MF8A">#REF!</definedName>
    <definedName name="MF8B" localSheetId="21">#REF!</definedName>
    <definedName name="MF8B" localSheetId="1">#REF!</definedName>
    <definedName name="MF8B" localSheetId="0">#REF!</definedName>
    <definedName name="MF8B" localSheetId="5">#REF!</definedName>
    <definedName name="MF8B" localSheetId="6">#REF!</definedName>
    <definedName name="MF8B" localSheetId="16">#REF!</definedName>
    <definedName name="MF8B" localSheetId="7">#REF!</definedName>
    <definedName name="MF8B">#REF!</definedName>
    <definedName name="MFHJ">[5]alat!$BD$87</definedName>
    <definedName name="MG43B">'[17]ANALISA (2)'!$Q$1770</definedName>
    <definedName name="MG50H">'[17]ANALISA (2)'!$Q$1832</definedName>
    <definedName name="MI2A" localSheetId="21">#REF!</definedName>
    <definedName name="MI2A" localSheetId="1">#REF!</definedName>
    <definedName name="MI2A" localSheetId="0">#REF!</definedName>
    <definedName name="MI2A" localSheetId="5">#REF!</definedName>
    <definedName name="MI2A" localSheetId="6">#REF!</definedName>
    <definedName name="MI2A" localSheetId="16">#REF!</definedName>
    <definedName name="MI2A" localSheetId="7">#REF!</definedName>
    <definedName name="MI2A">#REF!</definedName>
    <definedName name="MI2AF6" localSheetId="21">#REF!</definedName>
    <definedName name="MI2AF6" localSheetId="1">#REF!</definedName>
    <definedName name="MI2AF6" localSheetId="0">#REF!</definedName>
    <definedName name="MI2AF6" localSheetId="5">#REF!</definedName>
    <definedName name="MI2AF6" localSheetId="6">#REF!</definedName>
    <definedName name="MI2AF6" localSheetId="16">#REF!</definedName>
    <definedName name="MI2AF6" localSheetId="7">#REF!</definedName>
    <definedName name="MI2AF6">#REF!</definedName>
    <definedName name="MINOR" localSheetId="18">'[12]Kuantitas &amp; Harga'!#REF!</definedName>
    <definedName name="MINOR" localSheetId="11">'[12]Kuantitas &amp; Harga'!#REF!</definedName>
    <definedName name="MINOR" localSheetId="10">'[12]Kuantitas &amp; Harga'!#REF!</definedName>
    <definedName name="MINOR" localSheetId="21">'[12]Kuantitas &amp; Harga'!#REF!</definedName>
    <definedName name="MINOR" localSheetId="12">'[12]Kuantitas &amp; Harga'!#REF!</definedName>
    <definedName name="MINOR" localSheetId="1">'[12]Kuantitas &amp; Harga'!#REF!</definedName>
    <definedName name="MINOR" localSheetId="0">'[12]Kuantitas &amp; Harga'!#REF!</definedName>
    <definedName name="MINOR" localSheetId="14">'[12]Kuantitas &amp; Harga'!#REF!</definedName>
    <definedName name="MINOR" localSheetId="5">'[12]Kuantitas &amp; Harga'!#REF!</definedName>
    <definedName name="MINOR" localSheetId="6">'[12]Kuantitas &amp; Harga'!#REF!</definedName>
    <definedName name="MINOR" localSheetId="16">'[12]Kuantitas &amp; Harga'!#REF!</definedName>
    <definedName name="MINOR" localSheetId="7">'[12]Kuantitas &amp; Harga'!#REF!</definedName>
    <definedName name="MINOR">'[12]Kuantitas &amp; Harga'!#REF!</definedName>
    <definedName name="MINUSPPN" localSheetId="21">#REF!</definedName>
    <definedName name="MINUSPPN" localSheetId="1">#REF!</definedName>
    <definedName name="MINUSPPN" localSheetId="0">#REF!</definedName>
    <definedName name="MINUSPPN" localSheetId="5">#REF!</definedName>
    <definedName name="MINUSPPN" localSheetId="6">#REF!</definedName>
    <definedName name="MINUSPPN" localSheetId="16">#REF!</definedName>
    <definedName name="MINUSPPN" localSheetId="7">#REF!</definedName>
    <definedName name="MINUSPPN">#REF!</definedName>
    <definedName name="MINYAK" localSheetId="18">#REF!</definedName>
    <definedName name="MINYAK" localSheetId="21">#REF!</definedName>
    <definedName name="MINYAK" localSheetId="1">#REF!</definedName>
    <definedName name="MINYAK" localSheetId="0">#REF!</definedName>
    <definedName name="MINYAK" localSheetId="5">#REF!</definedName>
    <definedName name="MINYAK" localSheetId="6">#REF!</definedName>
    <definedName name="MINYAK" localSheetId="16">#REF!</definedName>
    <definedName name="MINYAK" localSheetId="7">#REF!</definedName>
    <definedName name="MINYAK">#REF!</definedName>
    <definedName name="mlex.w" localSheetId="18">#REF!</definedName>
    <definedName name="mlex.w" localSheetId="11">#REF!</definedName>
    <definedName name="mlex.w" localSheetId="10">#REF!</definedName>
    <definedName name="mlex.w" localSheetId="21">#REF!</definedName>
    <definedName name="mlex.w" localSheetId="12">#REF!</definedName>
    <definedName name="mlex.w" localSheetId="1">#REF!</definedName>
    <definedName name="mlex.w" localSheetId="0">#REF!</definedName>
    <definedName name="mlex.w" localSheetId="14">#REF!</definedName>
    <definedName name="mlex.w" localSheetId="5">#REF!</definedName>
    <definedName name="mlex.w" localSheetId="6">#REF!</definedName>
    <definedName name="mlex.w" localSheetId="16">#REF!</definedName>
    <definedName name="mlex.w" localSheetId="7">#REF!</definedName>
    <definedName name="mlex.w">#REF!</definedName>
    <definedName name="MMM17A" localSheetId="18">#REF!</definedName>
    <definedName name="MMM17A" localSheetId="21">#REF!</definedName>
    <definedName name="MMM17A" localSheetId="1">#REF!</definedName>
    <definedName name="MMM17A" localSheetId="0">#REF!</definedName>
    <definedName name="MMM17A" localSheetId="5">#REF!</definedName>
    <definedName name="MMM17A" localSheetId="6">#REF!</definedName>
    <definedName name="MMM17A" localSheetId="16">#REF!</definedName>
    <definedName name="MMM17A" localSheetId="7">#REF!</definedName>
    <definedName name="MMM17A">#REF!</definedName>
    <definedName name="MMM35A" localSheetId="18">#REF!</definedName>
    <definedName name="MMM35A" localSheetId="21">#REF!</definedName>
    <definedName name="MMM35A" localSheetId="1">#REF!</definedName>
    <definedName name="MMM35A" localSheetId="0">#REF!</definedName>
    <definedName name="MMM35A" localSheetId="5">#REF!</definedName>
    <definedName name="MMM35A" localSheetId="6">#REF!</definedName>
    <definedName name="MMM35A" localSheetId="16">#REF!</definedName>
    <definedName name="MMM35A" localSheetId="7">#REF!</definedName>
    <definedName name="MMM35A">#REF!</definedName>
    <definedName name="MOBILISASI" localSheetId="18">#REF!</definedName>
    <definedName name="MOBILISASI" localSheetId="11">#REF!</definedName>
    <definedName name="MOBILISASI" localSheetId="10">#REF!</definedName>
    <definedName name="MOBILISASI" localSheetId="21">#REF!</definedName>
    <definedName name="MOBILISASI" localSheetId="12">#REF!</definedName>
    <definedName name="MOBILISASI" localSheetId="1">#REF!</definedName>
    <definedName name="MOBILISASI" localSheetId="0">#REF!</definedName>
    <definedName name="MOBILISASI" localSheetId="14">#REF!</definedName>
    <definedName name="MOBILISASI" localSheetId="5">#REF!</definedName>
    <definedName name="MOBILISASI" localSheetId="6">#REF!</definedName>
    <definedName name="MOBILISASI" localSheetId="16">#REF!</definedName>
    <definedName name="MOBILISASI" localSheetId="7">#REF!</definedName>
    <definedName name="MOBILISASI">#REF!</definedName>
    <definedName name="MOBILIZATION">'[49]Kuantitas &amp; Harga'!$A$15:$H$27</definedName>
    <definedName name="molen" localSheetId="18">#REF!</definedName>
    <definedName name="molen" localSheetId="21">#REF!</definedName>
    <definedName name="molen" localSheetId="1">#REF!</definedName>
    <definedName name="molen" localSheetId="0">#REF!</definedName>
    <definedName name="molen" localSheetId="5">#REF!</definedName>
    <definedName name="molen" localSheetId="6">#REF!</definedName>
    <definedName name="molen" localSheetId="16">#REF!</definedName>
    <definedName name="molen" localSheetId="7">#REF!</definedName>
    <definedName name="molen">#REF!</definedName>
    <definedName name="Molen1">'[14]Analisa AB'!$H$161</definedName>
    <definedName name="Molen2">'[14]Analisa AB'!$H$162</definedName>
    <definedName name="molenbeton" localSheetId="18">#REF!</definedName>
    <definedName name="molenbeton" localSheetId="21">#REF!</definedName>
    <definedName name="molenbeton" localSheetId="1">#REF!</definedName>
    <definedName name="molenbeton" localSheetId="0">#REF!</definedName>
    <definedName name="molenbeton" localSheetId="5">#REF!</definedName>
    <definedName name="molenbeton" localSheetId="6">#REF!</definedName>
    <definedName name="molenbeton" localSheetId="16">#REF!</definedName>
    <definedName name="molenbeton" localSheetId="7">#REF!</definedName>
    <definedName name="molenbeton">#REF!</definedName>
    <definedName name="mowi.w.shield" localSheetId="18">#REF!</definedName>
    <definedName name="mowi.w.shield" localSheetId="11">#REF!</definedName>
    <definedName name="mowi.w.shield" localSheetId="10">#REF!</definedName>
    <definedName name="mowi.w.shield" localSheetId="21">#REF!</definedName>
    <definedName name="mowi.w.shield" localSheetId="12">#REF!</definedName>
    <definedName name="mowi.w.shield" localSheetId="1">#REF!</definedName>
    <definedName name="mowi.w.shield" localSheetId="0">#REF!</definedName>
    <definedName name="mowi.w.shield" localSheetId="14">#REF!</definedName>
    <definedName name="mowi.w.shield" localSheetId="5">#REF!</definedName>
    <definedName name="mowi.w.shield" localSheetId="6">#REF!</definedName>
    <definedName name="mowi.w.shield" localSheetId="16">#REF!</definedName>
    <definedName name="mowi.w.shield" localSheetId="7">#REF!</definedName>
    <definedName name="mowi.w.shield">#REF!</definedName>
    <definedName name="mowi.ws" localSheetId="18">#REF!</definedName>
    <definedName name="mowi.ws" localSheetId="11">#REF!</definedName>
    <definedName name="mowi.ws" localSheetId="10">#REF!</definedName>
    <definedName name="mowi.ws" localSheetId="21">#REF!</definedName>
    <definedName name="mowi.ws" localSheetId="12">#REF!</definedName>
    <definedName name="mowi.ws" localSheetId="1">#REF!</definedName>
    <definedName name="mowi.ws" localSheetId="0">#REF!</definedName>
    <definedName name="mowi.ws" localSheetId="14">#REF!</definedName>
    <definedName name="mowi.ws" localSheetId="5">#REF!</definedName>
    <definedName name="mowi.ws" localSheetId="6">#REF!</definedName>
    <definedName name="mowi.ws" localSheetId="16">#REF!</definedName>
    <definedName name="mowi.ws" localSheetId="7">#REF!</definedName>
    <definedName name="mowi.ws">#REF!</definedName>
    <definedName name="MR.12" localSheetId="18">#REF!</definedName>
    <definedName name="MR.12" localSheetId="11">#REF!</definedName>
    <definedName name="MR.12" localSheetId="10">#REF!</definedName>
    <definedName name="MR.12" localSheetId="21">#REF!</definedName>
    <definedName name="MR.12" localSheetId="12">#REF!</definedName>
    <definedName name="MR.12" localSheetId="1">#REF!</definedName>
    <definedName name="MR.12" localSheetId="0">#REF!</definedName>
    <definedName name="MR.12" localSheetId="14">#REF!</definedName>
    <definedName name="MR.12" localSheetId="5">#REF!</definedName>
    <definedName name="MR.12" localSheetId="6">#REF!</definedName>
    <definedName name="MR.12" localSheetId="16">#REF!</definedName>
    <definedName name="MR.12" localSheetId="7">#REF!</definedName>
    <definedName name="MR.12">#REF!</definedName>
    <definedName name="mr.15" localSheetId="18">#REF!</definedName>
    <definedName name="mr.15" localSheetId="11">#REF!</definedName>
    <definedName name="mr.15" localSheetId="10">#REF!</definedName>
    <definedName name="mr.15" localSheetId="21">#REF!</definedName>
    <definedName name="mr.15" localSheetId="12">#REF!</definedName>
    <definedName name="mr.15" localSheetId="1">#REF!</definedName>
    <definedName name="mr.15" localSheetId="0">#REF!</definedName>
    <definedName name="mr.15" localSheetId="14">#REF!</definedName>
    <definedName name="mr.15" localSheetId="5">#REF!</definedName>
    <definedName name="mr.15" localSheetId="6">#REF!</definedName>
    <definedName name="mr.15" localSheetId="16">#REF!</definedName>
    <definedName name="mr.15" localSheetId="7">#REF!</definedName>
    <definedName name="mr.15">#REF!</definedName>
    <definedName name="mr.19" localSheetId="18">#REF!</definedName>
    <definedName name="mr.19" localSheetId="11">#REF!</definedName>
    <definedName name="mr.19" localSheetId="10">#REF!</definedName>
    <definedName name="mr.19" localSheetId="21">#REF!</definedName>
    <definedName name="mr.19" localSheetId="12">#REF!</definedName>
    <definedName name="mr.19" localSheetId="1">#REF!</definedName>
    <definedName name="mr.19" localSheetId="0">#REF!</definedName>
    <definedName name="mr.19" localSheetId="14">#REF!</definedName>
    <definedName name="mr.19" localSheetId="5">#REF!</definedName>
    <definedName name="mr.19" localSheetId="6">#REF!</definedName>
    <definedName name="mr.19" localSheetId="16">#REF!</definedName>
    <definedName name="mr.19" localSheetId="7">#REF!</definedName>
    <definedName name="mr.19">#REF!</definedName>
    <definedName name="MSDE" localSheetId="21">#REF!</definedName>
    <definedName name="MSDE" localSheetId="1">#REF!</definedName>
    <definedName name="MSDE" localSheetId="0">#REF!</definedName>
    <definedName name="MSDE" localSheetId="5">#REF!</definedName>
    <definedName name="MSDE" localSheetId="6">#REF!</definedName>
    <definedName name="MSDE" localSheetId="16">#REF!</definedName>
    <definedName name="MSDE" localSheetId="7">#REF!</definedName>
    <definedName name="MSDE">#REF!</definedName>
    <definedName name="MSDL" localSheetId="21">#REF!</definedName>
    <definedName name="MSDL" localSheetId="1">#REF!</definedName>
    <definedName name="MSDL" localSheetId="0">#REF!</definedName>
    <definedName name="MSDL" localSheetId="5">#REF!</definedName>
    <definedName name="MSDL" localSheetId="6">#REF!</definedName>
    <definedName name="MSDL" localSheetId="16">#REF!</definedName>
    <definedName name="MSDL" localSheetId="7">#REF!</definedName>
    <definedName name="MSDL">#REF!</definedName>
    <definedName name="MSDT" localSheetId="21">#REF!</definedName>
    <definedName name="MSDT" localSheetId="1">#REF!</definedName>
    <definedName name="MSDT" localSheetId="0">#REF!</definedName>
    <definedName name="MSDT" localSheetId="5">#REF!</definedName>
    <definedName name="MSDT" localSheetId="6">#REF!</definedName>
    <definedName name="MSDT" localSheetId="16">#REF!</definedName>
    <definedName name="MSDT" localSheetId="7">#REF!</definedName>
    <definedName name="MSDT">#REF!</definedName>
    <definedName name="MSPLV">'[17]ANALISA (2)'!$Q$2390</definedName>
    <definedName name="MTanah" localSheetId="21">#REF!</definedName>
    <definedName name="MTanah" localSheetId="1">#REF!</definedName>
    <definedName name="MTanah" localSheetId="0">#REF!</definedName>
    <definedName name="MTanah" localSheetId="5">#REF!</definedName>
    <definedName name="MTanah" localSheetId="6">#REF!</definedName>
    <definedName name="MTanah" localSheetId="16">#REF!</definedName>
    <definedName name="MTanah" localSheetId="7">#REF!</definedName>
    <definedName name="MTanah">#REF!</definedName>
    <definedName name="mu">'[13]Upah&amp;Bahan'!$C$15</definedName>
    <definedName name="muka">'[23]Upah&amp;Bahan'!$C$42</definedName>
    <definedName name="multi.18" localSheetId="18">#REF!</definedName>
    <definedName name="multi.18" localSheetId="11">#REF!</definedName>
    <definedName name="multi.18" localSheetId="10">#REF!</definedName>
    <definedName name="multi.18" localSheetId="21">#REF!</definedName>
    <definedName name="multi.18" localSheetId="12">#REF!</definedName>
    <definedName name="multi.18" localSheetId="1">#REF!</definedName>
    <definedName name="multi.18" localSheetId="0">#REF!</definedName>
    <definedName name="multi.18" localSheetId="14">#REF!</definedName>
    <definedName name="multi.18" localSheetId="5">#REF!</definedName>
    <definedName name="multi.18" localSheetId="6">#REF!</definedName>
    <definedName name="multi.18" localSheetId="16">#REF!</definedName>
    <definedName name="multi.18" localSheetId="7">#REF!</definedName>
    <definedName name="multi.18">#REF!</definedName>
    <definedName name="multi.4" localSheetId="18">#REF!</definedName>
    <definedName name="multi.4" localSheetId="11">#REF!</definedName>
    <definedName name="multi.4" localSheetId="10">#REF!</definedName>
    <definedName name="multi.4" localSheetId="21">#REF!</definedName>
    <definedName name="multi.4" localSheetId="12">#REF!</definedName>
    <definedName name="multi.4" localSheetId="1">#REF!</definedName>
    <definedName name="multi.4" localSheetId="0">#REF!</definedName>
    <definedName name="multi.4" localSheetId="14">#REF!</definedName>
    <definedName name="multi.4" localSheetId="5">#REF!</definedName>
    <definedName name="multi.4" localSheetId="6">#REF!</definedName>
    <definedName name="multi.4" localSheetId="16">#REF!</definedName>
    <definedName name="multi.4" localSheetId="7">#REF!</definedName>
    <definedName name="multi.4">#REF!</definedName>
    <definedName name="multi.6" localSheetId="18">#REF!</definedName>
    <definedName name="multi.6" localSheetId="11">#REF!</definedName>
    <definedName name="multi.6" localSheetId="10">#REF!</definedName>
    <definedName name="multi.6" localSheetId="21">#REF!</definedName>
    <definedName name="multi.6" localSheetId="12">#REF!</definedName>
    <definedName name="multi.6" localSheetId="1">#REF!</definedName>
    <definedName name="multi.6" localSheetId="0">#REF!</definedName>
    <definedName name="multi.6" localSheetId="14">#REF!</definedName>
    <definedName name="multi.6" localSheetId="5">#REF!</definedName>
    <definedName name="multi.6" localSheetId="6">#REF!</definedName>
    <definedName name="multi.6" localSheetId="16">#REF!</definedName>
    <definedName name="multi.6" localSheetId="7">#REF!</definedName>
    <definedName name="multi.6">#REF!</definedName>
    <definedName name="multi.9" localSheetId="18">#REF!</definedName>
    <definedName name="multi.9" localSheetId="11">#REF!</definedName>
    <definedName name="multi.9" localSheetId="10">#REF!</definedName>
    <definedName name="multi.9" localSheetId="21">#REF!</definedName>
    <definedName name="multi.9" localSheetId="12">#REF!</definedName>
    <definedName name="multi.9" localSheetId="1">#REF!</definedName>
    <definedName name="multi.9" localSheetId="0">#REF!</definedName>
    <definedName name="multi.9" localSheetId="14">#REF!</definedName>
    <definedName name="multi.9" localSheetId="5">#REF!</definedName>
    <definedName name="multi.9" localSheetId="6">#REF!</definedName>
    <definedName name="multi.9" localSheetId="16">#REF!</definedName>
    <definedName name="multi.9" localSheetId="7">#REF!</definedName>
    <definedName name="multi.9">#REF!</definedName>
    <definedName name="multicolour" localSheetId="18">[25]Analisis!#REF!</definedName>
    <definedName name="multicolour" localSheetId="10">[25]Analisis!#REF!</definedName>
    <definedName name="multicolour" localSheetId="21">[25]Analisis!#REF!</definedName>
    <definedName name="multicolour" localSheetId="1">[25]Analisis!#REF!</definedName>
    <definedName name="multicolour" localSheetId="0">[25]Analisis!#REF!</definedName>
    <definedName name="multicolour" localSheetId="5">[25]Analisis!#REF!</definedName>
    <definedName name="multicolour" localSheetId="6">[25]Analisis!#REF!</definedName>
    <definedName name="multicolour" localSheetId="16">[25]Analisis!#REF!</definedName>
    <definedName name="multicolour" localSheetId="7">[25]Analisis!#REF!</definedName>
    <definedName name="multicolour">[25]Analisis!#REF!</definedName>
    <definedName name="N" localSheetId="21">#REF!</definedName>
    <definedName name="N" localSheetId="1">#REF!</definedName>
    <definedName name="N" localSheetId="0">#REF!</definedName>
    <definedName name="N" localSheetId="5">#REF!</definedName>
    <definedName name="N" localSheetId="6">#REF!</definedName>
    <definedName name="N" localSheetId="16">#REF!</definedName>
    <definedName name="N" localSheetId="7">#REF!</definedName>
    <definedName name="N">#REF!</definedName>
    <definedName name="N_1" localSheetId="21">#REF!</definedName>
    <definedName name="N_1" localSheetId="1">#REF!</definedName>
    <definedName name="N_1" localSheetId="0">#REF!</definedName>
    <definedName name="N_1" localSheetId="5">#REF!</definedName>
    <definedName name="N_1" localSheetId="6">#REF!</definedName>
    <definedName name="N_1" localSheetId="16">#REF!</definedName>
    <definedName name="N_1" localSheetId="7">#REF!</definedName>
    <definedName name="N_1">#REF!</definedName>
    <definedName name="N_10" localSheetId="21">#REF!</definedName>
    <definedName name="N_10" localSheetId="1">#REF!</definedName>
    <definedName name="N_10" localSheetId="0">#REF!</definedName>
    <definedName name="N_10" localSheetId="5">#REF!</definedName>
    <definedName name="N_10" localSheetId="6">#REF!</definedName>
    <definedName name="N_10" localSheetId="16">#REF!</definedName>
    <definedName name="N_10" localSheetId="7">#REF!</definedName>
    <definedName name="N_10">#REF!</definedName>
    <definedName name="N_2" localSheetId="21">#REF!</definedName>
    <definedName name="N_2" localSheetId="1">#REF!</definedName>
    <definedName name="N_2" localSheetId="0">#REF!</definedName>
    <definedName name="N_2" localSheetId="5">#REF!</definedName>
    <definedName name="N_2" localSheetId="6">#REF!</definedName>
    <definedName name="N_2" localSheetId="16">#REF!</definedName>
    <definedName name="N_2" localSheetId="7">#REF!</definedName>
    <definedName name="N_2">#REF!</definedName>
    <definedName name="N_3" localSheetId="21">#REF!</definedName>
    <definedName name="N_3" localSheetId="1">#REF!</definedName>
    <definedName name="N_3" localSheetId="0">#REF!</definedName>
    <definedName name="N_3" localSheetId="5">#REF!</definedName>
    <definedName name="N_3" localSheetId="6">#REF!</definedName>
    <definedName name="N_3" localSheetId="16">#REF!</definedName>
    <definedName name="N_3" localSheetId="7">#REF!</definedName>
    <definedName name="N_3">#REF!</definedName>
    <definedName name="N_7" localSheetId="21">#REF!</definedName>
    <definedName name="N_7" localSheetId="1">#REF!</definedName>
    <definedName name="N_7" localSheetId="0">#REF!</definedName>
    <definedName name="N_7" localSheetId="5">#REF!</definedName>
    <definedName name="N_7" localSheetId="6">#REF!</definedName>
    <definedName name="N_7" localSheetId="16">#REF!</definedName>
    <definedName name="N_7" localSheetId="7">#REF!</definedName>
    <definedName name="N_7">#REF!</definedName>
    <definedName name="N_KON1" localSheetId="21">#REF!</definedName>
    <definedName name="N_KON1" localSheetId="1">#REF!</definedName>
    <definedName name="N_KON1" localSheetId="0">#REF!</definedName>
    <definedName name="N_KON1" localSheetId="5">#REF!</definedName>
    <definedName name="N_KON1" localSheetId="6">#REF!</definedName>
    <definedName name="N_KON1" localSheetId="16">#REF!</definedName>
    <definedName name="N_KON1" localSheetId="7">#REF!</definedName>
    <definedName name="N_KON1">#REF!</definedName>
    <definedName name="N_KON10" localSheetId="21">#REF!</definedName>
    <definedName name="N_KON10" localSheetId="1">#REF!</definedName>
    <definedName name="N_KON10" localSheetId="0">#REF!</definedName>
    <definedName name="N_KON10" localSheetId="5">#REF!</definedName>
    <definedName name="N_KON10" localSheetId="6">#REF!</definedName>
    <definedName name="N_KON10" localSheetId="16">#REF!</definedName>
    <definedName name="N_KON10" localSheetId="7">#REF!</definedName>
    <definedName name="N_KON10">#REF!</definedName>
    <definedName name="N_KON2" localSheetId="21">#REF!</definedName>
    <definedName name="N_KON2" localSheetId="1">#REF!</definedName>
    <definedName name="N_KON2" localSheetId="0">#REF!</definedName>
    <definedName name="N_KON2" localSheetId="5">#REF!</definedName>
    <definedName name="N_KON2" localSheetId="6">#REF!</definedName>
    <definedName name="N_KON2" localSheetId="16">#REF!</definedName>
    <definedName name="N_KON2" localSheetId="7">#REF!</definedName>
    <definedName name="N_KON2">#REF!</definedName>
    <definedName name="N_KON3" localSheetId="21">#REF!</definedName>
    <definedName name="N_KON3" localSheetId="1">#REF!</definedName>
    <definedName name="N_KON3" localSheetId="0">#REF!</definedName>
    <definedName name="N_KON3" localSheetId="5">#REF!</definedName>
    <definedName name="N_KON3" localSheetId="6">#REF!</definedName>
    <definedName name="N_KON3" localSheetId="16">#REF!</definedName>
    <definedName name="N_KON3" localSheetId="7">#REF!</definedName>
    <definedName name="N_KON3">#REF!</definedName>
    <definedName name="N_KON7" localSheetId="21">#REF!</definedName>
    <definedName name="N_KON7" localSheetId="1">#REF!</definedName>
    <definedName name="N_KON7" localSheetId="0">#REF!</definedName>
    <definedName name="N_KON7" localSheetId="5">#REF!</definedName>
    <definedName name="N_KON7" localSheetId="6">#REF!</definedName>
    <definedName name="N_KON7" localSheetId="16">#REF!</definedName>
    <definedName name="N_KON7" localSheetId="7">#REF!</definedName>
    <definedName name="N_KON7">#REF!</definedName>
    <definedName name="NEN" localSheetId="21">#REF!</definedName>
    <definedName name="NEN" localSheetId="1">#REF!</definedName>
    <definedName name="NEN" localSheetId="0">#REF!</definedName>
    <definedName name="NEN" localSheetId="5">#REF!</definedName>
    <definedName name="NEN" localSheetId="6">#REF!</definedName>
    <definedName name="NEN" localSheetId="16">#REF!</definedName>
    <definedName name="NEN" localSheetId="7">#REF!</definedName>
    <definedName name="NEN">#REF!</definedName>
    <definedName name="neng">'[23]Upah&amp;Bahan'!$C$47</definedName>
    <definedName name="NI" localSheetId="18">[9]BPS!#REF!</definedName>
    <definedName name="NI" localSheetId="10">[9]BPS!#REF!</definedName>
    <definedName name="NI" localSheetId="21">[9]BPS!#REF!</definedName>
    <definedName name="NI" localSheetId="1">[9]BPS!#REF!</definedName>
    <definedName name="NI" localSheetId="0">[9]BPS!#REF!</definedName>
    <definedName name="NI" localSheetId="5">[9]BPS!#REF!</definedName>
    <definedName name="NI" localSheetId="6">[9]BPS!#REF!</definedName>
    <definedName name="NI" localSheetId="16">[9]BPS!#REF!</definedName>
    <definedName name="NI" localSheetId="7">[9]BPS!#REF!</definedName>
    <definedName name="NI">[9]BPS!#REF!</definedName>
    <definedName name="no">[35]Catatan!$D$11</definedName>
    <definedName name="Nok" localSheetId="18">#REF!</definedName>
    <definedName name="Nok" localSheetId="11">#REF!</definedName>
    <definedName name="Nok" localSheetId="10">#REF!</definedName>
    <definedName name="Nok" localSheetId="21">#REF!</definedName>
    <definedName name="Nok" localSheetId="12">#REF!</definedName>
    <definedName name="Nok" localSheetId="1">#REF!</definedName>
    <definedName name="Nok" localSheetId="0">#REF!</definedName>
    <definedName name="Nok" localSheetId="14">#REF!</definedName>
    <definedName name="Nok" localSheetId="5">#REF!</definedName>
    <definedName name="Nok" localSheetId="6">#REF!</definedName>
    <definedName name="Nok" localSheetId="16">#REF!</definedName>
    <definedName name="Nok" localSheetId="7">#REF!</definedName>
    <definedName name="Nok">#REF!</definedName>
    <definedName name="NSD" localSheetId="21">#REF!</definedName>
    <definedName name="NSD" localSheetId="1">#REF!</definedName>
    <definedName name="NSD" localSheetId="0">#REF!</definedName>
    <definedName name="NSD" localSheetId="5">#REF!</definedName>
    <definedName name="NSD" localSheetId="6">#REF!</definedName>
    <definedName name="NSD" localSheetId="16">#REF!</definedName>
    <definedName name="NSD" localSheetId="7">#REF!</definedName>
    <definedName name="NSD">#REF!</definedName>
    <definedName name="NSE" localSheetId="21">#REF!</definedName>
    <definedName name="NSE" localSheetId="1">#REF!</definedName>
    <definedName name="NSE" localSheetId="0">#REF!</definedName>
    <definedName name="NSE" localSheetId="5">#REF!</definedName>
    <definedName name="NSE" localSheetId="6">#REF!</definedName>
    <definedName name="NSE" localSheetId="16">#REF!</definedName>
    <definedName name="NSE" localSheetId="7">#REF!</definedName>
    <definedName name="NSE">#REF!</definedName>
    <definedName name="NST" localSheetId="21">#REF!</definedName>
    <definedName name="NST" localSheetId="1">#REF!</definedName>
    <definedName name="NST" localSheetId="0">#REF!</definedName>
    <definedName name="NST" localSheetId="5">#REF!</definedName>
    <definedName name="NST" localSheetId="6">#REF!</definedName>
    <definedName name="NST" localSheetId="16">#REF!</definedName>
    <definedName name="NST" localSheetId="7">#REF!</definedName>
    <definedName name="NST">#REF!</definedName>
    <definedName name="ONGKOS1" localSheetId="18">#REF!</definedName>
    <definedName name="ONGKOS1" localSheetId="21">#REF!</definedName>
    <definedName name="ONGKOS1" localSheetId="1">#REF!</definedName>
    <definedName name="ONGKOS1" localSheetId="0">#REF!</definedName>
    <definedName name="ONGKOS1" localSheetId="5">#REF!</definedName>
    <definedName name="ONGKOS1" localSheetId="6">#REF!</definedName>
    <definedName name="ONGKOS1" localSheetId="16">#REF!</definedName>
    <definedName name="ONGKOS1" localSheetId="7">#REF!</definedName>
    <definedName name="ONGKOS1">#REF!</definedName>
    <definedName name="ONGKOS2" localSheetId="18">#REF!</definedName>
    <definedName name="ONGKOS2" localSheetId="21">#REF!</definedName>
    <definedName name="ONGKOS2" localSheetId="1">#REF!</definedName>
    <definedName name="ONGKOS2" localSheetId="0">#REF!</definedName>
    <definedName name="ONGKOS2" localSheetId="5">#REF!</definedName>
    <definedName name="ONGKOS2" localSheetId="6">#REF!</definedName>
    <definedName name="ONGKOS2" localSheetId="16">#REF!</definedName>
    <definedName name="ONGKOS2" localSheetId="7">#REF!</definedName>
    <definedName name="ONGKOS2">#REF!</definedName>
    <definedName name="ONGKOS3" localSheetId="18">#REF!</definedName>
    <definedName name="ONGKOS3" localSheetId="21">#REF!</definedName>
    <definedName name="ONGKOS3" localSheetId="1">#REF!</definedName>
    <definedName name="ONGKOS3" localSheetId="0">#REF!</definedName>
    <definedName name="ONGKOS3" localSheetId="5">#REF!</definedName>
    <definedName name="ONGKOS3" localSheetId="6">#REF!</definedName>
    <definedName name="ONGKOS3" localSheetId="16">#REF!</definedName>
    <definedName name="ONGKOS3" localSheetId="7">#REF!</definedName>
    <definedName name="ONGKOS3">#REF!</definedName>
    <definedName name="ONGKOS4" localSheetId="18">#REF!</definedName>
    <definedName name="ONGKOS4" localSheetId="21">#REF!</definedName>
    <definedName name="ONGKOS4" localSheetId="1">#REF!</definedName>
    <definedName name="ONGKOS4" localSheetId="0">#REF!</definedName>
    <definedName name="ONGKOS4" localSheetId="5">#REF!</definedName>
    <definedName name="ONGKOS4" localSheetId="6">#REF!</definedName>
    <definedName name="ONGKOS4" localSheetId="16">#REF!</definedName>
    <definedName name="ONGKOS4" localSheetId="7">#REF!</definedName>
    <definedName name="ONGKOS4">#REF!</definedName>
    <definedName name="ONGKOS5" localSheetId="18">#REF!</definedName>
    <definedName name="ONGKOS5" localSheetId="21">#REF!</definedName>
    <definedName name="ONGKOS5" localSheetId="1">#REF!</definedName>
    <definedName name="ONGKOS5" localSheetId="0">#REF!</definedName>
    <definedName name="ONGKOS5" localSheetId="5">#REF!</definedName>
    <definedName name="ONGKOS5" localSheetId="6">#REF!</definedName>
    <definedName name="ONGKOS5" localSheetId="16">#REF!</definedName>
    <definedName name="ONGKOS5" localSheetId="7">#REF!</definedName>
    <definedName name="ONGKOS5">#REF!</definedName>
    <definedName name="OPE" localSheetId="21">'[50]UPH &amp; BHN'!#REF!</definedName>
    <definedName name="OPE" localSheetId="1">'[50]UPH &amp; BHN'!#REF!</definedName>
    <definedName name="OPE" localSheetId="0">'[50]UPH &amp; BHN'!#REF!</definedName>
    <definedName name="OPE" localSheetId="5">'[50]UPH &amp; BHN'!#REF!</definedName>
    <definedName name="OPE" localSheetId="6">'[50]UPH &amp; BHN'!#REF!</definedName>
    <definedName name="OPE" localSheetId="16">'[50]UPH &amp; BHN'!#REF!</definedName>
    <definedName name="OPE" localSheetId="7">'[50]UPH &amp; BHN'!#REF!</definedName>
    <definedName name="OPE">'[50]UPH &amp; BHN'!#REF!</definedName>
    <definedName name="OPERATOR" localSheetId="18">#REF!</definedName>
    <definedName name="OPERATOR" localSheetId="21">#REF!</definedName>
    <definedName name="OPERATOR" localSheetId="1">#REF!</definedName>
    <definedName name="OPERATOR" localSheetId="0">#REF!</definedName>
    <definedName name="OPERATOR" localSheetId="5">#REF!</definedName>
    <definedName name="OPERATOR" localSheetId="6">#REF!</definedName>
    <definedName name="OPERATOR" localSheetId="16">#REF!</definedName>
    <definedName name="OPERATOR" localSheetId="7">#REF!</definedName>
    <definedName name="OPERATOR">#REF!</definedName>
    <definedName name="OR">[22]Catatan!$D$5</definedName>
    <definedName name="OST" localSheetId="18">#REF!</definedName>
    <definedName name="OST" localSheetId="21">#REF!</definedName>
    <definedName name="OST" localSheetId="1">#REF!</definedName>
    <definedName name="OST" localSheetId="0">#REF!</definedName>
    <definedName name="OST" localSheetId="5">#REF!</definedName>
    <definedName name="OST" localSheetId="6">#REF!</definedName>
    <definedName name="OST" localSheetId="16">#REF!</definedName>
    <definedName name="OST" localSheetId="7">#REF!</definedName>
    <definedName name="OST">#REF!</definedName>
    <definedName name="p" localSheetId="18">#REF!</definedName>
    <definedName name="p" localSheetId="21">#REF!</definedName>
    <definedName name="p" localSheetId="1">#REF!</definedName>
    <definedName name="p" localSheetId="0">#REF!</definedName>
    <definedName name="p" localSheetId="5">#REF!</definedName>
    <definedName name="p" localSheetId="6">#REF!</definedName>
    <definedName name="p" localSheetId="16">#REF!</definedName>
    <definedName name="p" localSheetId="7">#REF!</definedName>
    <definedName name="p">#REF!</definedName>
    <definedName name="p.bI" localSheetId="18">#REF!</definedName>
    <definedName name="p.bI" localSheetId="11">#REF!</definedName>
    <definedName name="p.bI" localSheetId="10">#REF!</definedName>
    <definedName name="p.bI" localSheetId="21">#REF!</definedName>
    <definedName name="p.bI" localSheetId="12">#REF!</definedName>
    <definedName name="p.bI" localSheetId="1">#REF!</definedName>
    <definedName name="p.bI" localSheetId="0">#REF!</definedName>
    <definedName name="p.bI" localSheetId="14">#REF!</definedName>
    <definedName name="p.bI" localSheetId="5">#REF!</definedName>
    <definedName name="p.bI" localSheetId="6">#REF!</definedName>
    <definedName name="p.bI" localSheetId="16">#REF!</definedName>
    <definedName name="p.bI" localSheetId="7">#REF!</definedName>
    <definedName name="p.bI">#REF!</definedName>
    <definedName name="p.kmp.smrd.3.20" localSheetId="18">#REF!</definedName>
    <definedName name="p.kmp.smrd.3.20" localSheetId="11">#REF!</definedName>
    <definedName name="p.kmp.smrd.3.20" localSheetId="10">#REF!</definedName>
    <definedName name="p.kmp.smrd.3.20" localSheetId="21">#REF!</definedName>
    <definedName name="p.kmp.smrd.3.20" localSheetId="12">#REF!</definedName>
    <definedName name="p.kmp.smrd.3.20" localSheetId="1">#REF!</definedName>
    <definedName name="p.kmp.smrd.3.20" localSheetId="0">#REF!</definedName>
    <definedName name="p.kmp.smrd.3.20" localSheetId="14">#REF!</definedName>
    <definedName name="p.kmp.smrd.3.20" localSheetId="5">#REF!</definedName>
    <definedName name="p.kmp.smrd.3.20" localSheetId="6">#REF!</definedName>
    <definedName name="p.kmp.smrd.3.20" localSheetId="16">#REF!</definedName>
    <definedName name="p.kmp.smrd.3.20" localSheetId="7">#REF!</definedName>
    <definedName name="p.kmp.smrd.3.20">#REF!</definedName>
    <definedName name="p.triplek" localSheetId="18">#REF!</definedName>
    <definedName name="p.triplek" localSheetId="11">#REF!</definedName>
    <definedName name="p.triplek" localSheetId="10">#REF!</definedName>
    <definedName name="p.triplek" localSheetId="21">#REF!</definedName>
    <definedName name="p.triplek" localSheetId="12">#REF!</definedName>
    <definedName name="p.triplek" localSheetId="1">#REF!</definedName>
    <definedName name="p.triplek" localSheetId="0">#REF!</definedName>
    <definedName name="p.triplek" localSheetId="14">#REF!</definedName>
    <definedName name="p.triplek" localSheetId="5">#REF!</definedName>
    <definedName name="p.triplek" localSheetId="6">#REF!</definedName>
    <definedName name="p.triplek" localSheetId="16">#REF!</definedName>
    <definedName name="p.triplek" localSheetId="7">#REF!</definedName>
    <definedName name="p.triplek">#REF!</definedName>
    <definedName name="pa" localSheetId="18">#REF!</definedName>
    <definedName name="pa" localSheetId="11">#REF!</definedName>
    <definedName name="pa" localSheetId="10">#REF!</definedName>
    <definedName name="pa" localSheetId="21">#REF!</definedName>
    <definedName name="pa" localSheetId="12">#REF!</definedName>
    <definedName name="pa" localSheetId="1">#REF!</definedName>
    <definedName name="pa" localSheetId="0">#REF!</definedName>
    <definedName name="pa" localSheetId="14">#REF!</definedName>
    <definedName name="pa" localSheetId="5">#REF!</definedName>
    <definedName name="pa" localSheetId="6">#REF!</definedName>
    <definedName name="pa" localSheetId="16">#REF!</definedName>
    <definedName name="pa" localSheetId="7">#REF!</definedName>
    <definedName name="pa">#REF!</definedName>
    <definedName name="Padat" localSheetId="21">[26]Analisa!#REF!</definedName>
    <definedName name="Padat" localSheetId="1">[26]Analisa!#REF!</definedName>
    <definedName name="Padat" localSheetId="0">[26]Analisa!#REF!</definedName>
    <definedName name="Padat" localSheetId="5">[26]Analisa!#REF!</definedName>
    <definedName name="Padat" localSheetId="6">[26]Analisa!#REF!</definedName>
    <definedName name="Padat" localSheetId="16">[26]Analisa!#REF!</definedName>
    <definedName name="Padat" localSheetId="7">[26]Analisa!#REF!</definedName>
    <definedName name="Padat">[26]Analisa!#REF!</definedName>
    <definedName name="pajak1" localSheetId="21">'[15]R-MP2-98'!#REF!</definedName>
    <definedName name="pajak1" localSheetId="1">'[15]R-MP2-98'!#REF!</definedName>
    <definedName name="pajak1" localSheetId="0">'[15]R-MP2-98'!#REF!</definedName>
    <definedName name="pajak1" localSheetId="5">'[15]R-MP2-98'!#REF!</definedName>
    <definedName name="pajak1" localSheetId="6">'[15]R-MP2-98'!#REF!</definedName>
    <definedName name="pajak1" localSheetId="16">'[15]R-MP2-98'!#REF!</definedName>
    <definedName name="pajak1" localSheetId="7">'[15]R-MP2-98'!#REF!</definedName>
    <definedName name="pajak1">'[15]R-MP2-98'!#REF!</definedName>
    <definedName name="pajak2" localSheetId="21">'[15]R-MP2-98'!#REF!</definedName>
    <definedName name="pajak2" localSheetId="1">'[15]R-MP2-98'!#REF!</definedName>
    <definedName name="pajak2" localSheetId="0">'[15]R-MP2-98'!#REF!</definedName>
    <definedName name="pajak2" localSheetId="5">'[15]R-MP2-98'!#REF!</definedName>
    <definedName name="pajak2" localSheetId="6">'[15]R-MP2-98'!#REF!</definedName>
    <definedName name="pajak2" localSheetId="16">'[15]R-MP2-98'!#REF!</definedName>
    <definedName name="pajak2" localSheetId="7">'[15]R-MP2-98'!#REF!</definedName>
    <definedName name="pajak2">'[15]R-MP2-98'!#REF!</definedName>
    <definedName name="pajak3" localSheetId="21">'[15]R-MP2-98'!#REF!</definedName>
    <definedName name="pajak3" localSheetId="1">'[15]R-MP2-98'!#REF!</definedName>
    <definedName name="pajak3" localSheetId="0">'[15]R-MP2-98'!#REF!</definedName>
    <definedName name="pajak3" localSheetId="5">'[15]R-MP2-98'!#REF!</definedName>
    <definedName name="pajak3" localSheetId="6">'[15]R-MP2-98'!#REF!</definedName>
    <definedName name="pajak3" localSheetId="16">'[15]R-MP2-98'!#REF!</definedName>
    <definedName name="pajak3" localSheetId="7">'[15]R-MP2-98'!#REF!</definedName>
    <definedName name="pajak3">'[15]R-MP2-98'!#REF!</definedName>
    <definedName name="pajak4" localSheetId="21">'[15]R-MP2-98'!#REF!</definedName>
    <definedName name="pajak4" localSheetId="1">'[15]R-MP2-98'!#REF!</definedName>
    <definedName name="pajak4" localSheetId="0">'[15]R-MP2-98'!#REF!</definedName>
    <definedName name="pajak4" localSheetId="5">'[15]R-MP2-98'!#REF!</definedName>
    <definedName name="pajak4" localSheetId="6">'[15]R-MP2-98'!#REF!</definedName>
    <definedName name="pajak4" localSheetId="16">'[15]R-MP2-98'!#REF!</definedName>
    <definedName name="pajak4" localSheetId="7">'[15]R-MP2-98'!#REF!</definedName>
    <definedName name="pajak4">'[15]R-MP2-98'!#REF!</definedName>
    <definedName name="pajak5" localSheetId="21">'[15]R-MP2-98'!#REF!</definedName>
    <definedName name="pajak5" localSheetId="1">'[15]R-MP2-98'!#REF!</definedName>
    <definedName name="pajak5" localSheetId="0">'[15]R-MP2-98'!#REF!</definedName>
    <definedName name="pajak5" localSheetId="5">'[15]R-MP2-98'!#REF!</definedName>
    <definedName name="pajak5" localSheetId="6">'[15]R-MP2-98'!#REF!</definedName>
    <definedName name="pajak5" localSheetId="16">'[15]R-MP2-98'!#REF!</definedName>
    <definedName name="pajak5" localSheetId="7">'[15]R-MP2-98'!#REF!</definedName>
    <definedName name="pajak5">'[15]R-MP2-98'!#REF!</definedName>
    <definedName name="pajak6" localSheetId="21">'[15]R-MP2-98'!#REF!</definedName>
    <definedName name="pajak6" localSheetId="1">'[15]R-MP2-98'!#REF!</definedName>
    <definedName name="pajak6" localSheetId="0">'[15]R-MP2-98'!#REF!</definedName>
    <definedName name="pajak6" localSheetId="5">'[15]R-MP2-98'!#REF!</definedName>
    <definedName name="pajak6" localSheetId="6">'[15]R-MP2-98'!#REF!</definedName>
    <definedName name="pajak6" localSheetId="16">'[15]R-MP2-98'!#REF!</definedName>
    <definedName name="pajak6" localSheetId="7">'[15]R-MP2-98'!#REF!</definedName>
    <definedName name="pajak6">'[15]R-MP2-98'!#REF!</definedName>
    <definedName name="paket">[47]rekap!$J$10</definedName>
    <definedName name="paku" localSheetId="18">#REF!</definedName>
    <definedName name="paku" localSheetId="10">#REF!</definedName>
    <definedName name="paku" localSheetId="21">#REF!</definedName>
    <definedName name="paku" localSheetId="1">#REF!</definedName>
    <definedName name="paku" localSheetId="0">#REF!</definedName>
    <definedName name="paku" localSheetId="5">#REF!</definedName>
    <definedName name="paku" localSheetId="6">#REF!</definedName>
    <definedName name="paku" localSheetId="16">#REF!</definedName>
    <definedName name="paku" localSheetId="7">#REF!</definedName>
    <definedName name="paku">#REF!</definedName>
    <definedName name="paku5.7.10" localSheetId="18">#REF!</definedName>
    <definedName name="paku5.7.10" localSheetId="11">#REF!</definedName>
    <definedName name="paku5.7.10" localSheetId="10">#REF!</definedName>
    <definedName name="paku5.7.10" localSheetId="21">#REF!</definedName>
    <definedName name="paku5.7.10" localSheetId="12">#REF!</definedName>
    <definedName name="paku5.7.10" localSheetId="1">#REF!</definedName>
    <definedName name="paku5.7.10" localSheetId="0">#REF!</definedName>
    <definedName name="paku5.7.10" localSheetId="14">#REF!</definedName>
    <definedName name="paku5.7.10" localSheetId="5">#REF!</definedName>
    <definedName name="paku5.7.10" localSheetId="6">#REF!</definedName>
    <definedName name="paku5.7.10" localSheetId="16">#REF!</definedName>
    <definedName name="paku5.7.10" localSheetId="7">#REF!</definedName>
    <definedName name="paku5.7.10">#REF!</definedName>
    <definedName name="pakuasbes" localSheetId="18">[24]cover!#REF!</definedName>
    <definedName name="pakuasbes" localSheetId="10">[24]cover!#REF!</definedName>
    <definedName name="pakuasbes" localSheetId="21">[24]cover!#REF!</definedName>
    <definedName name="pakuasbes" localSheetId="1">[24]cover!#REF!</definedName>
    <definedName name="pakuasbes" localSheetId="0">[24]cover!#REF!</definedName>
    <definedName name="pakuasbes" localSheetId="5">[24]cover!#REF!</definedName>
    <definedName name="pakuasbes" localSheetId="6">[24]cover!#REF!</definedName>
    <definedName name="pakuasbes" localSheetId="16">[24]cover!#REF!</definedName>
    <definedName name="pakuasbes" localSheetId="7">[24]cover!#REF!</definedName>
    <definedName name="pakuasbes">[24]cover!#REF!</definedName>
    <definedName name="pakuonduline" localSheetId="18">[24]cover!#REF!</definedName>
    <definedName name="pakuonduline" localSheetId="10">[24]cover!#REF!</definedName>
    <definedName name="pakuonduline" localSheetId="21">[24]cover!#REF!</definedName>
    <definedName name="pakuonduline" localSheetId="1">[24]cover!#REF!</definedName>
    <definedName name="pakuonduline" localSheetId="0">[24]cover!#REF!</definedName>
    <definedName name="pakuonduline" localSheetId="5">[24]cover!#REF!</definedName>
    <definedName name="pakuonduline" localSheetId="6">[24]cover!#REF!</definedName>
    <definedName name="pakuonduline" localSheetId="16">[24]cover!#REF!</definedName>
    <definedName name="pakuonduline" localSheetId="7">[24]cover!#REF!</definedName>
    <definedName name="pakuonduline">[24]cover!#REF!</definedName>
    <definedName name="Pakuseng" localSheetId="21">'[26]Daftar Harga'!#REF!</definedName>
    <definedName name="Pakuseng" localSheetId="1">'[26]Daftar Harga'!#REF!</definedName>
    <definedName name="Pakuseng" localSheetId="0">'[26]Daftar Harga'!#REF!</definedName>
    <definedName name="Pakuseng" localSheetId="5">'[26]Daftar Harga'!#REF!</definedName>
    <definedName name="Pakuseng" localSheetId="6">'[26]Daftar Harga'!#REF!</definedName>
    <definedName name="Pakuseng" localSheetId="16">'[26]Daftar Harga'!#REF!</definedName>
    <definedName name="Pakuseng" localSheetId="7">'[26]Daftar Harga'!#REF!</definedName>
    <definedName name="Pakuseng">'[26]Daftar Harga'!#REF!</definedName>
    <definedName name="pan" localSheetId="18">#REF!</definedName>
    <definedName name="pan" localSheetId="21">#REF!</definedName>
    <definedName name="pan" localSheetId="1">#REF!</definedName>
    <definedName name="pan" localSheetId="0">#REF!</definedName>
    <definedName name="pan" localSheetId="5">#REF!</definedName>
    <definedName name="pan" localSheetId="6">#REF!</definedName>
    <definedName name="pan" localSheetId="16">#REF!</definedName>
    <definedName name="pan" localSheetId="7">#REF!</definedName>
    <definedName name="pan">#REF!</definedName>
    <definedName name="pancang" localSheetId="21">#REF!</definedName>
    <definedName name="pancang" localSheetId="1">#REF!</definedName>
    <definedName name="pancang" localSheetId="0">#REF!</definedName>
    <definedName name="pancang" localSheetId="5">#REF!</definedName>
    <definedName name="pancang" localSheetId="6">#REF!</definedName>
    <definedName name="pancang" localSheetId="16">#REF!</definedName>
    <definedName name="pancang" localSheetId="7">#REF!</definedName>
    <definedName name="pancang">#REF!</definedName>
    <definedName name="Panitia" localSheetId="21">#REF!</definedName>
    <definedName name="Panitia" localSheetId="1">#REF!</definedName>
    <definedName name="Panitia" localSheetId="0">#REF!</definedName>
    <definedName name="Panitia" localSheetId="5">#REF!</definedName>
    <definedName name="Panitia" localSheetId="6">#REF!</definedName>
    <definedName name="Panitia" localSheetId="16">#REF!</definedName>
    <definedName name="Panitia" localSheetId="7">#REF!</definedName>
    <definedName name="Panitia">#REF!</definedName>
    <definedName name="Papan" localSheetId="21">'[10]Daf HrG'!#REF!</definedName>
    <definedName name="Papan" localSheetId="1">'[10]Daf HrG'!#REF!</definedName>
    <definedName name="Papan" localSheetId="0">'[10]Daf HrG'!#REF!</definedName>
    <definedName name="Papan" localSheetId="5">'[10]Daf HrG'!#REF!</definedName>
    <definedName name="Papan" localSheetId="6">'[10]Daf HrG'!#REF!</definedName>
    <definedName name="Papan" localSheetId="16">'[10]Daf HrG'!#REF!</definedName>
    <definedName name="Papan" localSheetId="7">'[10]Daf HrG'!#REF!</definedName>
    <definedName name="Papan">'[10]Daf HrG'!#REF!</definedName>
    <definedName name="papan.m.3.20" localSheetId="18">#REF!</definedName>
    <definedName name="papan.m.3.20" localSheetId="11">#REF!</definedName>
    <definedName name="papan.m.3.20" localSheetId="10">#REF!</definedName>
    <definedName name="papan.m.3.20" localSheetId="21">#REF!</definedName>
    <definedName name="papan.m.3.20" localSheetId="12">#REF!</definedName>
    <definedName name="papan.m.3.20" localSheetId="1">#REF!</definedName>
    <definedName name="papan.m.3.20" localSheetId="0">#REF!</definedName>
    <definedName name="papan.m.3.20" localSheetId="14">#REF!</definedName>
    <definedName name="papan.m.3.20" localSheetId="5">#REF!</definedName>
    <definedName name="papan.m.3.20" localSheetId="6">#REF!</definedName>
    <definedName name="papan.m.3.20" localSheetId="16">#REF!</definedName>
    <definedName name="papan.m.3.20" localSheetId="7">#REF!</definedName>
    <definedName name="papan.m.3.20">#REF!</definedName>
    <definedName name="Pas" localSheetId="18">#REF!</definedName>
    <definedName name="Pas" localSheetId="21">#REF!</definedName>
    <definedName name="Pas" localSheetId="1">#REF!</definedName>
    <definedName name="Pas" localSheetId="0">#REF!</definedName>
    <definedName name="Pas" localSheetId="5">#REF!</definedName>
    <definedName name="Pas" localSheetId="6">#REF!</definedName>
    <definedName name="Pas" localSheetId="16">#REF!</definedName>
    <definedName name="Pas" localSheetId="7">#REF!</definedName>
    <definedName name="Pas">#REF!</definedName>
    <definedName name="pasang" localSheetId="21">'[41]UPH &amp; BHN'!#REF!</definedName>
    <definedName name="pasang" localSheetId="1">'[41]UPH &amp; BHN'!#REF!</definedName>
    <definedName name="pasang" localSheetId="0">'[41]UPH &amp; BHN'!#REF!</definedName>
    <definedName name="pasang" localSheetId="5">'[41]UPH &amp; BHN'!#REF!</definedName>
    <definedName name="pasang" localSheetId="6">'[41]UPH &amp; BHN'!#REF!</definedName>
    <definedName name="pasang" localSheetId="16">'[41]UPH &amp; BHN'!#REF!</definedName>
    <definedName name="pasang" localSheetId="7">'[41]UPH &amp; BHN'!#REF!</definedName>
    <definedName name="pasang">'[41]UPH &amp; BHN'!#REF!</definedName>
    <definedName name="pasanganbatu">'[38]DRUP (ASLI)'!$I$801</definedName>
    <definedName name="Pasbatu" localSheetId="21">[10]HSP!#REF!</definedName>
    <definedName name="Pasbatu" localSheetId="1">[10]HSP!#REF!</definedName>
    <definedName name="Pasbatu" localSheetId="0">[10]HSP!#REF!</definedName>
    <definedName name="Pasbatu" localSheetId="5">[10]HSP!#REF!</definedName>
    <definedName name="Pasbatu" localSheetId="6">[10]HSP!#REF!</definedName>
    <definedName name="Pasbatu" localSheetId="16">[10]HSP!#REF!</definedName>
    <definedName name="Pasbatu" localSheetId="7">[10]HSP!#REF!</definedName>
    <definedName name="Pasbatu">[10]HSP!#REF!</definedName>
    <definedName name="pasir" localSheetId="18">#REF!</definedName>
    <definedName name="pasir" localSheetId="21">#REF!</definedName>
    <definedName name="pasir" localSheetId="1">#REF!</definedName>
    <definedName name="pasir" localSheetId="0">#REF!</definedName>
    <definedName name="pasir" localSheetId="5">#REF!</definedName>
    <definedName name="pasir" localSheetId="6">#REF!</definedName>
    <definedName name="pasir" localSheetId="16">#REF!</definedName>
    <definedName name="pasir" localSheetId="7">#REF!</definedName>
    <definedName name="pasir">#REF!</definedName>
    <definedName name="pasirayakkasar" localSheetId="18">#REF!</definedName>
    <definedName name="pasirayakkasar" localSheetId="21">#REF!</definedName>
    <definedName name="pasirayakkasar" localSheetId="1">#REF!</definedName>
    <definedName name="pasirayakkasar" localSheetId="0">#REF!</definedName>
    <definedName name="pasirayakkasar" localSheetId="5">#REF!</definedName>
    <definedName name="pasirayakkasar" localSheetId="6">#REF!</definedName>
    <definedName name="pasirayakkasar" localSheetId="16">#REF!</definedName>
    <definedName name="pasirayakkasar" localSheetId="7">#REF!</definedName>
    <definedName name="pasirayakkasar">#REF!</definedName>
    <definedName name="PASIRURUG" localSheetId="18">[19]Quarry!#REF!</definedName>
    <definedName name="PASIRURUG" localSheetId="10">[19]Quarry!#REF!</definedName>
    <definedName name="PASIRURUG" localSheetId="21">[19]Quarry!#REF!</definedName>
    <definedName name="PASIRURUG" localSheetId="1">[19]Quarry!#REF!</definedName>
    <definedName name="PASIRURUG" localSheetId="0">[19]Quarry!#REF!</definedName>
    <definedName name="PASIRURUG" localSheetId="5">[19]Quarry!#REF!</definedName>
    <definedName name="PASIRURUG" localSheetId="6">[19]Quarry!#REF!</definedName>
    <definedName name="PASIRURUG" localSheetId="16">[19]Quarry!#REF!</definedName>
    <definedName name="PASIRURUG" localSheetId="7">[19]Quarry!#REF!</definedName>
    <definedName name="PASIRURUG">[19]Quarry!#REF!</definedName>
    <definedName name="PB">[35]Rkp!$K$25</definedName>
    <definedName name="pbp" localSheetId="18">#REF!</definedName>
    <definedName name="pbp" localSheetId="21">#REF!</definedName>
    <definedName name="pbp" localSheetId="1">#REF!</definedName>
    <definedName name="pbp" localSheetId="0">#REF!</definedName>
    <definedName name="pbp" localSheetId="5">#REF!</definedName>
    <definedName name="pbp" localSheetId="6">#REF!</definedName>
    <definedName name="pbp" localSheetId="16">#REF!</definedName>
    <definedName name="pbp" localSheetId="7">#REF!</definedName>
    <definedName name="pbp">#REF!</definedName>
    <definedName name="PBT" localSheetId="21">[10]HSP!#REF!</definedName>
    <definedName name="PBT" localSheetId="1">[10]HSP!#REF!</definedName>
    <definedName name="PBT" localSheetId="0">[10]HSP!#REF!</definedName>
    <definedName name="PBT" localSheetId="5">[10]HSP!#REF!</definedName>
    <definedName name="PBT" localSheetId="6">[10]HSP!#REF!</definedName>
    <definedName name="PBT" localSheetId="16">[10]HSP!#REF!</definedName>
    <definedName name="PBT" localSheetId="7">[10]HSP!#REF!</definedName>
    <definedName name="PBT">[10]HSP!#REF!</definedName>
    <definedName name="PE">[51]PE!$B$8:$J$144</definedName>
    <definedName name="PEDESTRIANROLLER" localSheetId="21">[7]Peralatan!#REF!</definedName>
    <definedName name="PEDESTRIANROLLER" localSheetId="1">[7]Peralatan!#REF!</definedName>
    <definedName name="PEDESTRIANROLLER" localSheetId="0">[7]Peralatan!#REF!</definedName>
    <definedName name="PEDESTRIANROLLER" localSheetId="5">[7]Peralatan!#REF!</definedName>
    <definedName name="PEDESTRIANROLLER" localSheetId="6">[7]Peralatan!#REF!</definedName>
    <definedName name="PEDESTRIANROLLER" localSheetId="16">[7]Peralatan!#REF!</definedName>
    <definedName name="PEDESTRIANROLLER" localSheetId="7">[7]Peralatan!#REF!</definedName>
    <definedName name="PEDESTRIANROLLER">[7]Peralatan!#REF!</definedName>
    <definedName name="pegal">'[13]Upah&amp;Bahan'!$C$42</definedName>
    <definedName name="pek" localSheetId="21">#REF!</definedName>
    <definedName name="pek" localSheetId="1">#REF!</definedName>
    <definedName name="pek" localSheetId="0">#REF!</definedName>
    <definedName name="pek" localSheetId="5">#REF!</definedName>
    <definedName name="pek" localSheetId="6">#REF!</definedName>
    <definedName name="pek" localSheetId="16">#REF!</definedName>
    <definedName name="pek" localSheetId="7">#REF!</definedName>
    <definedName name="pek">#REF!</definedName>
    <definedName name="pekeja" localSheetId="21">#REF!</definedName>
    <definedName name="pekeja" localSheetId="1">#REF!</definedName>
    <definedName name="pekeja" localSheetId="0">#REF!</definedName>
    <definedName name="pekeja" localSheetId="5">#REF!</definedName>
    <definedName name="pekeja" localSheetId="6">#REF!</definedName>
    <definedName name="pekeja" localSheetId="16">#REF!</definedName>
    <definedName name="pekeja" localSheetId="7">#REF!</definedName>
    <definedName name="pekeja">#REF!</definedName>
    <definedName name="PEKERJA" localSheetId="11">'[33]Harga Bahan'!$H$149</definedName>
    <definedName name="PEKERJA" localSheetId="12">'[33]Harga Bahan'!$H$149</definedName>
    <definedName name="PEKERJA" localSheetId="14">'[33]Harga Bahan'!$H$149</definedName>
    <definedName name="PEKERJA">'[33]Harga Bahan'!$H$149</definedName>
    <definedName name="PELUMAS" localSheetId="18">#REF!</definedName>
    <definedName name="PELUMAS" localSheetId="21">#REF!</definedName>
    <definedName name="PELUMAS" localSheetId="1">#REF!</definedName>
    <definedName name="PELUMAS" localSheetId="0">#REF!</definedName>
    <definedName name="PELUMAS" localSheetId="5">#REF!</definedName>
    <definedName name="PELUMAS" localSheetId="6">#REF!</definedName>
    <definedName name="PELUMAS" localSheetId="16">#REF!</definedName>
    <definedName name="PELUMAS" localSheetId="7">#REF!</definedName>
    <definedName name="PELUMAS">#REF!</definedName>
    <definedName name="pemadatan" localSheetId="21">#REF!</definedName>
    <definedName name="pemadatan" localSheetId="1">#REF!</definedName>
    <definedName name="pemadatan" localSheetId="0">#REF!</definedName>
    <definedName name="pemadatan" localSheetId="5">#REF!</definedName>
    <definedName name="pemadatan" localSheetId="6">#REF!</definedName>
    <definedName name="pemadatan" localSheetId="16">#REF!</definedName>
    <definedName name="pemadatan" localSheetId="7">#REF!</definedName>
    <definedName name="pemadatan">#REF!</definedName>
    <definedName name="Pemancangan">[26]Analisa!$I$168</definedName>
    <definedName name="pembersihan" localSheetId="18">[25]Analisis!#REF!</definedName>
    <definedName name="pembersihan" localSheetId="10">[25]Analisis!#REF!</definedName>
    <definedName name="pembersihan" localSheetId="21">[25]Analisis!#REF!</definedName>
    <definedName name="pembersihan" localSheetId="1">[25]Analisis!#REF!</definedName>
    <definedName name="pembersihan" localSheetId="0">[25]Analisis!#REF!</definedName>
    <definedName name="pembersihan" localSheetId="5">[25]Analisis!#REF!</definedName>
    <definedName name="pembersihan" localSheetId="6">[25]Analisis!#REF!</definedName>
    <definedName name="pembersihan" localSheetId="16">[25]Analisis!#REF!</definedName>
    <definedName name="pembersihan" localSheetId="7">[25]Analisis!#REF!</definedName>
    <definedName name="pembersihan">[25]Analisis!#REF!</definedName>
    <definedName name="pembesian" localSheetId="21">[29]ANALISA!#REF!</definedName>
    <definedName name="pembesian" localSheetId="1">[29]ANALISA!#REF!</definedName>
    <definedName name="pembesian" localSheetId="0">[29]ANALISA!#REF!</definedName>
    <definedName name="pembesian" localSheetId="5">[29]ANALISA!#REF!</definedName>
    <definedName name="pembesian" localSheetId="6">[29]ANALISA!#REF!</definedName>
    <definedName name="pembesian" localSheetId="16">[29]ANALISA!#REF!</definedName>
    <definedName name="pembesian" localSheetId="7">[29]ANALISA!#REF!</definedName>
    <definedName name="pembesian">[29]ANALISA!#REF!</definedName>
    <definedName name="Penawar" localSheetId="21">#REF!</definedName>
    <definedName name="Penawar" localSheetId="1">#REF!</definedName>
    <definedName name="Penawar" localSheetId="0">#REF!</definedName>
    <definedName name="Penawar" localSheetId="5">#REF!</definedName>
    <definedName name="Penawar" localSheetId="6">#REF!</definedName>
    <definedName name="Penawar" localSheetId="16">#REF!</definedName>
    <definedName name="Penawar" localSheetId="7">#REF!</definedName>
    <definedName name="Penawar">#REF!</definedName>
    <definedName name="pengadaan">'[52]UPH BHN'!$I$25</definedName>
    <definedName name="Pengelola" localSheetId="21">#REF!</definedName>
    <definedName name="Pengelola" localSheetId="1">#REF!</definedName>
    <definedName name="Pengelola" localSheetId="0">#REF!</definedName>
    <definedName name="Pengelola" localSheetId="5">#REF!</definedName>
    <definedName name="Pengelola" localSheetId="6">#REF!</definedName>
    <definedName name="Pengelola" localSheetId="16">#REF!</definedName>
    <definedName name="Pengelola" localSheetId="7">#REF!</definedName>
    <definedName name="Pengelola">#REF!</definedName>
    <definedName name="Pengeringan" localSheetId="21">[10]HSP!#REF!</definedName>
    <definedName name="Pengeringan" localSheetId="1">[10]HSP!#REF!</definedName>
    <definedName name="Pengeringan" localSheetId="0">[10]HSP!#REF!</definedName>
    <definedName name="Pengeringan" localSheetId="5">[10]HSP!#REF!</definedName>
    <definedName name="Pengeringan" localSheetId="6">[10]HSP!#REF!</definedName>
    <definedName name="Pengeringan" localSheetId="16">[10]HSP!#REF!</definedName>
    <definedName name="Pengeringan" localSheetId="7">[10]HSP!#REF!</definedName>
    <definedName name="Pengeringan">[10]HSP!#REF!</definedName>
    <definedName name="Pengesahan." localSheetId="18">#REF!</definedName>
    <definedName name="Pengesahan." localSheetId="10">#REF!</definedName>
    <definedName name="Pengesahan." localSheetId="21">#REF!</definedName>
    <definedName name="Pengesahan." localSheetId="1">#REF!</definedName>
    <definedName name="Pengesahan." localSheetId="0">#REF!</definedName>
    <definedName name="Pengesahan." localSheetId="5">#REF!</definedName>
    <definedName name="Pengesahan." localSheetId="6">#REF!</definedName>
    <definedName name="Pengesahan." localSheetId="16">#REF!</definedName>
    <definedName name="Pengesahan." localSheetId="7">#REF!</definedName>
    <definedName name="Pengesahan.">#REF!</definedName>
    <definedName name="penghampar" localSheetId="18">#REF!</definedName>
    <definedName name="penghampar" localSheetId="21">#REF!</definedName>
    <definedName name="penghampar" localSheetId="1">#REF!</definedName>
    <definedName name="penghampar" localSheetId="0">#REF!</definedName>
    <definedName name="penghampar" localSheetId="5">#REF!</definedName>
    <definedName name="penghampar" localSheetId="6">#REF!</definedName>
    <definedName name="penghampar" localSheetId="16">#REF!</definedName>
    <definedName name="penghampar" localSheetId="7">#REF!</definedName>
    <definedName name="penghampar">#REF!</definedName>
    <definedName name="Pengukuran" localSheetId="21">[10]HSP!#REF!</definedName>
    <definedName name="Pengukuran" localSheetId="1">[10]HSP!#REF!</definedName>
    <definedName name="Pengukuran" localSheetId="0">[10]HSP!#REF!</definedName>
    <definedName name="Pengukuran" localSheetId="5">[10]HSP!#REF!</definedName>
    <definedName name="Pengukuran" localSheetId="6">[10]HSP!#REF!</definedName>
    <definedName name="Pengukuran" localSheetId="16">[10]HSP!#REF!</definedName>
    <definedName name="Pengukuran" localSheetId="7">[10]HSP!#REF!</definedName>
    <definedName name="Pengukuran">[10]HSP!#REF!</definedName>
    <definedName name="penyaring" localSheetId="18">#REF!</definedName>
    <definedName name="penyaring" localSheetId="21">#REF!</definedName>
    <definedName name="penyaring" localSheetId="1">#REF!</definedName>
    <definedName name="penyaring" localSheetId="0">#REF!</definedName>
    <definedName name="penyaring" localSheetId="5">#REF!</definedName>
    <definedName name="penyaring" localSheetId="6">#REF!</definedName>
    <definedName name="penyaring" localSheetId="16">#REF!</definedName>
    <definedName name="penyaring" localSheetId="7">#REF!</definedName>
    <definedName name="penyaring">#REF!</definedName>
    <definedName name="penyemprot1000" localSheetId="18">#REF!</definedName>
    <definedName name="penyemprot1000" localSheetId="21">#REF!</definedName>
    <definedName name="penyemprot1000" localSheetId="1">#REF!</definedName>
    <definedName name="penyemprot1000" localSheetId="0">#REF!</definedName>
    <definedName name="penyemprot1000" localSheetId="5">#REF!</definedName>
    <definedName name="penyemprot1000" localSheetId="6">#REF!</definedName>
    <definedName name="penyemprot1000" localSheetId="16">#REF!</definedName>
    <definedName name="penyemprot1000" localSheetId="7">#REF!</definedName>
    <definedName name="penyemprot1000">#REF!</definedName>
    <definedName name="perancah" localSheetId="18">#REF!</definedName>
    <definedName name="perancah" localSheetId="10">#REF!</definedName>
    <definedName name="perancah" localSheetId="21">#REF!</definedName>
    <definedName name="perancah" localSheetId="1">#REF!</definedName>
    <definedName name="perancah" localSheetId="0">#REF!</definedName>
    <definedName name="perancah" localSheetId="5">#REF!</definedName>
    <definedName name="perancah" localSheetId="6">#REF!</definedName>
    <definedName name="perancah" localSheetId="16">#REF!</definedName>
    <definedName name="perancah" localSheetId="7">#REF!</definedName>
    <definedName name="perancah">#REF!</definedName>
    <definedName name="pers">[35]Catatan!$D$4</definedName>
    <definedName name="PERSEN1" localSheetId="21">#REF!</definedName>
    <definedName name="PERSEN1" localSheetId="1">#REF!</definedName>
    <definedName name="PERSEN1" localSheetId="0">#REF!</definedName>
    <definedName name="PERSEN1" localSheetId="5">#REF!</definedName>
    <definedName name="PERSEN1" localSheetId="6">#REF!</definedName>
    <definedName name="PERSEN1" localSheetId="16">#REF!</definedName>
    <definedName name="PERSEN1" localSheetId="7">#REF!</definedName>
    <definedName name="PERSEN1">#REF!</definedName>
    <definedName name="PERSEN10" localSheetId="21">#REF!</definedName>
    <definedName name="PERSEN10" localSheetId="1">#REF!</definedName>
    <definedName name="PERSEN10" localSheetId="0">#REF!</definedName>
    <definedName name="PERSEN10" localSheetId="5">#REF!</definedName>
    <definedName name="PERSEN10" localSheetId="6">#REF!</definedName>
    <definedName name="PERSEN10" localSheetId="16">#REF!</definedName>
    <definedName name="PERSEN10" localSheetId="7">#REF!</definedName>
    <definedName name="PERSEN10">#REF!</definedName>
    <definedName name="PERSEN2" localSheetId="21">#REF!</definedName>
    <definedName name="PERSEN2" localSheetId="1">#REF!</definedName>
    <definedName name="PERSEN2" localSheetId="0">#REF!</definedName>
    <definedName name="PERSEN2" localSheetId="5">#REF!</definedName>
    <definedName name="PERSEN2" localSheetId="6">#REF!</definedName>
    <definedName name="PERSEN2" localSheetId="16">#REF!</definedName>
    <definedName name="PERSEN2" localSheetId="7">#REF!</definedName>
    <definedName name="PERSEN2">#REF!</definedName>
    <definedName name="PERSEN3" localSheetId="21">#REF!</definedName>
    <definedName name="PERSEN3" localSheetId="1">#REF!</definedName>
    <definedName name="PERSEN3" localSheetId="0">#REF!</definedName>
    <definedName name="PERSEN3" localSheetId="5">#REF!</definedName>
    <definedName name="PERSEN3" localSheetId="6">#REF!</definedName>
    <definedName name="PERSEN3" localSheetId="16">#REF!</definedName>
    <definedName name="PERSEN3" localSheetId="7">#REF!</definedName>
    <definedName name="PERSEN3">#REF!</definedName>
    <definedName name="PERSEN7" localSheetId="21">#REF!</definedName>
    <definedName name="PERSEN7" localSheetId="1">#REF!</definedName>
    <definedName name="PERSEN7" localSheetId="0">#REF!</definedName>
    <definedName name="PERSEN7" localSheetId="5">#REF!</definedName>
    <definedName name="PERSEN7" localSheetId="6">#REF!</definedName>
    <definedName name="PERSEN7" localSheetId="16">#REF!</definedName>
    <definedName name="PERSEN7" localSheetId="7">#REF!</definedName>
    <definedName name="PERSEN7">#REF!</definedName>
    <definedName name="PF8A" localSheetId="21">#REF!</definedName>
    <definedName name="PF8A" localSheetId="1">#REF!</definedName>
    <definedName name="PF8A" localSheetId="0">#REF!</definedName>
    <definedName name="PF8A" localSheetId="5">#REF!</definedName>
    <definedName name="PF8A" localSheetId="6">#REF!</definedName>
    <definedName name="PF8A" localSheetId="16">#REF!</definedName>
    <definedName name="PF8A" localSheetId="7">#REF!</definedName>
    <definedName name="PF8A">#REF!</definedName>
    <definedName name="PF8B" localSheetId="21">#REF!</definedName>
    <definedName name="PF8B" localSheetId="1">#REF!</definedName>
    <definedName name="PF8B" localSheetId="0">#REF!</definedName>
    <definedName name="PF8B" localSheetId="5">#REF!</definedName>
    <definedName name="PF8B" localSheetId="6">#REF!</definedName>
    <definedName name="PF8B" localSheetId="16">#REF!</definedName>
    <definedName name="PF8B" localSheetId="7">#REF!</definedName>
    <definedName name="PF8B">#REF!</definedName>
    <definedName name="PG43B">'[17]ANALISA (2)'!$Q$1754</definedName>
    <definedName name="PG50H">'[17]ANALISA (2)'!$Q$1816</definedName>
    <definedName name="PI2A" localSheetId="21">#REF!</definedName>
    <definedName name="PI2A" localSheetId="1">#REF!</definedName>
    <definedName name="PI2A" localSheetId="0">#REF!</definedName>
    <definedName name="PI2A" localSheetId="5">#REF!</definedName>
    <definedName name="PI2A" localSheetId="6">#REF!</definedName>
    <definedName name="PI2A" localSheetId="16">#REF!</definedName>
    <definedName name="PI2A" localSheetId="7">#REF!</definedName>
    <definedName name="PI2A">#REF!</definedName>
    <definedName name="PI2AF6" localSheetId="21">#REF!</definedName>
    <definedName name="PI2AF6" localSheetId="1">#REF!</definedName>
    <definedName name="PI2AF6" localSheetId="0">#REF!</definedName>
    <definedName name="PI2AF6" localSheetId="5">#REF!</definedName>
    <definedName name="PI2AF6" localSheetId="6">#REF!</definedName>
    <definedName name="PI2AF6" localSheetId="16">#REF!</definedName>
    <definedName name="PI2AF6" localSheetId="7">#REF!</definedName>
    <definedName name="PI2AF6">#REF!</definedName>
    <definedName name="PINTUAIR" localSheetId="21">#REF!</definedName>
    <definedName name="PINTUAIR" localSheetId="1">#REF!</definedName>
    <definedName name="PINTUAIR" localSheetId="0">#REF!</definedName>
    <definedName name="PINTUAIR" localSheetId="5">#REF!</definedName>
    <definedName name="PINTUAIR" localSheetId="6">#REF!</definedName>
    <definedName name="PINTUAIR" localSheetId="16">#REF!</definedName>
    <definedName name="PINTUAIR" localSheetId="7">#REF!</definedName>
    <definedName name="PINTUAIR">#REF!</definedName>
    <definedName name="pintupanel" localSheetId="18">[25]Analisis!#REF!</definedName>
    <definedName name="pintupanel" localSheetId="10">[25]Analisis!#REF!</definedName>
    <definedName name="pintupanel" localSheetId="21">[25]Analisis!#REF!</definedName>
    <definedName name="pintupanel" localSheetId="1">[25]Analisis!#REF!</definedName>
    <definedName name="pintupanel" localSheetId="0">[25]Analisis!#REF!</definedName>
    <definedName name="pintupanel" localSheetId="5">[25]Analisis!#REF!</definedName>
    <definedName name="pintupanel" localSheetId="6">[25]Analisis!#REF!</definedName>
    <definedName name="pintupanel" localSheetId="16">[25]Analisis!#REF!</definedName>
    <definedName name="pintupanel" localSheetId="7">[25]Analisis!#REF!</definedName>
    <definedName name="pintupanel">[25]Analisis!#REF!</definedName>
    <definedName name="pipa" localSheetId="18">#REF!</definedName>
    <definedName name="pipa" localSheetId="21">#REF!</definedName>
    <definedName name="pipa" localSheetId="1">#REF!</definedName>
    <definedName name="pipa" localSheetId="0">#REF!</definedName>
    <definedName name="pipa" localSheetId="5">#REF!</definedName>
    <definedName name="pipa" localSheetId="6">#REF!</definedName>
    <definedName name="pipa" localSheetId="16">#REF!</definedName>
    <definedName name="pipa" localSheetId="7">#REF!</definedName>
    <definedName name="pipa">#REF!</definedName>
    <definedName name="PipaGalvanis" localSheetId="21">'[10]Daf HrG'!#REF!</definedName>
    <definedName name="PipaGalvanis" localSheetId="1">'[10]Daf HrG'!#REF!</definedName>
    <definedName name="PipaGalvanis" localSheetId="0">'[10]Daf HrG'!#REF!</definedName>
    <definedName name="PipaGalvanis" localSheetId="5">'[10]Daf HrG'!#REF!</definedName>
    <definedName name="PipaGalvanis" localSheetId="6">'[10]Daf HrG'!#REF!</definedName>
    <definedName name="PipaGalvanis" localSheetId="16">'[10]Daf HrG'!#REF!</definedName>
    <definedName name="PipaGalvanis" localSheetId="7">'[10]Daf HrG'!#REF!</definedName>
    <definedName name="PipaGalvanis">'[10]Daf HrG'!#REF!</definedName>
    <definedName name="pipagorong">'[38]DRUP (ASLI)'!$I$655</definedName>
    <definedName name="PipaPVC" localSheetId="21">'[10]Daf HrG'!#REF!</definedName>
    <definedName name="PipaPVC" localSheetId="1">'[10]Daf HrG'!#REF!</definedName>
    <definedName name="PipaPVC" localSheetId="0">'[10]Daf HrG'!#REF!</definedName>
    <definedName name="PipaPVC" localSheetId="5">'[10]Daf HrG'!#REF!</definedName>
    <definedName name="PipaPVC" localSheetId="6">'[10]Daf HrG'!#REF!</definedName>
    <definedName name="PipaPVC" localSheetId="16">'[10]Daf HrG'!#REF!</definedName>
    <definedName name="PipaPVC" localSheetId="7">'[10]Daf HrG'!#REF!</definedName>
    <definedName name="PipaPVC">'[10]Daf HrG'!#REF!</definedName>
    <definedName name="pk" localSheetId="21">#REF!</definedName>
    <definedName name="pk" localSheetId="1">#REF!</definedName>
    <definedName name="pk" localSheetId="0">#REF!</definedName>
    <definedName name="pk" localSheetId="5">#REF!</definedName>
    <definedName name="pk" localSheetId="6">#REF!</definedName>
    <definedName name="pk" localSheetId="16">#REF!</definedName>
    <definedName name="pk" localSheetId="7">#REF!</definedName>
    <definedName name="pk">#REF!</definedName>
    <definedName name="pkst" localSheetId="18">#REF!</definedName>
    <definedName name="pkst" localSheetId="21">#REF!</definedName>
    <definedName name="pkst" localSheetId="1">#REF!</definedName>
    <definedName name="pkst" localSheetId="0">#REF!</definedName>
    <definedName name="pkst" localSheetId="5">#REF!</definedName>
    <definedName name="pkst" localSheetId="6">#REF!</definedName>
    <definedName name="pkst" localSheetId="16">#REF!</definedName>
    <definedName name="pkst" localSheetId="7">#REF!</definedName>
    <definedName name="pkst">#REF!</definedName>
    <definedName name="pkt">[35]Catatan!$D$8</definedName>
    <definedName name="plafondplywood" localSheetId="18">[25]Analisis!#REF!</definedName>
    <definedName name="plafondplywood" localSheetId="10">[25]Analisis!#REF!</definedName>
    <definedName name="plafondplywood" localSheetId="21">[25]Analisis!#REF!</definedName>
    <definedName name="plafondplywood" localSheetId="1">[25]Analisis!#REF!</definedName>
    <definedName name="plafondplywood" localSheetId="0">[25]Analisis!#REF!</definedName>
    <definedName name="plafondplywood" localSheetId="5">[25]Analisis!#REF!</definedName>
    <definedName name="plafondplywood" localSheetId="6">[25]Analisis!#REF!</definedName>
    <definedName name="plafondplywood" localSheetId="16">[25]Analisis!#REF!</definedName>
    <definedName name="plafondplywood" localSheetId="7">[25]Analisis!#REF!</definedName>
    <definedName name="plafondplywood">[25]Analisis!#REF!</definedName>
    <definedName name="plafondreider" localSheetId="18">[25]Analisis!#REF!</definedName>
    <definedName name="plafondreider" localSheetId="10">[25]Analisis!#REF!</definedName>
    <definedName name="plafondreider" localSheetId="21">[25]Analisis!#REF!</definedName>
    <definedName name="plafondreider" localSheetId="1">[25]Analisis!#REF!</definedName>
    <definedName name="plafondreider" localSheetId="0">[25]Analisis!#REF!</definedName>
    <definedName name="plafondreider" localSheetId="5">[25]Analisis!#REF!</definedName>
    <definedName name="plafondreider" localSheetId="6">[25]Analisis!#REF!</definedName>
    <definedName name="plafondreider" localSheetId="16">[25]Analisis!#REF!</definedName>
    <definedName name="plafondreider" localSheetId="7">[25]Analisis!#REF!</definedName>
    <definedName name="plafondreider">[25]Analisis!#REF!</definedName>
    <definedName name="plas" localSheetId="21">[41]ANALISA!#REF!</definedName>
    <definedName name="plas" localSheetId="1">[41]ANALISA!#REF!</definedName>
    <definedName name="plas" localSheetId="0">[41]ANALISA!#REF!</definedName>
    <definedName name="plas" localSheetId="5">[41]ANALISA!#REF!</definedName>
    <definedName name="plas" localSheetId="6">[41]ANALISA!#REF!</definedName>
    <definedName name="plas" localSheetId="16">[41]ANALISA!#REF!</definedName>
    <definedName name="plas" localSheetId="7">[41]ANALISA!#REF!</definedName>
    <definedName name="plas">[41]ANALISA!#REF!</definedName>
    <definedName name="plat" localSheetId="18">[25]Analisis!#REF!</definedName>
    <definedName name="plat" localSheetId="10">[25]Analisis!#REF!</definedName>
    <definedName name="plat" localSheetId="21">[25]Analisis!#REF!</definedName>
    <definedName name="plat" localSheetId="1">[25]Analisis!#REF!</definedName>
    <definedName name="plat" localSheetId="0">[25]Analisis!#REF!</definedName>
    <definedName name="plat" localSheetId="5">[25]Analisis!#REF!</definedName>
    <definedName name="plat" localSheetId="6">[25]Analisis!#REF!</definedName>
    <definedName name="plat" localSheetId="16">[25]Analisis!#REF!</definedName>
    <definedName name="plat" localSheetId="7">[25]Analisis!#REF!</definedName>
    <definedName name="plat">[25]Analisis!#REF!</definedName>
    <definedName name="Ples" localSheetId="21">[10]HSP!#REF!</definedName>
    <definedName name="Ples" localSheetId="1">[10]HSP!#REF!</definedName>
    <definedName name="Ples" localSheetId="0">[10]HSP!#REF!</definedName>
    <definedName name="Ples" localSheetId="5">[10]HSP!#REF!</definedName>
    <definedName name="Ples" localSheetId="6">[10]HSP!#REF!</definedName>
    <definedName name="Ples" localSheetId="16">[10]HSP!#REF!</definedName>
    <definedName name="Ples" localSheetId="7">[10]HSP!#REF!</definedName>
    <definedName name="Ples">[10]HSP!#REF!</definedName>
    <definedName name="plester" localSheetId="18">#REF!</definedName>
    <definedName name="plester" localSheetId="21">#REF!</definedName>
    <definedName name="plester" localSheetId="1">#REF!</definedName>
    <definedName name="plester" localSheetId="0">#REF!</definedName>
    <definedName name="plester" localSheetId="5">#REF!</definedName>
    <definedName name="plester" localSheetId="6">#REF!</definedName>
    <definedName name="plester" localSheetId="16">#REF!</definedName>
    <definedName name="plester" localSheetId="7">#REF!</definedName>
    <definedName name="plester">#REF!</definedName>
    <definedName name="Plesteran">'[37]Jamur Jelatang'!$P$27</definedName>
    <definedName name="pompa" localSheetId="18">#REF!</definedName>
    <definedName name="pompa" localSheetId="21">#REF!</definedName>
    <definedName name="pompa" localSheetId="1">#REF!</definedName>
    <definedName name="pompa" localSheetId="0">#REF!</definedName>
    <definedName name="pompa" localSheetId="5">#REF!</definedName>
    <definedName name="pompa" localSheetId="6">#REF!</definedName>
    <definedName name="pompa" localSheetId="16">#REF!</definedName>
    <definedName name="pompa" localSheetId="7">#REF!</definedName>
    <definedName name="pompa">#REF!</definedName>
    <definedName name="Ponton">[30]rekap!$D$79</definedName>
    <definedName name="Por11x11" localSheetId="21">'[26]Daftar Harga'!#REF!</definedName>
    <definedName name="Por11x11" localSheetId="1">'[26]Daftar Harga'!#REF!</definedName>
    <definedName name="Por11x11" localSheetId="0">'[26]Daftar Harga'!#REF!</definedName>
    <definedName name="Por11x11" localSheetId="5">'[26]Daftar Harga'!#REF!</definedName>
    <definedName name="Por11x11" localSheetId="6">'[26]Daftar Harga'!#REF!</definedName>
    <definedName name="Por11x11" localSheetId="16">'[26]Daftar Harga'!#REF!</definedName>
    <definedName name="Por11x11" localSheetId="7">'[26]Daftar Harga'!#REF!</definedName>
    <definedName name="Por11x11">'[26]Daftar Harga'!#REF!</definedName>
    <definedName name="PPB">[35]Rkp!$K$23</definedName>
    <definedName name="ppn.m.3.20.serut" localSheetId="18">#REF!</definedName>
    <definedName name="ppn.m.3.20.serut" localSheetId="11">#REF!</definedName>
    <definedName name="ppn.m.3.20.serut" localSheetId="10">#REF!</definedName>
    <definedName name="ppn.m.3.20.serut" localSheetId="21">#REF!</definedName>
    <definedName name="ppn.m.3.20.serut" localSheetId="12">#REF!</definedName>
    <definedName name="ppn.m.3.20.serut" localSheetId="1">#REF!</definedName>
    <definedName name="ppn.m.3.20.serut" localSheetId="0">#REF!</definedName>
    <definedName name="ppn.m.3.20.serut" localSheetId="14">#REF!</definedName>
    <definedName name="ppn.m.3.20.serut" localSheetId="5">#REF!</definedName>
    <definedName name="ppn.m.3.20.serut" localSheetId="6">#REF!</definedName>
    <definedName name="ppn.m.3.20.serut" localSheetId="16">#REF!</definedName>
    <definedName name="ppn.m.3.20.serut" localSheetId="7">#REF!</definedName>
    <definedName name="ppn.m.3.20.serut">#REF!</definedName>
    <definedName name="ppn2.30" localSheetId="18">#REF!</definedName>
    <definedName name="ppn2.30" localSheetId="11">#REF!</definedName>
    <definedName name="ppn2.30" localSheetId="10">#REF!</definedName>
    <definedName name="ppn2.30" localSheetId="21">#REF!</definedName>
    <definedName name="ppn2.30" localSheetId="12">#REF!</definedName>
    <definedName name="ppn2.30" localSheetId="1">#REF!</definedName>
    <definedName name="ppn2.30" localSheetId="0">#REF!</definedName>
    <definedName name="ppn2.30" localSheetId="14">#REF!</definedName>
    <definedName name="ppn2.30" localSheetId="5">#REF!</definedName>
    <definedName name="ppn2.30" localSheetId="6">#REF!</definedName>
    <definedName name="ppn2.30" localSheetId="16">#REF!</definedName>
    <definedName name="ppn2.30" localSheetId="7">#REF!</definedName>
    <definedName name="ppn2.30">#REF!</definedName>
    <definedName name="ppn3.30" localSheetId="18">#REF!</definedName>
    <definedName name="ppn3.30" localSheetId="11">#REF!</definedName>
    <definedName name="ppn3.30" localSheetId="10">#REF!</definedName>
    <definedName name="ppn3.30" localSheetId="21">#REF!</definedName>
    <definedName name="ppn3.30" localSheetId="12">#REF!</definedName>
    <definedName name="ppn3.30" localSheetId="1">#REF!</definedName>
    <definedName name="ppn3.30" localSheetId="0">#REF!</definedName>
    <definedName name="ppn3.30" localSheetId="14">#REF!</definedName>
    <definedName name="ppn3.30" localSheetId="5">#REF!</definedName>
    <definedName name="ppn3.30" localSheetId="6">#REF!</definedName>
    <definedName name="ppn3.30" localSheetId="16">#REF!</definedName>
    <definedName name="ppn3.30" localSheetId="7">#REF!</definedName>
    <definedName name="ppn3.30">#REF!</definedName>
    <definedName name="PPPPPPPPPPP">'[53]UPH BHN'!$I$25</definedName>
    <definedName name="PPR">[35]Rkp!$K$35</definedName>
    <definedName name="pps" localSheetId="21">#REF!</definedName>
    <definedName name="pps" localSheetId="1">#REF!</definedName>
    <definedName name="pps" localSheetId="0">#REF!</definedName>
    <definedName name="pps" localSheetId="5">#REF!</definedName>
    <definedName name="pps" localSheetId="6">#REF!</definedName>
    <definedName name="pps" localSheetId="16">#REF!</definedName>
    <definedName name="pps" localSheetId="7">#REF!</definedName>
    <definedName name="pps">#REF!</definedName>
    <definedName name="PR" localSheetId="21">#REF!</definedName>
    <definedName name="PR" localSheetId="1">#REF!</definedName>
    <definedName name="PR" localSheetId="0">#REF!</definedName>
    <definedName name="PR" localSheetId="5">#REF!</definedName>
    <definedName name="PR" localSheetId="6">#REF!</definedName>
    <definedName name="PR" localSheetId="16">#REF!</definedName>
    <definedName name="PR" localSheetId="7">#REF!</definedName>
    <definedName name="PR">#REF!</definedName>
    <definedName name="praktis" localSheetId="18">[25]Analisis!#REF!</definedName>
    <definedName name="praktis" localSheetId="10">[25]Analisis!#REF!</definedName>
    <definedName name="praktis" localSheetId="21">[25]Analisis!#REF!</definedName>
    <definedName name="praktis" localSheetId="1">[25]Analisis!#REF!</definedName>
    <definedName name="praktis" localSheetId="0">[25]Analisis!#REF!</definedName>
    <definedName name="praktis" localSheetId="5">[25]Analisis!#REF!</definedName>
    <definedName name="praktis" localSheetId="6">[25]Analisis!#REF!</definedName>
    <definedName name="praktis" localSheetId="16">[25]Analisis!#REF!</definedName>
    <definedName name="praktis" localSheetId="7">[25]Analisis!#REF!</definedName>
    <definedName name="praktis">[25]Analisis!#REF!</definedName>
    <definedName name="Premium" localSheetId="21">'[26]Daftar Harga'!#REF!</definedName>
    <definedName name="Premium" localSheetId="1">'[26]Daftar Harga'!#REF!</definedName>
    <definedName name="Premium" localSheetId="0">'[26]Daftar Harga'!#REF!</definedName>
    <definedName name="Premium" localSheetId="5">'[26]Daftar Harga'!#REF!</definedName>
    <definedName name="Premium" localSheetId="6">'[26]Daftar Harga'!#REF!</definedName>
    <definedName name="Premium" localSheetId="16">'[26]Daftar Harga'!#REF!</definedName>
    <definedName name="Premium" localSheetId="7">'[26]Daftar Harga'!#REF!</definedName>
    <definedName name="Premium">'[26]Daftar Harga'!#REF!</definedName>
    <definedName name="_xlnm.Print_Area" localSheetId="9">ANL!$B$1:$H$580</definedName>
    <definedName name="_xlnm.Print_Area" localSheetId="13">BAHAN!$B$1:$G$156</definedName>
    <definedName name="_xlnm.Print_Area" localSheetId="23">CUTTING!$D$1:$N$60</definedName>
    <definedName name="_xlnm.Print_Area" localSheetId="18">DIHIT!$B$2:$H$80</definedName>
    <definedName name="_xlnm.Print_Area" localSheetId="11">ELT!$B$1:$H$555</definedName>
    <definedName name="_xlnm.Print_Area" localSheetId="20">'GALIAN (ALAT)'!$D$2:$N$74</definedName>
    <definedName name="_xlnm.Print_Area" localSheetId="10">HIT.!$B$1:$H$379</definedName>
    <definedName name="_xlnm.Print_Area" localSheetId="19">Mobilisasi!$B$1:$H$58</definedName>
    <definedName name="_xlnm.Print_Area" localSheetId="21">PEMANCANGAN!$D$2:$N$75</definedName>
    <definedName name="_xlnm.Print_Area" localSheetId="24">PERALATAN!$B$2:$K$240</definedName>
    <definedName name="_xlnm.Print_Area" localSheetId="12">PLMB!$B$1:$H$971</definedName>
    <definedName name="_xlnm.Print_Area" localSheetId="8">'R.Anl'!$B$1:$D$78</definedName>
    <definedName name="_xlnm.Print_Area" localSheetId="3">RAB!$B$1:$I$434</definedName>
    <definedName name="_xlnm.Print_Area" localSheetId="1">'RAB (2)'!$B$2:$J$49</definedName>
    <definedName name="_xlnm.Print_Area" localSheetId="2">Rekap!$B$1:$E$71</definedName>
    <definedName name="_xlnm.Print_Area" localSheetId="0">'Rekap (2)'!$B$1:$E$39</definedName>
    <definedName name="_xlnm.Print_Area" localSheetId="17">'SMK3'!$B$1:$H$82</definedName>
    <definedName name="_xlnm.Print_Area" localSheetId="14">'UB mep'!$B$2:$J$150</definedName>
    <definedName name="_xlnm.Print_Area" localSheetId="15">UPAH!$B$2:$G$25</definedName>
    <definedName name="_xlnm.Print_Area" localSheetId="4">V.1!$B$1:$U$748</definedName>
    <definedName name="_xlnm.Print_Area" localSheetId="5">'V.1 (2)'!$B$1:$U$762</definedName>
    <definedName name="_xlnm.Print_Area" localSheetId="6">'V.1 (3)'!$B$1:$U$762</definedName>
    <definedName name="_xlnm.Print_Area" localSheetId="16">'Vol beton'!$B$2:$U$149</definedName>
    <definedName name="_xlnm.Print_Area" localSheetId="7">volume!$B$2:$U$667</definedName>
    <definedName name="_xlnm.Print_Area" localSheetId="22">WELDING!$D$1:$N$64</definedName>
    <definedName name="_xlnm.Print_Area">#REF!</definedName>
    <definedName name="_xlnm.Print_Titles" localSheetId="9">ANL!$1:$8</definedName>
    <definedName name="_xlnm.Print_Titles" localSheetId="13">BAHAN!$6:$9</definedName>
    <definedName name="_xlnm.Print_Titles" localSheetId="10">HIT.!$1:$6</definedName>
    <definedName name="_xlnm.Print_Titles" localSheetId="19">Mobilisasi!$1:$6</definedName>
    <definedName name="_xlnm.Print_Titles" localSheetId="8">'R.Anl'!$1:$2</definedName>
    <definedName name="_xlnm.Print_Titles" localSheetId="3">RAB!$7:$9</definedName>
    <definedName name="_xlnm.Print_Titles" localSheetId="1">'RAB (2)'!$7:$9</definedName>
    <definedName name="_xlnm.Print_Titles" localSheetId="2">Rekap!$7:$7</definedName>
    <definedName name="_xlnm.Print_Titles" localSheetId="0">'Rekap (2)'!$7:$7</definedName>
    <definedName name="_xlnm.Print_Titles" localSheetId="14">'UB mep'!$8:$9</definedName>
    <definedName name="_xlnm.Print_Titles" localSheetId="4">V.1!$4:$5</definedName>
    <definedName name="_xlnm.Print_Titles" localSheetId="5">'V.1 (2)'!$4:$5</definedName>
    <definedName name="_xlnm.Print_Titles" localSheetId="6">'V.1 (3)'!$4:$5</definedName>
    <definedName name="_xlnm.Print_Titles" localSheetId="16">'Vol beton'!$2:$3</definedName>
    <definedName name="_xlnm.Print_Titles" localSheetId="7">volume!$2:$3</definedName>
    <definedName name="_xlnm.Print_Titles">'[49]Kuantitas &amp; Harga'!$A$1:$IV$14</definedName>
    <definedName name="pro">[22]Catatan!$D$7</definedName>
    <definedName name="probeg">[14]AnTeknis!$N$37</definedName>
    <definedName name="probes">[14]AnTeknis!$N$47</definedName>
    <definedName name="Prodozer" localSheetId="21">'[10]HSP Alat'!#REF!</definedName>
    <definedName name="Prodozer" localSheetId="1">'[10]HSP Alat'!#REF!</definedName>
    <definedName name="Prodozer" localSheetId="0">'[10]HSP Alat'!#REF!</definedName>
    <definedName name="Prodozer" localSheetId="5">'[10]HSP Alat'!#REF!</definedName>
    <definedName name="Prodozer" localSheetId="6">'[10]HSP Alat'!#REF!</definedName>
    <definedName name="Prodozer" localSheetId="16">'[10]HSP Alat'!#REF!</definedName>
    <definedName name="Prodozer" localSheetId="7">'[10]HSP Alat'!#REF!</definedName>
    <definedName name="Prodozer">'[10]HSP Alat'!#REF!</definedName>
    <definedName name="Prodump" localSheetId="21">'[10]A Alat'!#REF!</definedName>
    <definedName name="Prodump" localSheetId="1">'[10]A Alat'!#REF!</definedName>
    <definedName name="Prodump" localSheetId="0">'[10]A Alat'!#REF!</definedName>
    <definedName name="Prodump" localSheetId="5">'[10]A Alat'!#REF!</definedName>
    <definedName name="Prodump" localSheetId="6">'[10]A Alat'!#REF!</definedName>
    <definedName name="Prodump" localSheetId="16">'[10]A Alat'!#REF!</definedName>
    <definedName name="Prodump" localSheetId="7">'[10]A Alat'!#REF!</definedName>
    <definedName name="Prodump">'[10]A Alat'!#REF!</definedName>
    <definedName name="proexcavator" localSheetId="21">'[10]HSP Alat'!#REF!</definedName>
    <definedName name="proexcavator" localSheetId="1">'[10]HSP Alat'!#REF!</definedName>
    <definedName name="proexcavator" localSheetId="0">'[10]HSP Alat'!#REF!</definedName>
    <definedName name="proexcavator" localSheetId="5">'[10]HSP Alat'!#REF!</definedName>
    <definedName name="proexcavator" localSheetId="6">'[10]HSP Alat'!#REF!</definedName>
    <definedName name="proexcavator" localSheetId="16">'[10]HSP Alat'!#REF!</definedName>
    <definedName name="proexcavator" localSheetId="7">'[10]HSP Alat'!#REF!</definedName>
    <definedName name="proexcavator">'[10]HSP Alat'!#REF!</definedName>
    <definedName name="Promixer" localSheetId="21">'[10]A Alat'!#REF!</definedName>
    <definedName name="Promixer" localSheetId="1">'[10]A Alat'!#REF!</definedName>
    <definedName name="Promixer" localSheetId="0">'[10]A Alat'!#REF!</definedName>
    <definedName name="Promixer" localSheetId="5">'[10]A Alat'!#REF!</definedName>
    <definedName name="Promixer" localSheetId="6">'[10]A Alat'!#REF!</definedName>
    <definedName name="Promixer" localSheetId="16">'[10]A Alat'!#REF!</definedName>
    <definedName name="Promixer" localSheetId="7">'[10]A Alat'!#REF!</definedName>
    <definedName name="Promixer">'[10]A Alat'!#REF!</definedName>
    <definedName name="Propadat" localSheetId="21">'[10]A Alat'!#REF!</definedName>
    <definedName name="Propadat" localSheetId="1">'[10]A Alat'!#REF!</definedName>
    <definedName name="Propadat" localSheetId="0">'[10]A Alat'!#REF!</definedName>
    <definedName name="Propadat" localSheetId="5">'[10]A Alat'!#REF!</definedName>
    <definedName name="Propadat" localSheetId="6">'[10]A Alat'!#REF!</definedName>
    <definedName name="Propadat" localSheetId="16">'[10]A Alat'!#REF!</definedName>
    <definedName name="Propadat" localSheetId="7">'[10]A Alat'!#REF!</definedName>
    <definedName name="Propadat">'[10]A Alat'!#REF!</definedName>
    <definedName name="PROY">[54]REKAP!$J$9</definedName>
    <definedName name="Prudump" localSheetId="21">'[10]HSP Alat'!#REF!</definedName>
    <definedName name="Prudump" localSheetId="1">'[10]HSP Alat'!#REF!</definedName>
    <definedName name="Prudump" localSheetId="0">'[10]HSP Alat'!#REF!</definedName>
    <definedName name="Prudump" localSheetId="5">'[10]HSP Alat'!#REF!</definedName>
    <definedName name="Prudump" localSheetId="6">'[10]HSP Alat'!#REF!</definedName>
    <definedName name="Prudump" localSheetId="16">'[10]HSP Alat'!#REF!</definedName>
    <definedName name="Prudump" localSheetId="7">'[10]HSP Alat'!#REF!</definedName>
    <definedName name="Prudump">'[10]HSP Alat'!#REF!</definedName>
    <definedName name="PSPLV">'[17]ANALISA (2)'!$Q$2374</definedName>
    <definedName name="PT">[35]Rkp!$K$21</definedName>
    <definedName name="pTOK" localSheetId="21">'[26]Daftar Harga'!#REF!</definedName>
    <definedName name="pTOK" localSheetId="1">'[26]Daftar Harga'!#REF!</definedName>
    <definedName name="pTOK" localSheetId="0">'[26]Daftar Harga'!#REF!</definedName>
    <definedName name="pTOK" localSheetId="5">'[26]Daftar Harga'!#REF!</definedName>
    <definedName name="pTOK" localSheetId="6">'[26]Daftar Harga'!#REF!</definedName>
    <definedName name="pTOK" localSheetId="16">'[26]Daftar Harga'!#REF!</definedName>
    <definedName name="pTOK" localSheetId="7">'[26]Daftar Harga'!#REF!</definedName>
    <definedName name="pTOK">'[26]Daftar Harga'!#REF!</definedName>
    <definedName name="pulaq">'[13]Upah&amp;Bahan'!$C$18</definedName>
    <definedName name="PUSAT" localSheetId="21">#REF!</definedName>
    <definedName name="PUSAT" localSheetId="1">#REF!</definedName>
    <definedName name="PUSAT" localSheetId="0">#REF!</definedName>
    <definedName name="PUSAT" localSheetId="5">#REF!</definedName>
    <definedName name="PUSAT" localSheetId="6">#REF!</definedName>
    <definedName name="PUSAT" localSheetId="16">#REF!</definedName>
    <definedName name="PUSAT" localSheetId="7">#REF!</definedName>
    <definedName name="PUSAT">#REF!</definedName>
    <definedName name="pvc.0.5.mas.d" localSheetId="18">#REF!</definedName>
    <definedName name="pvc.0.5.mas.d" localSheetId="11">#REF!</definedName>
    <definedName name="pvc.0.5.mas.d" localSheetId="10">#REF!</definedName>
    <definedName name="pvc.0.5.mas.d" localSheetId="21">#REF!</definedName>
    <definedName name="pvc.0.5.mas.d" localSheetId="12">#REF!</definedName>
    <definedName name="pvc.0.5.mas.d" localSheetId="1">#REF!</definedName>
    <definedName name="pvc.0.5.mas.d" localSheetId="0">#REF!</definedName>
    <definedName name="pvc.0.5.mas.d" localSheetId="14">#REF!</definedName>
    <definedName name="pvc.0.5.mas.d" localSheetId="5">#REF!</definedName>
    <definedName name="pvc.0.5.mas.d" localSheetId="6">#REF!</definedName>
    <definedName name="pvc.0.5.mas.d" localSheetId="16">#REF!</definedName>
    <definedName name="pvc.0.5.mas.d" localSheetId="7">#REF!</definedName>
    <definedName name="pvc.0.5.mas.d">#REF!</definedName>
    <definedName name="pvc.0.7.5.Mas.d" localSheetId="18">#REF!</definedName>
    <definedName name="pvc.0.7.5.Mas.d" localSheetId="11">#REF!</definedName>
    <definedName name="pvc.0.7.5.Mas.d" localSheetId="10">#REF!</definedName>
    <definedName name="pvc.0.7.5.Mas.d" localSheetId="21">#REF!</definedName>
    <definedName name="pvc.0.7.5.Mas.d" localSheetId="12">#REF!</definedName>
    <definedName name="pvc.0.7.5.Mas.d" localSheetId="1">#REF!</definedName>
    <definedName name="pvc.0.7.5.Mas.d" localSheetId="0">#REF!</definedName>
    <definedName name="pvc.0.7.5.Mas.d" localSheetId="14">#REF!</definedName>
    <definedName name="pvc.0.7.5.Mas.d" localSheetId="5">#REF!</definedName>
    <definedName name="pvc.0.7.5.Mas.d" localSheetId="6">#REF!</definedName>
    <definedName name="pvc.0.7.5.Mas.d" localSheetId="16">#REF!</definedName>
    <definedName name="pvc.0.7.5.Mas.d" localSheetId="7">#REF!</definedName>
    <definedName name="pvc.0.7.5.Mas.d">#REF!</definedName>
    <definedName name="pvc.1.M.abu" localSheetId="18">#REF!</definedName>
    <definedName name="pvc.1.M.abu" localSheetId="11">#REF!</definedName>
    <definedName name="pvc.1.M.abu" localSheetId="10">#REF!</definedName>
    <definedName name="pvc.1.M.abu" localSheetId="21">#REF!</definedName>
    <definedName name="pvc.1.M.abu" localSheetId="12">#REF!</definedName>
    <definedName name="pvc.1.M.abu" localSheetId="1">#REF!</definedName>
    <definedName name="pvc.1.M.abu" localSheetId="0">#REF!</definedName>
    <definedName name="pvc.1.M.abu" localSheetId="14">#REF!</definedName>
    <definedName name="pvc.1.M.abu" localSheetId="5">#REF!</definedName>
    <definedName name="pvc.1.M.abu" localSheetId="6">#REF!</definedName>
    <definedName name="pvc.1.M.abu" localSheetId="16">#REF!</definedName>
    <definedName name="pvc.1.M.abu" localSheetId="7">#REF!</definedName>
    <definedName name="pvc.1.M.abu">#REF!</definedName>
    <definedName name="pvc.2.5.Mas.d" localSheetId="18">#REF!</definedName>
    <definedName name="pvc.2.5.Mas.d" localSheetId="11">#REF!</definedName>
    <definedName name="pvc.2.5.Mas.d" localSheetId="10">#REF!</definedName>
    <definedName name="pvc.2.5.Mas.d" localSheetId="21">#REF!</definedName>
    <definedName name="pvc.2.5.Mas.d" localSheetId="12">#REF!</definedName>
    <definedName name="pvc.2.5.Mas.d" localSheetId="1">#REF!</definedName>
    <definedName name="pvc.2.5.Mas.d" localSheetId="0">#REF!</definedName>
    <definedName name="pvc.2.5.Mas.d" localSheetId="14">#REF!</definedName>
    <definedName name="pvc.2.5.Mas.d" localSheetId="5">#REF!</definedName>
    <definedName name="pvc.2.5.Mas.d" localSheetId="6">#REF!</definedName>
    <definedName name="pvc.2.5.Mas.d" localSheetId="16">#REF!</definedName>
    <definedName name="pvc.2.5.Mas.d" localSheetId="7">#REF!</definedName>
    <definedName name="pvc.2.5.Mas.d">#REF!</definedName>
    <definedName name="pvc.2.mas.d" localSheetId="18">#REF!</definedName>
    <definedName name="pvc.2.mas.d" localSheetId="11">#REF!</definedName>
    <definedName name="pvc.2.mas.d" localSheetId="10">#REF!</definedName>
    <definedName name="pvc.2.mas.d" localSheetId="21">#REF!</definedName>
    <definedName name="pvc.2.mas.d" localSheetId="12">#REF!</definedName>
    <definedName name="pvc.2.mas.d" localSheetId="1">#REF!</definedName>
    <definedName name="pvc.2.mas.d" localSheetId="0">#REF!</definedName>
    <definedName name="pvc.2.mas.d" localSheetId="14">#REF!</definedName>
    <definedName name="pvc.2.mas.d" localSheetId="5">#REF!</definedName>
    <definedName name="pvc.2.mas.d" localSheetId="6">#REF!</definedName>
    <definedName name="pvc.2.mas.d" localSheetId="16">#REF!</definedName>
    <definedName name="pvc.2.mas.d" localSheetId="7">#REF!</definedName>
    <definedName name="pvc.2.mas.d">#REF!</definedName>
    <definedName name="pvc.3.mas.d" localSheetId="18">#REF!</definedName>
    <definedName name="pvc.3.mas.d" localSheetId="11">#REF!</definedName>
    <definedName name="pvc.3.mas.d" localSheetId="10">#REF!</definedName>
    <definedName name="pvc.3.mas.d" localSheetId="21">#REF!</definedName>
    <definedName name="pvc.3.mas.d" localSheetId="12">#REF!</definedName>
    <definedName name="pvc.3.mas.d" localSheetId="1">#REF!</definedName>
    <definedName name="pvc.3.mas.d" localSheetId="0">#REF!</definedName>
    <definedName name="pvc.3.mas.d" localSheetId="14">#REF!</definedName>
    <definedName name="pvc.3.mas.d" localSheetId="5">#REF!</definedName>
    <definedName name="pvc.3.mas.d" localSheetId="6">#REF!</definedName>
    <definedName name="pvc.3.mas.d" localSheetId="16">#REF!</definedName>
    <definedName name="pvc.3.mas.d" localSheetId="7">#REF!</definedName>
    <definedName name="pvc.3.mas.d">#REF!</definedName>
    <definedName name="pvc.4.mas.d" localSheetId="18">#REF!</definedName>
    <definedName name="pvc.4.mas.d" localSheetId="11">#REF!</definedName>
    <definedName name="pvc.4.mas.d" localSheetId="10">#REF!</definedName>
    <definedName name="pvc.4.mas.d" localSheetId="21">#REF!</definedName>
    <definedName name="pvc.4.mas.d" localSheetId="12">#REF!</definedName>
    <definedName name="pvc.4.mas.d" localSheetId="1">#REF!</definedName>
    <definedName name="pvc.4.mas.d" localSheetId="0">#REF!</definedName>
    <definedName name="pvc.4.mas.d" localSheetId="14">#REF!</definedName>
    <definedName name="pvc.4.mas.d" localSheetId="5">#REF!</definedName>
    <definedName name="pvc.4.mas.d" localSheetId="6">#REF!</definedName>
    <definedName name="pvc.4.mas.d" localSheetId="16">#REF!</definedName>
    <definedName name="pvc.4.mas.d" localSheetId="7">#REF!</definedName>
    <definedName name="pvc.4.mas.d">#REF!</definedName>
    <definedName name="pvc1.2.aw" localSheetId="18">#REF!</definedName>
    <definedName name="pvc1.2.aw" localSheetId="11">#REF!</definedName>
    <definedName name="pvc1.2.aw" localSheetId="10">#REF!</definedName>
    <definedName name="pvc1.2.aw" localSheetId="21">#REF!</definedName>
    <definedName name="pvc1.2.aw" localSheetId="12">#REF!</definedName>
    <definedName name="pvc1.2.aw" localSheetId="1">#REF!</definedName>
    <definedName name="pvc1.2.aw" localSheetId="0">#REF!</definedName>
    <definedName name="pvc1.2.aw" localSheetId="14">#REF!</definedName>
    <definedName name="pvc1.2.aw" localSheetId="5">#REF!</definedName>
    <definedName name="pvc1.2.aw" localSheetId="6">#REF!</definedName>
    <definedName name="pvc1.2.aw" localSheetId="16">#REF!</definedName>
    <definedName name="pvc1.2.aw" localSheetId="7">#REF!</definedName>
    <definedName name="pvc1.2.aw">#REF!</definedName>
    <definedName name="pvc1.2.wav.aw" localSheetId="18">#REF!</definedName>
    <definedName name="pvc1.2.wav.aw" localSheetId="11">#REF!</definedName>
    <definedName name="pvc1.2.wav.aw" localSheetId="10">#REF!</definedName>
    <definedName name="pvc1.2.wav.aw" localSheetId="21">#REF!</definedName>
    <definedName name="pvc1.2.wav.aw" localSheetId="12">#REF!</definedName>
    <definedName name="pvc1.2.wav.aw" localSheetId="1">#REF!</definedName>
    <definedName name="pvc1.2.wav.aw" localSheetId="0">#REF!</definedName>
    <definedName name="pvc1.2.wav.aw" localSheetId="14">#REF!</definedName>
    <definedName name="pvc1.2.wav.aw" localSheetId="5">#REF!</definedName>
    <definedName name="pvc1.2.wav.aw" localSheetId="6">#REF!</definedName>
    <definedName name="pvc1.2.wav.aw" localSheetId="16">#REF!</definedName>
    <definedName name="pvc1.2.wav.aw" localSheetId="7">#REF!</definedName>
    <definedName name="pvc1.2.wav.aw">#REF!</definedName>
    <definedName name="pvc2d" localSheetId="18">#REF!</definedName>
    <definedName name="pvc2d" localSheetId="11">#REF!</definedName>
    <definedName name="pvc2d" localSheetId="10">#REF!</definedName>
    <definedName name="pvc2d" localSheetId="21">#REF!</definedName>
    <definedName name="pvc2d" localSheetId="12">#REF!</definedName>
    <definedName name="pvc2d" localSheetId="1">#REF!</definedName>
    <definedName name="pvc2d" localSheetId="0">#REF!</definedName>
    <definedName name="pvc2d" localSheetId="14">#REF!</definedName>
    <definedName name="pvc2d" localSheetId="5">#REF!</definedName>
    <definedName name="pvc2d" localSheetId="6">#REF!</definedName>
    <definedName name="pvc2d" localSheetId="16">#REF!</definedName>
    <definedName name="pvc2d" localSheetId="7">#REF!</definedName>
    <definedName name="pvc2d">#REF!</definedName>
    <definedName name="pvc3.4.aw" localSheetId="18">#REF!</definedName>
    <definedName name="pvc3.4.aw" localSheetId="11">#REF!</definedName>
    <definedName name="pvc3.4.aw" localSheetId="10">#REF!</definedName>
    <definedName name="pvc3.4.aw" localSheetId="21">#REF!</definedName>
    <definedName name="pvc3.4.aw" localSheetId="12">#REF!</definedName>
    <definedName name="pvc3.4.aw" localSheetId="1">#REF!</definedName>
    <definedName name="pvc3.4.aw" localSheetId="0">#REF!</definedName>
    <definedName name="pvc3.4.aw" localSheetId="14">#REF!</definedName>
    <definedName name="pvc3.4.aw" localSheetId="5">#REF!</definedName>
    <definedName name="pvc3.4.aw" localSheetId="6">#REF!</definedName>
    <definedName name="pvc3.4.aw" localSheetId="16">#REF!</definedName>
    <definedName name="pvc3.4.aw" localSheetId="7">#REF!</definedName>
    <definedName name="pvc3.4.aw">#REF!</definedName>
    <definedName name="pvc3d" localSheetId="18">#REF!</definedName>
    <definedName name="pvc3d" localSheetId="11">#REF!</definedName>
    <definedName name="pvc3d" localSheetId="10">#REF!</definedName>
    <definedName name="pvc3d" localSheetId="21">#REF!</definedName>
    <definedName name="pvc3d" localSheetId="12">#REF!</definedName>
    <definedName name="pvc3d" localSheetId="1">#REF!</definedName>
    <definedName name="pvc3d" localSheetId="0">#REF!</definedName>
    <definedName name="pvc3d" localSheetId="14">#REF!</definedName>
    <definedName name="pvc3d" localSheetId="5">#REF!</definedName>
    <definedName name="pvc3d" localSheetId="6">#REF!</definedName>
    <definedName name="pvc3d" localSheetId="16">#REF!</definedName>
    <definedName name="pvc3d" localSheetId="7">#REF!</definedName>
    <definedName name="pvc3d">#REF!</definedName>
    <definedName name="pvc4d" localSheetId="18">#REF!</definedName>
    <definedName name="pvc4d" localSheetId="11">#REF!</definedName>
    <definedName name="pvc4d" localSheetId="10">#REF!</definedName>
    <definedName name="pvc4d" localSheetId="21">#REF!</definedName>
    <definedName name="pvc4d" localSheetId="12">#REF!</definedName>
    <definedName name="pvc4d" localSheetId="1">#REF!</definedName>
    <definedName name="pvc4d" localSheetId="0">#REF!</definedName>
    <definedName name="pvc4d" localSheetId="14">#REF!</definedName>
    <definedName name="pvc4d" localSheetId="5">#REF!</definedName>
    <definedName name="pvc4d" localSheetId="6">#REF!</definedName>
    <definedName name="pvc4d" localSheetId="16">#REF!</definedName>
    <definedName name="pvc4d" localSheetId="7">#REF!</definedName>
    <definedName name="pvc4d">#REF!</definedName>
    <definedName name="PVC8X6" localSheetId="21">#REF!</definedName>
    <definedName name="PVC8X6" localSheetId="1">#REF!</definedName>
    <definedName name="PVC8X6" localSheetId="0">#REF!</definedName>
    <definedName name="PVC8X6" localSheetId="5">#REF!</definedName>
    <definedName name="PVC8X6" localSheetId="6">#REF!</definedName>
    <definedName name="PVC8X6" localSheetId="16">#REF!</definedName>
    <definedName name="PVC8X6" localSheetId="7">#REF!</definedName>
    <definedName name="PVC8X6">#REF!</definedName>
    <definedName name="q" localSheetId="11">'[23]Upah&amp;Bahan'!#REF!</definedName>
    <definedName name="q" localSheetId="10">'[23]Upah&amp;Bahan'!#REF!</definedName>
    <definedName name="q" localSheetId="21">'[23]Upah&amp;Bahan'!#REF!</definedName>
    <definedName name="q" localSheetId="12">'[23]Upah&amp;Bahan'!#REF!</definedName>
    <definedName name="q" localSheetId="1">'[23]Upah&amp;Bahan'!#REF!</definedName>
    <definedName name="q" localSheetId="0">'[23]Upah&amp;Bahan'!#REF!</definedName>
    <definedName name="q" localSheetId="14">'[23]Upah&amp;Bahan'!#REF!</definedName>
    <definedName name="q" localSheetId="5">'[23]Upah&amp;Bahan'!#REF!</definedName>
    <definedName name="q" localSheetId="6">'[23]Upah&amp;Bahan'!#REF!</definedName>
    <definedName name="q" localSheetId="16">'[23]Upah&amp;Bahan'!#REF!</definedName>
    <definedName name="q" localSheetId="7">'[23]Upah&amp;Bahan'!#REF!</definedName>
    <definedName name="q">'[23]Upah&amp;Bahan'!#REF!</definedName>
    <definedName name="QWWWW">[5]alat!$BD$47</definedName>
    <definedName name="R_" localSheetId="21">#REF!</definedName>
    <definedName name="R_" localSheetId="1">#REF!</definedName>
    <definedName name="R_" localSheetId="0">#REF!</definedName>
    <definedName name="R_" localSheetId="5">#REF!</definedName>
    <definedName name="R_" localSheetId="6">#REF!</definedName>
    <definedName name="R_" localSheetId="16">#REF!</definedName>
    <definedName name="R_" localSheetId="7">#REF!</definedName>
    <definedName name="R_">#REF!</definedName>
    <definedName name="RAB" localSheetId="18">#REF!</definedName>
    <definedName name="RAB" localSheetId="21">#REF!</definedName>
    <definedName name="RAB" localSheetId="1">#REF!</definedName>
    <definedName name="RAB" localSheetId="0">#REF!</definedName>
    <definedName name="RAB" localSheetId="5">#REF!</definedName>
    <definedName name="RAB" localSheetId="6">#REF!</definedName>
    <definedName name="RAB" localSheetId="16">#REF!</definedName>
    <definedName name="RAB" localSheetId="7">#REF!</definedName>
    <definedName name="RAB">#REF!</definedName>
    <definedName name="rabat" localSheetId="18">[25]Analisis!#REF!</definedName>
    <definedName name="rabat" localSheetId="10">[25]Analisis!#REF!</definedName>
    <definedName name="rabat" localSheetId="21">[25]Analisis!#REF!</definedName>
    <definedName name="rabat" localSheetId="1">[25]Analisis!#REF!</definedName>
    <definedName name="rabat" localSheetId="0">[25]Analisis!#REF!</definedName>
    <definedName name="rabat" localSheetId="5">[25]Analisis!#REF!</definedName>
    <definedName name="rabat" localSheetId="6">[25]Analisis!#REF!</definedName>
    <definedName name="rabat" localSheetId="16">[25]Analisis!#REF!</definedName>
    <definedName name="rabat" localSheetId="7">[25]Analisis!#REF!</definedName>
    <definedName name="rabat">[25]Analisis!#REF!</definedName>
    <definedName name="rabungonduline" localSheetId="18">[24]cover!#REF!</definedName>
    <definedName name="rabungonduline" localSheetId="10">[24]cover!#REF!</definedName>
    <definedName name="rabungonduline" localSheetId="21">[24]cover!#REF!</definedName>
    <definedName name="rabungonduline" localSheetId="1">[24]cover!#REF!</definedName>
    <definedName name="rabungonduline" localSheetId="0">[24]cover!#REF!</definedName>
    <definedName name="rabungonduline" localSheetId="5">[24]cover!#REF!</definedName>
    <definedName name="rabungonduline" localSheetId="6">[24]cover!#REF!</definedName>
    <definedName name="rabungonduline" localSheetId="16">[24]cover!#REF!</definedName>
    <definedName name="rabungonduline" localSheetId="7">[24]cover!#REF!</definedName>
    <definedName name="rabungonduline">[24]cover!#REF!</definedName>
    <definedName name="ranum" localSheetId="18">#REF!</definedName>
    <definedName name="ranum" localSheetId="11">#REF!</definedName>
    <definedName name="ranum" localSheetId="10">#REF!</definedName>
    <definedName name="ranum" localSheetId="21">#REF!</definedName>
    <definedName name="ranum" localSheetId="12">#REF!</definedName>
    <definedName name="ranum" localSheetId="1">#REF!</definedName>
    <definedName name="ranum" localSheetId="0">#REF!</definedName>
    <definedName name="ranum" localSheetId="14">#REF!</definedName>
    <definedName name="ranum" localSheetId="5">#REF!</definedName>
    <definedName name="ranum" localSheetId="6">#REF!</definedName>
    <definedName name="ranum" localSheetId="16">#REF!</definedName>
    <definedName name="ranum" localSheetId="7">#REF!</definedName>
    <definedName name="ranum">#REF!</definedName>
    <definedName name="RATIO1">[55]RATIO!$F$23:$M$32</definedName>
    <definedName name="Rekap" localSheetId="18">#REF!</definedName>
    <definedName name="Rekap" localSheetId="11">#REF!</definedName>
    <definedName name="Rekap" localSheetId="21">#REF!</definedName>
    <definedName name="Rekap" localSheetId="12">#REF!</definedName>
    <definedName name="Rekap" localSheetId="1">#REF!</definedName>
    <definedName name="Rekap" localSheetId="0">#REF!</definedName>
    <definedName name="Rekap" localSheetId="14">#REF!</definedName>
    <definedName name="Rekap" localSheetId="5">#REF!</definedName>
    <definedName name="Rekap" localSheetId="6">#REF!</definedName>
    <definedName name="Rekap" localSheetId="16">#REF!</definedName>
    <definedName name="Rekap" localSheetId="7">#REF!</definedName>
    <definedName name="Rekap">#REF!</definedName>
    <definedName name="Rekap." localSheetId="18">#REF!</definedName>
    <definedName name="Rekap." localSheetId="21">#REF!</definedName>
    <definedName name="Rekap." localSheetId="1">#REF!</definedName>
    <definedName name="Rekap." localSheetId="0">#REF!</definedName>
    <definedName name="Rekap." localSheetId="5">#REF!</definedName>
    <definedName name="Rekap." localSheetId="6">#REF!</definedName>
    <definedName name="Rekap." localSheetId="16">#REF!</definedName>
    <definedName name="Rekap." localSheetId="7">#REF!</definedName>
    <definedName name="Rekap.">#REF!</definedName>
    <definedName name="REKAPITULASI" localSheetId="18">#REF!</definedName>
    <definedName name="REKAPITULASI" localSheetId="21">#REF!</definedName>
    <definedName name="REKAPITULASI" localSheetId="1">#REF!</definedName>
    <definedName name="REKAPITULASI" localSheetId="0">#REF!</definedName>
    <definedName name="REKAPITULASI" localSheetId="5">#REF!</definedName>
    <definedName name="REKAPITULASI" localSheetId="6">#REF!</definedName>
    <definedName name="REKAPITULASI" localSheetId="16">#REF!</definedName>
    <definedName name="REKAPITULASI" localSheetId="7">#REF!</definedName>
    <definedName name="REKAPITULASI">#REF!</definedName>
    <definedName name="reng" localSheetId="18">#REF!</definedName>
    <definedName name="reng" localSheetId="11">#REF!</definedName>
    <definedName name="reng" localSheetId="10">#REF!</definedName>
    <definedName name="reng" localSheetId="21">#REF!</definedName>
    <definedName name="reng" localSheetId="12">#REF!</definedName>
    <definedName name="reng" localSheetId="1">#REF!</definedName>
    <definedName name="reng" localSheetId="0">#REF!</definedName>
    <definedName name="reng" localSheetId="14">#REF!</definedName>
    <definedName name="reng" localSheetId="5">#REF!</definedName>
    <definedName name="reng" localSheetId="6">#REF!</definedName>
    <definedName name="reng" localSheetId="16">#REF!</definedName>
    <definedName name="reng" localSheetId="7">#REF!</definedName>
    <definedName name="reng">#REF!</definedName>
    <definedName name="residu" localSheetId="18">[25]Analisis!#REF!</definedName>
    <definedName name="residu" localSheetId="10">[25]Analisis!#REF!</definedName>
    <definedName name="residu" localSheetId="21">[25]Analisis!#REF!</definedName>
    <definedName name="residu" localSheetId="1">[25]Analisis!#REF!</definedName>
    <definedName name="residu" localSheetId="0">[25]Analisis!#REF!</definedName>
    <definedName name="residu" localSheetId="5">[25]Analisis!#REF!</definedName>
    <definedName name="residu" localSheetId="6">[25]Analisis!#REF!</definedName>
    <definedName name="residu" localSheetId="16">[25]Analisis!#REF!</definedName>
    <definedName name="residu" localSheetId="7">[25]Analisis!#REF!</definedName>
    <definedName name="residu">[25]Analisis!#REF!</definedName>
    <definedName name="RINCIANSEWA">[7]Peralatan!$L$1:$AM$59</definedName>
    <definedName name="RINCIANSEWA2">[7]Peralatan!$L$60:$AM$118</definedName>
    <definedName name="rkp" localSheetId="21">#REF!</definedName>
    <definedName name="rkp" localSheetId="1">#REF!</definedName>
    <definedName name="rkp" localSheetId="0">#REF!</definedName>
    <definedName name="rkp" localSheetId="5">#REF!</definedName>
    <definedName name="rkp" localSheetId="6">#REF!</definedName>
    <definedName name="rkp" localSheetId="16">#REF!</definedName>
    <definedName name="rkp" localSheetId="7">#REF!</definedName>
    <definedName name="rkp">#REF!</definedName>
    <definedName name="roller" localSheetId="18">#REF!</definedName>
    <definedName name="roller" localSheetId="21">#REF!</definedName>
    <definedName name="roller" localSheetId="1">#REF!</definedName>
    <definedName name="roller" localSheetId="0">#REF!</definedName>
    <definedName name="roller" localSheetId="5">#REF!</definedName>
    <definedName name="roller" localSheetId="6">#REF!</definedName>
    <definedName name="roller" localSheetId="16">#REF!</definedName>
    <definedName name="roller" localSheetId="7">#REF!</definedName>
    <definedName name="roller">#REF!</definedName>
    <definedName name="rp" localSheetId="18">#REF!</definedName>
    <definedName name="rp" localSheetId="10">#REF!</definedName>
    <definedName name="rp" localSheetId="21">#REF!</definedName>
    <definedName name="rp" localSheetId="1">#REF!</definedName>
    <definedName name="rp" localSheetId="0">#REF!</definedName>
    <definedName name="rp" localSheetId="5">#REF!</definedName>
    <definedName name="rp" localSheetId="6">#REF!</definedName>
    <definedName name="rp" localSheetId="16">#REF!</definedName>
    <definedName name="rp" localSheetId="7">#REF!</definedName>
    <definedName name="rp">#REF!</definedName>
    <definedName name="rpt">'[56]DUHB (2)'!$D$32</definedName>
    <definedName name="rumah" localSheetId="18">'[13]Kuantitas &amp; Harga'!#REF!</definedName>
    <definedName name="rumah" localSheetId="11">'[13]Kuantitas &amp; Harga'!#REF!</definedName>
    <definedName name="rumah" localSheetId="10">'[13]Kuantitas &amp; Harga'!#REF!</definedName>
    <definedName name="rumah" localSheetId="21">'[13]Kuantitas &amp; Harga'!#REF!</definedName>
    <definedName name="rumah" localSheetId="12">'[13]Kuantitas &amp; Harga'!#REF!</definedName>
    <definedName name="rumah" localSheetId="1">'[13]Kuantitas &amp; Harga'!#REF!</definedName>
    <definedName name="rumah" localSheetId="0">'[13]Kuantitas &amp; Harga'!#REF!</definedName>
    <definedName name="rumah" localSheetId="14">'[13]Kuantitas &amp; Harga'!#REF!</definedName>
    <definedName name="rumah" localSheetId="5">'[13]Kuantitas &amp; Harga'!#REF!</definedName>
    <definedName name="rumah" localSheetId="6">'[13]Kuantitas &amp; Harga'!#REF!</definedName>
    <definedName name="rumah" localSheetId="16">'[13]Kuantitas &amp; Harga'!#REF!</definedName>
    <definedName name="rumah" localSheetId="7">'[13]Kuantitas &amp; Harga'!#REF!</definedName>
    <definedName name="rumah">'[13]Kuantitas &amp; Harga'!#REF!</definedName>
    <definedName name="rumahdinas" localSheetId="18">#REF!</definedName>
    <definedName name="rumahdinas" localSheetId="10">#REF!</definedName>
    <definedName name="rumahdinas" localSheetId="21">#REF!</definedName>
    <definedName name="rumahdinas" localSheetId="1">#REF!</definedName>
    <definedName name="rumahdinas" localSheetId="0">#REF!</definedName>
    <definedName name="rumahdinas" localSheetId="5">#REF!</definedName>
    <definedName name="rumahdinas" localSheetId="6">#REF!</definedName>
    <definedName name="rumahdinas" localSheetId="16">#REF!</definedName>
    <definedName name="rumahdinas" localSheetId="7">#REF!</definedName>
    <definedName name="rumahdinas">#REF!</definedName>
    <definedName name="Rumput" localSheetId="21">'[26]Daftar Harga'!#REF!</definedName>
    <definedName name="Rumput" localSheetId="1">'[26]Daftar Harga'!#REF!</definedName>
    <definedName name="Rumput" localSheetId="0">'[26]Daftar Harga'!#REF!</definedName>
    <definedName name="Rumput" localSheetId="5">'[26]Daftar Harga'!#REF!</definedName>
    <definedName name="Rumput" localSheetId="6">'[26]Daftar Harga'!#REF!</definedName>
    <definedName name="Rumput" localSheetId="16">'[26]Daftar Harga'!#REF!</definedName>
    <definedName name="Rumput" localSheetId="7">'[26]Daftar Harga'!#REF!</definedName>
    <definedName name="Rumput">'[26]Daftar Harga'!#REF!</definedName>
    <definedName name="RUTIN" localSheetId="11">'[12]Kuantitas &amp; Harga'!#REF!</definedName>
    <definedName name="RUTIN" localSheetId="10">'[12]Kuantitas &amp; Harga'!#REF!</definedName>
    <definedName name="RUTIN" localSheetId="21">'[12]Kuantitas &amp; Harga'!#REF!</definedName>
    <definedName name="RUTIN" localSheetId="12">'[12]Kuantitas &amp; Harga'!#REF!</definedName>
    <definedName name="RUTIN" localSheetId="1">'[12]Kuantitas &amp; Harga'!#REF!</definedName>
    <definedName name="RUTIN" localSheetId="0">'[12]Kuantitas &amp; Harga'!#REF!</definedName>
    <definedName name="RUTIN" localSheetId="14">'[12]Kuantitas &amp; Harga'!#REF!</definedName>
    <definedName name="RUTIN" localSheetId="5">'[12]Kuantitas &amp; Harga'!#REF!</definedName>
    <definedName name="RUTIN" localSheetId="6">'[12]Kuantitas &amp; Harga'!#REF!</definedName>
    <definedName name="RUTIN" localSheetId="16">'[12]Kuantitas &amp; Harga'!#REF!</definedName>
    <definedName name="RUTIN" localSheetId="7">'[12]Kuantitas &amp; Harga'!#REF!</definedName>
    <definedName name="RUTIN">'[12]Kuantitas &amp; Harga'!#REF!</definedName>
    <definedName name="s" localSheetId="18">#REF!</definedName>
    <definedName name="s" localSheetId="10">#REF!</definedName>
    <definedName name="s" localSheetId="21">#REF!</definedName>
    <definedName name="s" localSheetId="1">#REF!</definedName>
    <definedName name="s" localSheetId="0">#REF!</definedName>
    <definedName name="s" localSheetId="5">#REF!</definedName>
    <definedName name="s" localSheetId="6">#REF!</definedName>
    <definedName name="s" localSheetId="16">#REF!</definedName>
    <definedName name="s" localSheetId="7">#REF!</definedName>
    <definedName name="s">#REF!</definedName>
    <definedName name="s.05a" localSheetId="18">#REF!</definedName>
    <definedName name="s.05a" localSheetId="10">#REF!</definedName>
    <definedName name="s.05a" localSheetId="21">#REF!</definedName>
    <definedName name="s.05a" localSheetId="1">#REF!</definedName>
    <definedName name="s.05a" localSheetId="0">#REF!</definedName>
    <definedName name="s.05a" localSheetId="5">#REF!</definedName>
    <definedName name="s.05a" localSheetId="6">#REF!</definedName>
    <definedName name="s.05a" localSheetId="16">#REF!</definedName>
    <definedName name="s.05a" localSheetId="7">#REF!</definedName>
    <definedName name="s.05a">#REF!</definedName>
    <definedName name="s.05b" localSheetId="18">#REF!</definedName>
    <definedName name="s.05b" localSheetId="10">#REF!</definedName>
    <definedName name="s.05b" localSheetId="21">#REF!</definedName>
    <definedName name="s.05b" localSheetId="1">#REF!</definedName>
    <definedName name="s.05b" localSheetId="0">#REF!</definedName>
    <definedName name="s.05b" localSheetId="5">#REF!</definedName>
    <definedName name="s.05b" localSheetId="6">#REF!</definedName>
    <definedName name="s.05b" localSheetId="16">#REF!</definedName>
    <definedName name="s.05b" localSheetId="7">#REF!</definedName>
    <definedName name="s.05b">#REF!</definedName>
    <definedName name="s.05c" localSheetId="18">#REF!</definedName>
    <definedName name="s.05c" localSheetId="10">#REF!</definedName>
    <definedName name="s.05c" localSheetId="21">#REF!</definedName>
    <definedName name="s.05c" localSheetId="1">#REF!</definedName>
    <definedName name="s.05c" localSheetId="0">#REF!</definedName>
    <definedName name="s.05c" localSheetId="5">#REF!</definedName>
    <definedName name="s.05c" localSheetId="6">#REF!</definedName>
    <definedName name="s.05c" localSheetId="16">#REF!</definedName>
    <definedName name="s.05c" localSheetId="7">#REF!</definedName>
    <definedName name="s.05c">#REF!</definedName>
    <definedName name="s.05d" localSheetId="18">#REF!</definedName>
    <definedName name="s.05d" localSheetId="10">#REF!</definedName>
    <definedName name="s.05d" localSheetId="21">#REF!</definedName>
    <definedName name="s.05d" localSheetId="1">#REF!</definedName>
    <definedName name="s.05d" localSheetId="0">#REF!</definedName>
    <definedName name="s.05d" localSheetId="5">#REF!</definedName>
    <definedName name="s.05d" localSheetId="6">#REF!</definedName>
    <definedName name="s.05d" localSheetId="16">#REF!</definedName>
    <definedName name="s.05d" localSheetId="7">#REF!</definedName>
    <definedName name="s.05d">#REF!</definedName>
    <definedName name="s.05e" localSheetId="18">#REF!</definedName>
    <definedName name="s.05e" localSheetId="10">#REF!</definedName>
    <definedName name="s.05e" localSheetId="21">#REF!</definedName>
    <definedName name="s.05e" localSheetId="1">#REF!</definedName>
    <definedName name="s.05e" localSheetId="0">#REF!</definedName>
    <definedName name="s.05e" localSheetId="5">#REF!</definedName>
    <definedName name="s.05e" localSheetId="6">#REF!</definedName>
    <definedName name="s.05e" localSheetId="16">#REF!</definedName>
    <definedName name="s.05e" localSheetId="7">#REF!</definedName>
    <definedName name="s.05e">#REF!</definedName>
    <definedName name="s.05f" localSheetId="18">#REF!</definedName>
    <definedName name="s.05f" localSheetId="10">#REF!</definedName>
    <definedName name="s.05f" localSheetId="21">#REF!</definedName>
    <definedName name="s.05f" localSheetId="1">#REF!</definedName>
    <definedName name="s.05f" localSheetId="0">#REF!</definedName>
    <definedName name="s.05f" localSheetId="5">#REF!</definedName>
    <definedName name="s.05f" localSheetId="6">#REF!</definedName>
    <definedName name="s.05f" localSheetId="16">#REF!</definedName>
    <definedName name="s.05f" localSheetId="7">#REF!</definedName>
    <definedName name="s.05f">#REF!</definedName>
    <definedName name="s.05g" localSheetId="18">#REF!</definedName>
    <definedName name="s.05g" localSheetId="10">#REF!</definedName>
    <definedName name="s.05g" localSheetId="21">#REF!</definedName>
    <definedName name="s.05g" localSheetId="1">#REF!</definedName>
    <definedName name="s.05g" localSheetId="0">#REF!</definedName>
    <definedName name="s.05g" localSheetId="5">#REF!</definedName>
    <definedName name="s.05g" localSheetId="6">#REF!</definedName>
    <definedName name="s.05g" localSheetId="16">#REF!</definedName>
    <definedName name="s.05g" localSheetId="7">#REF!</definedName>
    <definedName name="s.05g">#REF!</definedName>
    <definedName name="s.05h" localSheetId="18">#REF!</definedName>
    <definedName name="s.05h" localSheetId="10">#REF!</definedName>
    <definedName name="s.05h" localSheetId="21">#REF!</definedName>
    <definedName name="s.05h" localSheetId="1">#REF!</definedName>
    <definedName name="s.05h" localSheetId="0">#REF!</definedName>
    <definedName name="s.05h" localSheetId="5">#REF!</definedName>
    <definedName name="s.05h" localSheetId="6">#REF!</definedName>
    <definedName name="s.05h" localSheetId="16">#REF!</definedName>
    <definedName name="s.05h" localSheetId="7">#REF!</definedName>
    <definedName name="s.05h">#REF!</definedName>
    <definedName name="s.05i" localSheetId="18">#REF!</definedName>
    <definedName name="s.05i" localSheetId="10">#REF!</definedName>
    <definedName name="s.05i" localSheetId="21">#REF!</definedName>
    <definedName name="s.05i" localSheetId="1">#REF!</definedName>
    <definedName name="s.05i" localSheetId="0">#REF!</definedName>
    <definedName name="s.05i" localSheetId="5">#REF!</definedName>
    <definedName name="s.05i" localSheetId="6">#REF!</definedName>
    <definedName name="s.05i" localSheetId="16">#REF!</definedName>
    <definedName name="s.05i" localSheetId="7">#REF!</definedName>
    <definedName name="s.05i">#REF!</definedName>
    <definedName name="s.05j" localSheetId="18">#REF!</definedName>
    <definedName name="s.05j" localSheetId="10">#REF!</definedName>
    <definedName name="s.05j" localSheetId="21">#REF!</definedName>
    <definedName name="s.05j" localSheetId="1">#REF!</definedName>
    <definedName name="s.05j" localSheetId="0">#REF!</definedName>
    <definedName name="s.05j" localSheetId="5">#REF!</definedName>
    <definedName name="s.05j" localSheetId="6">#REF!</definedName>
    <definedName name="s.05j" localSheetId="16">#REF!</definedName>
    <definedName name="s.05j" localSheetId="7">#REF!</definedName>
    <definedName name="s.05j">#REF!</definedName>
    <definedName name="S.05J1" localSheetId="18">#REF!</definedName>
    <definedName name="S.05J1" localSheetId="10">#REF!</definedName>
    <definedName name="S.05J1" localSheetId="21">#REF!</definedName>
    <definedName name="S.05J1" localSheetId="1">#REF!</definedName>
    <definedName name="S.05J1" localSheetId="0">#REF!</definedName>
    <definedName name="S.05J1" localSheetId="5">#REF!</definedName>
    <definedName name="S.05J1" localSheetId="6">#REF!</definedName>
    <definedName name="S.05J1" localSheetId="16">#REF!</definedName>
    <definedName name="S.05J1" localSheetId="7">#REF!</definedName>
    <definedName name="S.05J1">#REF!</definedName>
    <definedName name="S.05J2" localSheetId="18">#REF!</definedName>
    <definedName name="S.05J2" localSheetId="10">#REF!</definedName>
    <definedName name="S.05J2" localSheetId="21">#REF!</definedName>
    <definedName name="S.05J2" localSheetId="1">#REF!</definedName>
    <definedName name="S.05J2" localSheetId="0">#REF!</definedName>
    <definedName name="S.05J2" localSheetId="5">#REF!</definedName>
    <definedName name="S.05J2" localSheetId="6">#REF!</definedName>
    <definedName name="S.05J2" localSheetId="16">#REF!</definedName>
    <definedName name="S.05J2" localSheetId="7">#REF!</definedName>
    <definedName name="S.05J2">#REF!</definedName>
    <definedName name="S.05J3" localSheetId="18">#REF!</definedName>
    <definedName name="S.05J3" localSheetId="10">#REF!</definedName>
    <definedName name="S.05J3" localSheetId="21">#REF!</definedName>
    <definedName name="S.05J3" localSheetId="1">#REF!</definedName>
    <definedName name="S.05J3" localSheetId="0">#REF!</definedName>
    <definedName name="S.05J3" localSheetId="5">#REF!</definedName>
    <definedName name="S.05J3" localSheetId="6">#REF!</definedName>
    <definedName name="S.05J3" localSheetId="16">#REF!</definedName>
    <definedName name="S.05J3" localSheetId="7">#REF!</definedName>
    <definedName name="S.05J3">#REF!</definedName>
    <definedName name="S.05J4" localSheetId="18">#REF!</definedName>
    <definedName name="S.05J4" localSheetId="10">#REF!</definedName>
    <definedName name="S.05J4" localSheetId="21">#REF!</definedName>
    <definedName name="S.05J4" localSheetId="1">#REF!</definedName>
    <definedName name="S.05J4" localSheetId="0">#REF!</definedName>
    <definedName name="S.05J4" localSheetId="5">#REF!</definedName>
    <definedName name="S.05J4" localSheetId="6">#REF!</definedName>
    <definedName name="S.05J4" localSheetId="16">#REF!</definedName>
    <definedName name="S.05J4" localSheetId="7">#REF!</definedName>
    <definedName name="S.05J4">#REF!</definedName>
    <definedName name="S.05J5" localSheetId="18">#REF!</definedName>
    <definedName name="S.05J5" localSheetId="10">#REF!</definedName>
    <definedName name="S.05J5" localSheetId="21">#REF!</definedName>
    <definedName name="S.05J5" localSheetId="1">#REF!</definedName>
    <definedName name="S.05J5" localSheetId="0">#REF!</definedName>
    <definedName name="S.05J5" localSheetId="5">#REF!</definedName>
    <definedName name="S.05J5" localSheetId="6">#REF!</definedName>
    <definedName name="S.05J5" localSheetId="16">#REF!</definedName>
    <definedName name="S.05J5" localSheetId="7">#REF!</definedName>
    <definedName name="S.05J5">#REF!</definedName>
    <definedName name="S.05J6" localSheetId="18">#REF!</definedName>
    <definedName name="S.05J6" localSheetId="10">#REF!</definedName>
    <definedName name="S.05J6" localSheetId="21">#REF!</definedName>
    <definedName name="S.05J6" localSheetId="1">#REF!</definedName>
    <definedName name="S.05J6" localSheetId="0">#REF!</definedName>
    <definedName name="S.05J6" localSheetId="5">#REF!</definedName>
    <definedName name="S.05J6" localSheetId="6">#REF!</definedName>
    <definedName name="S.05J6" localSheetId="16">#REF!</definedName>
    <definedName name="S.05J6" localSheetId="7">#REF!</definedName>
    <definedName name="S.05J6">#REF!</definedName>
    <definedName name="S.05J7" localSheetId="18">#REF!</definedName>
    <definedName name="S.05J7" localSheetId="10">#REF!</definedName>
    <definedName name="S.05J7" localSheetId="21">#REF!</definedName>
    <definedName name="S.05J7" localSheetId="1">#REF!</definedName>
    <definedName name="S.05J7" localSheetId="0">#REF!</definedName>
    <definedName name="S.05J7" localSheetId="5">#REF!</definedName>
    <definedName name="S.05J7" localSheetId="6">#REF!</definedName>
    <definedName name="S.05J7" localSheetId="16">#REF!</definedName>
    <definedName name="S.05J7" localSheetId="7">#REF!</definedName>
    <definedName name="S.05J7">#REF!</definedName>
    <definedName name="s.05k" localSheetId="18">#REF!</definedName>
    <definedName name="s.05k" localSheetId="10">#REF!</definedName>
    <definedName name="s.05k" localSheetId="21">#REF!</definedName>
    <definedName name="s.05k" localSheetId="1">#REF!</definedName>
    <definedName name="s.05k" localSheetId="0">#REF!</definedName>
    <definedName name="s.05k" localSheetId="5">#REF!</definedName>
    <definedName name="s.05k" localSheetId="6">#REF!</definedName>
    <definedName name="s.05k" localSheetId="16">#REF!</definedName>
    <definedName name="s.05k" localSheetId="7">#REF!</definedName>
    <definedName name="s.05k">#REF!</definedName>
    <definedName name="S.05L" localSheetId="18">#REF!</definedName>
    <definedName name="S.05L" localSheetId="10">#REF!</definedName>
    <definedName name="S.05L" localSheetId="21">#REF!</definedName>
    <definedName name="S.05L" localSheetId="1">#REF!</definedName>
    <definedName name="S.05L" localSheetId="0">#REF!</definedName>
    <definedName name="S.05L" localSheetId="5">#REF!</definedName>
    <definedName name="S.05L" localSheetId="6">#REF!</definedName>
    <definedName name="S.05L" localSheetId="16">#REF!</definedName>
    <definedName name="S.05L" localSheetId="7">#REF!</definedName>
    <definedName name="S.05L">#REF!</definedName>
    <definedName name="S.05M" localSheetId="18">#REF!</definedName>
    <definedName name="S.05M" localSheetId="10">#REF!</definedName>
    <definedName name="S.05M" localSheetId="21">#REF!</definedName>
    <definedName name="S.05M" localSheetId="1">#REF!</definedName>
    <definedName name="S.05M" localSheetId="0">#REF!</definedName>
    <definedName name="S.05M" localSheetId="5">#REF!</definedName>
    <definedName name="S.05M" localSheetId="6">#REF!</definedName>
    <definedName name="S.05M" localSheetId="16">#REF!</definedName>
    <definedName name="S.05M" localSheetId="7">#REF!</definedName>
    <definedName name="S.05M">#REF!</definedName>
    <definedName name="s.09a" localSheetId="18">#REF!</definedName>
    <definedName name="s.09a" localSheetId="10">#REF!</definedName>
    <definedName name="s.09a" localSheetId="21">#REF!</definedName>
    <definedName name="s.09a" localSheetId="1">#REF!</definedName>
    <definedName name="s.09a" localSheetId="0">#REF!</definedName>
    <definedName name="s.09a" localSheetId="5">#REF!</definedName>
    <definedName name="s.09a" localSheetId="6">#REF!</definedName>
    <definedName name="s.09a" localSheetId="16">#REF!</definedName>
    <definedName name="s.09a" localSheetId="7">#REF!</definedName>
    <definedName name="s.09a">#REF!</definedName>
    <definedName name="s.09b" localSheetId="18">#REF!</definedName>
    <definedName name="s.09b" localSheetId="10">#REF!</definedName>
    <definedName name="s.09b" localSheetId="21">#REF!</definedName>
    <definedName name="s.09b" localSheetId="1">#REF!</definedName>
    <definedName name="s.09b" localSheetId="0">#REF!</definedName>
    <definedName name="s.09b" localSheetId="5">#REF!</definedName>
    <definedName name="s.09b" localSheetId="6">#REF!</definedName>
    <definedName name="s.09b" localSheetId="16">#REF!</definedName>
    <definedName name="s.09b" localSheetId="7">#REF!</definedName>
    <definedName name="s.09b">#REF!</definedName>
    <definedName name="s.09c" localSheetId="18">#REF!</definedName>
    <definedName name="s.09c" localSheetId="10">#REF!</definedName>
    <definedName name="s.09c" localSheetId="21">#REF!</definedName>
    <definedName name="s.09c" localSheetId="1">#REF!</definedName>
    <definedName name="s.09c" localSheetId="0">#REF!</definedName>
    <definedName name="s.09c" localSheetId="5">#REF!</definedName>
    <definedName name="s.09c" localSheetId="6">#REF!</definedName>
    <definedName name="s.09c" localSheetId="16">#REF!</definedName>
    <definedName name="s.09c" localSheetId="7">#REF!</definedName>
    <definedName name="s.09c">#REF!</definedName>
    <definedName name="s.tukang" localSheetId="18">#REF!</definedName>
    <definedName name="s.tukang" localSheetId="11">#REF!</definedName>
    <definedName name="s.tukang" localSheetId="10">#REF!</definedName>
    <definedName name="s.tukang" localSheetId="21">#REF!</definedName>
    <definedName name="s.tukang" localSheetId="12">#REF!</definedName>
    <definedName name="s.tukang" localSheetId="1">#REF!</definedName>
    <definedName name="s.tukang" localSheetId="0">#REF!</definedName>
    <definedName name="s.tukang" localSheetId="14">#REF!</definedName>
    <definedName name="s.tukang" localSheetId="5">#REF!</definedName>
    <definedName name="s.tukang" localSheetId="6">#REF!</definedName>
    <definedName name="s.tukang" localSheetId="16">#REF!</definedName>
    <definedName name="s.tukang" localSheetId="7">#REF!</definedName>
    <definedName name="s.tukang">#REF!</definedName>
    <definedName name="s.warna" localSheetId="18">#REF!</definedName>
    <definedName name="s.warna" localSheetId="11">#REF!</definedName>
    <definedName name="s.warna" localSheetId="10">#REF!</definedName>
    <definedName name="s.warna" localSheetId="21">#REF!</definedName>
    <definedName name="s.warna" localSheetId="12">#REF!</definedName>
    <definedName name="s.warna" localSheetId="1">#REF!</definedName>
    <definedName name="s.warna" localSheetId="0">#REF!</definedName>
    <definedName name="s.warna" localSheetId="14">#REF!</definedName>
    <definedName name="s.warna" localSheetId="5">#REF!</definedName>
    <definedName name="s.warna" localSheetId="6">#REF!</definedName>
    <definedName name="s.warna" localSheetId="16">#REF!</definedName>
    <definedName name="s.warna" localSheetId="7">#REF!</definedName>
    <definedName name="s.warna">#REF!</definedName>
    <definedName name="S_V" localSheetId="21">#REF!</definedName>
    <definedName name="S_V" localSheetId="1">#REF!</definedName>
    <definedName name="S_V" localSheetId="0">#REF!</definedName>
    <definedName name="S_V" localSheetId="5">#REF!</definedName>
    <definedName name="S_V" localSheetId="6">#REF!</definedName>
    <definedName name="S_V" localSheetId="16">#REF!</definedName>
    <definedName name="S_V" localSheetId="7">#REF!</definedName>
    <definedName name="S_V">#REF!</definedName>
    <definedName name="sabtu">'[23]Upah&amp;Bahan'!$C$15</definedName>
    <definedName name="sabu">'[23]Upah&amp;Bahan'!$C$26</definedName>
    <definedName name="SAD">[5]alat!$A$237:$J$295</definedName>
    <definedName name="saku">'[23]Upah&amp;Bahan'!$C$21</definedName>
    <definedName name="sali">'[23]Upah&amp;Bahan'!$C$22</definedName>
    <definedName name="salome">'[23]Upah&amp;Bahan'!$C$16</definedName>
    <definedName name="sampai">'[13]Upah&amp;Bahan'!$C$51</definedName>
    <definedName name="sanum">'[23]Upah&amp;Bahan'!$C$17</definedName>
    <definedName name="sanur">'[23]Upah&amp;Bahan'!$C$24</definedName>
    <definedName name="Sapu" localSheetId="21">'[26]Daftar Harga'!#REF!</definedName>
    <definedName name="Sapu" localSheetId="1">'[26]Daftar Harga'!#REF!</definedName>
    <definedName name="Sapu" localSheetId="0">'[26]Daftar Harga'!#REF!</definedName>
    <definedName name="Sapu" localSheetId="5">'[26]Daftar Harga'!#REF!</definedName>
    <definedName name="Sapu" localSheetId="6">'[26]Daftar Harga'!#REF!</definedName>
    <definedName name="Sapu" localSheetId="16">'[26]Daftar Harga'!#REF!</definedName>
    <definedName name="Sapu" localSheetId="7">'[26]Daftar Harga'!#REF!</definedName>
    <definedName name="Sapu">'[26]Daftar Harga'!#REF!</definedName>
    <definedName name="satin">'[23]Upah&amp;Bahan'!$C$23</definedName>
    <definedName name="satu" localSheetId="18">#REF!</definedName>
    <definedName name="satu" localSheetId="11">#REF!</definedName>
    <definedName name="satu" localSheetId="10">#REF!</definedName>
    <definedName name="satu" localSheetId="21">#REF!</definedName>
    <definedName name="satu" localSheetId="12">#REF!</definedName>
    <definedName name="satu" localSheetId="1">#REF!</definedName>
    <definedName name="satu" localSheetId="0">#REF!</definedName>
    <definedName name="satu" localSheetId="14">#REF!</definedName>
    <definedName name="satu" localSheetId="5">#REF!</definedName>
    <definedName name="satu" localSheetId="6">#REF!</definedName>
    <definedName name="satu" localSheetId="16">#REF!</definedName>
    <definedName name="satu" localSheetId="7">#REF!</definedName>
    <definedName name="satu">#REF!</definedName>
    <definedName name="saya">'[23]Upah&amp;Bahan'!$C$18</definedName>
    <definedName name="sayang" localSheetId="18">'[13]Kuantitas &amp; Harga'!#REF!</definedName>
    <definedName name="sayang" localSheetId="11">'[13]Kuantitas &amp; Harga'!#REF!</definedName>
    <definedName name="sayang" localSheetId="10">'[13]Kuantitas &amp; Harga'!#REF!</definedName>
    <definedName name="sayang" localSheetId="21">'[13]Kuantitas &amp; Harga'!#REF!</definedName>
    <definedName name="sayang" localSheetId="12">'[13]Kuantitas &amp; Harga'!#REF!</definedName>
    <definedName name="sayang" localSheetId="1">'[13]Kuantitas &amp; Harga'!#REF!</definedName>
    <definedName name="sayang" localSheetId="0">'[13]Kuantitas &amp; Harga'!#REF!</definedName>
    <definedName name="sayang" localSheetId="14">'[13]Kuantitas &amp; Harga'!#REF!</definedName>
    <definedName name="sayang" localSheetId="5">'[13]Kuantitas &amp; Harga'!#REF!</definedName>
    <definedName name="sayang" localSheetId="6">'[13]Kuantitas &amp; Harga'!#REF!</definedName>
    <definedName name="sayang" localSheetId="16">'[13]Kuantitas &amp; Harga'!#REF!</definedName>
    <definedName name="sayang" localSheetId="7">'[13]Kuantitas &amp; Harga'!#REF!</definedName>
    <definedName name="sayang">'[13]Kuantitas &amp; Harga'!#REF!</definedName>
    <definedName name="sayu">'[23]Upah&amp;Bahan'!$C$19</definedName>
    <definedName name="sayur">'[23]Upah&amp;Bahan'!$C$27</definedName>
    <definedName name="SD">[5]alat!$AW$13</definedName>
    <definedName name="SDS" localSheetId="21">#REF!</definedName>
    <definedName name="SDS" localSheetId="1">#REF!</definedName>
    <definedName name="SDS" localSheetId="0">#REF!</definedName>
    <definedName name="SDS" localSheetId="5">#REF!</definedName>
    <definedName name="SDS" localSheetId="6">#REF!</definedName>
    <definedName name="SDS" localSheetId="16">#REF!</definedName>
    <definedName name="SDS" localSheetId="7">#REF!</definedName>
    <definedName name="SDS">#REF!</definedName>
    <definedName name="SDT" localSheetId="21">#REF!</definedName>
    <definedName name="SDT" localSheetId="1">#REF!</definedName>
    <definedName name="SDT" localSheetId="0">#REF!</definedName>
    <definedName name="SDT" localSheetId="5">#REF!</definedName>
    <definedName name="SDT" localSheetId="6">#REF!</definedName>
    <definedName name="SDT" localSheetId="16">#REF!</definedName>
    <definedName name="SDT" localSheetId="7">#REF!</definedName>
    <definedName name="SDT">#REF!</definedName>
    <definedName name="sealer" localSheetId="18">#REF!</definedName>
    <definedName name="sealer" localSheetId="11">#REF!</definedName>
    <definedName name="sealer" localSheetId="10">#REF!</definedName>
    <definedName name="sealer" localSheetId="21">#REF!</definedName>
    <definedName name="sealer" localSheetId="12">#REF!</definedName>
    <definedName name="sealer" localSheetId="1">#REF!</definedName>
    <definedName name="sealer" localSheetId="0">#REF!</definedName>
    <definedName name="sealer" localSheetId="14">#REF!</definedName>
    <definedName name="sealer" localSheetId="5">#REF!</definedName>
    <definedName name="sealer" localSheetId="6">#REF!</definedName>
    <definedName name="sealer" localSheetId="16">#REF!</definedName>
    <definedName name="sealer" localSheetId="7">#REF!</definedName>
    <definedName name="sealer">#REF!</definedName>
    <definedName name="sealer.mowi" localSheetId="18">#REF!</definedName>
    <definedName name="sealer.mowi" localSheetId="11">#REF!</definedName>
    <definedName name="sealer.mowi" localSheetId="10">#REF!</definedName>
    <definedName name="sealer.mowi" localSheetId="21">#REF!</definedName>
    <definedName name="sealer.mowi" localSheetId="12">#REF!</definedName>
    <definedName name="sealer.mowi" localSheetId="1">#REF!</definedName>
    <definedName name="sealer.mowi" localSheetId="0">#REF!</definedName>
    <definedName name="sealer.mowi" localSheetId="14">#REF!</definedName>
    <definedName name="sealer.mowi" localSheetId="5">#REF!</definedName>
    <definedName name="sealer.mowi" localSheetId="6">#REF!</definedName>
    <definedName name="sealer.mowi" localSheetId="16">#REF!</definedName>
    <definedName name="sealer.mowi" localSheetId="7">#REF!</definedName>
    <definedName name="sealer.mowi">#REF!</definedName>
    <definedName name="sealer.vini" localSheetId="18">#REF!</definedName>
    <definedName name="sealer.vini" localSheetId="11">#REF!</definedName>
    <definedName name="sealer.vini" localSheetId="10">#REF!</definedName>
    <definedName name="sealer.vini" localSheetId="21">#REF!</definedName>
    <definedName name="sealer.vini" localSheetId="12">#REF!</definedName>
    <definedName name="sealer.vini" localSheetId="1">#REF!</definedName>
    <definedName name="sealer.vini" localSheetId="0">#REF!</definedName>
    <definedName name="sealer.vini" localSheetId="14">#REF!</definedName>
    <definedName name="sealer.vini" localSheetId="5">#REF!</definedName>
    <definedName name="sealer.vini" localSheetId="6">#REF!</definedName>
    <definedName name="sealer.vini" localSheetId="16">#REF!</definedName>
    <definedName name="sealer.vini" localSheetId="7">#REF!</definedName>
    <definedName name="sealer.vini">#REF!</definedName>
    <definedName name="sekali">'[13]Upah&amp;Bahan'!$C$43</definedName>
    <definedName name="Sekop" localSheetId="21">[26]Analisa!#REF!</definedName>
    <definedName name="Sekop" localSheetId="1">[26]Analisa!#REF!</definedName>
    <definedName name="Sekop" localSheetId="0">[26]Analisa!#REF!</definedName>
    <definedName name="Sekop" localSheetId="5">[26]Analisa!#REF!</definedName>
    <definedName name="Sekop" localSheetId="6">[26]Analisa!#REF!</definedName>
    <definedName name="Sekop" localSheetId="16">[26]Analisa!#REF!</definedName>
    <definedName name="Sekop" localSheetId="7">[26]Analisa!#REF!</definedName>
    <definedName name="Sekop">[26]Analisa!#REF!</definedName>
    <definedName name="Sekul" localSheetId="21">[26]Analisa!#REF!</definedName>
    <definedName name="Sekul" localSheetId="1">[26]Analisa!#REF!</definedName>
    <definedName name="Sekul" localSheetId="0">[26]Analisa!#REF!</definedName>
    <definedName name="Sekul" localSheetId="5">[26]Analisa!#REF!</definedName>
    <definedName name="Sekul" localSheetId="6">[26]Analisa!#REF!</definedName>
    <definedName name="Sekul" localSheetId="16">[26]Analisa!#REF!</definedName>
    <definedName name="Sekul" localSheetId="7">[26]Analisa!#REF!</definedName>
    <definedName name="Sekul">[26]Analisa!#REF!</definedName>
    <definedName name="Sembarang" localSheetId="21">'[26]Daftar Harga'!#REF!</definedName>
    <definedName name="Sembarang" localSheetId="1">'[26]Daftar Harga'!#REF!</definedName>
    <definedName name="Sembarang" localSheetId="0">'[26]Daftar Harga'!#REF!</definedName>
    <definedName name="Sembarang" localSheetId="5">'[26]Daftar Harga'!#REF!</definedName>
    <definedName name="Sembarang" localSheetId="6">'[26]Daftar Harga'!#REF!</definedName>
    <definedName name="Sembarang" localSheetId="16">'[26]Daftar Harga'!#REF!</definedName>
    <definedName name="Sembarang" localSheetId="7">'[26]Daftar Harga'!#REF!</definedName>
    <definedName name="Sembarang">'[26]Daftar Harga'!#REF!</definedName>
    <definedName name="Semen" localSheetId="18">#REF!</definedName>
    <definedName name="Semen" localSheetId="11">#REF!</definedName>
    <definedName name="Semen" localSheetId="10">#REF!</definedName>
    <definedName name="Semen" localSheetId="21">#REF!</definedName>
    <definedName name="Semen" localSheetId="12">#REF!</definedName>
    <definedName name="Semen" localSheetId="1">#REF!</definedName>
    <definedName name="Semen" localSheetId="0">#REF!</definedName>
    <definedName name="Semen" localSheetId="14">#REF!</definedName>
    <definedName name="Semen" localSheetId="5">#REF!</definedName>
    <definedName name="Semen" localSheetId="6">#REF!</definedName>
    <definedName name="Semen" localSheetId="16">#REF!</definedName>
    <definedName name="Semen" localSheetId="7">#REF!</definedName>
    <definedName name="Semen">#REF!</definedName>
    <definedName name="seng" localSheetId="18">[25]Analisis!#REF!</definedName>
    <definedName name="seng" localSheetId="10">[25]Analisis!#REF!</definedName>
    <definedName name="seng" localSheetId="21">[25]Analisis!#REF!</definedName>
    <definedName name="seng" localSheetId="1">[25]Analisis!#REF!</definedName>
    <definedName name="seng" localSheetId="0">[25]Analisis!#REF!</definedName>
    <definedName name="seng" localSheetId="5">[25]Analisis!#REF!</definedName>
    <definedName name="seng" localSheetId="6">[25]Analisis!#REF!</definedName>
    <definedName name="seng" localSheetId="16">[25]Analisis!#REF!</definedName>
    <definedName name="seng" localSheetId="7">[25]Analisis!#REF!</definedName>
    <definedName name="seng">[25]Analisis!#REF!</definedName>
    <definedName name="sengplat">[30]rekap!$D$29</definedName>
    <definedName name="seumantok">[30]rekap!$D$42</definedName>
    <definedName name="sg" localSheetId="18">#REF!</definedName>
    <definedName name="sg" localSheetId="21">#REF!</definedName>
    <definedName name="sg" localSheetId="1">#REF!</definedName>
    <definedName name="sg" localSheetId="0">#REF!</definedName>
    <definedName name="sg" localSheetId="5">#REF!</definedName>
    <definedName name="sg" localSheetId="6">#REF!</definedName>
    <definedName name="sg" localSheetId="16">#REF!</definedName>
    <definedName name="sg" localSheetId="7">#REF!</definedName>
    <definedName name="sg">#REF!</definedName>
    <definedName name="sga" localSheetId="18">#REF!</definedName>
    <definedName name="sga" localSheetId="21">#REF!</definedName>
    <definedName name="sga" localSheetId="1">#REF!</definedName>
    <definedName name="sga" localSheetId="0">#REF!</definedName>
    <definedName name="sga" localSheetId="5">#REF!</definedName>
    <definedName name="sga" localSheetId="6">#REF!</definedName>
    <definedName name="sga" localSheetId="16">#REF!</definedName>
    <definedName name="sga" localSheetId="7">#REF!</definedName>
    <definedName name="sga">#REF!</definedName>
    <definedName name="shovel" localSheetId="18">#REF!</definedName>
    <definedName name="shovel" localSheetId="21">#REF!</definedName>
    <definedName name="shovel" localSheetId="1">#REF!</definedName>
    <definedName name="shovel" localSheetId="0">#REF!</definedName>
    <definedName name="shovel" localSheetId="5">#REF!</definedName>
    <definedName name="shovel" localSheetId="6">#REF!</definedName>
    <definedName name="shovel" localSheetId="16">#REF!</definedName>
    <definedName name="shovel" localSheetId="7">#REF!</definedName>
    <definedName name="shovel">#REF!</definedName>
    <definedName name="siap2" localSheetId="21">'[15]R-MP2-98'!#REF!</definedName>
    <definedName name="siap2" localSheetId="1">'[15]R-MP2-98'!#REF!</definedName>
    <definedName name="siap2" localSheetId="0">'[15]R-MP2-98'!#REF!</definedName>
    <definedName name="siap2" localSheetId="5">'[15]R-MP2-98'!#REF!</definedName>
    <definedName name="siap2" localSheetId="6">'[15]R-MP2-98'!#REF!</definedName>
    <definedName name="siap2" localSheetId="16">'[15]R-MP2-98'!#REF!</definedName>
    <definedName name="siap2" localSheetId="7">'[15]R-MP2-98'!#REF!</definedName>
    <definedName name="siap2">'[15]R-MP2-98'!#REF!</definedName>
    <definedName name="siap3" localSheetId="21">'[15]R-MP2-98'!#REF!</definedName>
    <definedName name="siap3" localSheetId="1">'[15]R-MP2-98'!#REF!</definedName>
    <definedName name="siap3" localSheetId="0">'[15]R-MP2-98'!#REF!</definedName>
    <definedName name="siap3" localSheetId="5">'[15]R-MP2-98'!#REF!</definedName>
    <definedName name="siap3" localSheetId="6">'[15]R-MP2-98'!#REF!</definedName>
    <definedName name="siap3" localSheetId="16">'[15]R-MP2-98'!#REF!</definedName>
    <definedName name="siap3" localSheetId="7">'[15]R-MP2-98'!#REF!</definedName>
    <definedName name="siap3">'[15]R-MP2-98'!#REF!</definedName>
    <definedName name="siap4" localSheetId="21">'[15]R-MP2-98'!#REF!</definedName>
    <definedName name="siap4" localSheetId="1">'[15]R-MP2-98'!#REF!</definedName>
    <definedName name="siap4" localSheetId="0">'[15]R-MP2-98'!#REF!</definedName>
    <definedName name="siap4" localSheetId="5">'[15]R-MP2-98'!#REF!</definedName>
    <definedName name="siap4" localSheetId="6">'[15]R-MP2-98'!#REF!</definedName>
    <definedName name="siap4" localSheetId="16">'[15]R-MP2-98'!#REF!</definedName>
    <definedName name="siap4" localSheetId="7">'[15]R-MP2-98'!#REF!</definedName>
    <definedName name="siap4">'[15]R-MP2-98'!#REF!</definedName>
    <definedName name="siap5" localSheetId="21">'[16]R-MP'!#REF!</definedName>
    <definedName name="siap5" localSheetId="1">'[16]R-MP'!#REF!</definedName>
    <definedName name="siap5" localSheetId="0">'[16]R-MP'!#REF!</definedName>
    <definedName name="siap5" localSheetId="5">'[16]R-MP'!#REF!</definedName>
    <definedName name="siap5" localSheetId="6">'[16]R-MP'!#REF!</definedName>
    <definedName name="siap5" localSheetId="16">'[16]R-MP'!#REF!</definedName>
    <definedName name="siap5" localSheetId="7">'[16]R-MP'!#REF!</definedName>
    <definedName name="siap5">'[16]R-MP'!#REF!</definedName>
    <definedName name="siapakah">'[13]Upah&amp;Bahan'!$C$22</definedName>
    <definedName name="Siar" localSheetId="21">[10]HSP!#REF!</definedName>
    <definedName name="Siar" localSheetId="1">[10]HSP!#REF!</definedName>
    <definedName name="Siar" localSheetId="0">[10]HSP!#REF!</definedName>
    <definedName name="Siar" localSheetId="5">[10]HSP!#REF!</definedName>
    <definedName name="Siar" localSheetId="6">[10]HSP!#REF!</definedName>
    <definedName name="Siar" localSheetId="16">[10]HSP!#REF!</definedName>
    <definedName name="Siar" localSheetId="7">[10]HSP!#REF!</definedName>
    <definedName name="Siar">[10]HSP!#REF!</definedName>
    <definedName name="sibolga" localSheetId="18">'[57]8'!#REF!</definedName>
    <definedName name="sibolga" localSheetId="10">'[57]8'!#REF!</definedName>
    <definedName name="sibolga" localSheetId="21">'[57]8'!#REF!</definedName>
    <definedName name="sibolga" localSheetId="1">'[57]8'!#REF!</definedName>
    <definedName name="sibolga" localSheetId="0">'[57]8'!#REF!</definedName>
    <definedName name="sibolga" localSheetId="5">'[57]8'!#REF!</definedName>
    <definedName name="sibolga" localSheetId="6">'[57]8'!#REF!</definedName>
    <definedName name="sibolga" localSheetId="16">'[57]8'!#REF!</definedName>
    <definedName name="sibolga" localSheetId="7">'[57]8'!#REF!</definedName>
    <definedName name="sibolga">'[57]8'!#REF!</definedName>
    <definedName name="Sikatbaja" localSheetId="21">'[26]Daftar Harga'!#REF!</definedName>
    <definedName name="Sikatbaja" localSheetId="1">'[26]Daftar Harga'!#REF!</definedName>
    <definedName name="Sikatbaja" localSheetId="0">'[26]Daftar Harga'!#REF!</definedName>
    <definedName name="Sikatbaja" localSheetId="5">'[26]Daftar Harga'!#REF!</definedName>
    <definedName name="Sikatbaja" localSheetId="6">'[26]Daftar Harga'!#REF!</definedName>
    <definedName name="Sikatbaja" localSheetId="16">'[26]Daftar Harga'!#REF!</definedName>
    <definedName name="Sikatbaja" localSheetId="7">'[26]Daftar Harga'!#REF!</definedName>
    <definedName name="Sikatbaja">'[26]Daftar Harga'!#REF!</definedName>
    <definedName name="Sikatijuk" localSheetId="21">'[26]Daftar Harga'!#REF!</definedName>
    <definedName name="Sikatijuk" localSheetId="1">'[26]Daftar Harga'!#REF!</definedName>
    <definedName name="Sikatijuk" localSheetId="0">'[26]Daftar Harga'!#REF!</definedName>
    <definedName name="Sikatijuk" localSheetId="5">'[26]Daftar Harga'!#REF!</definedName>
    <definedName name="Sikatijuk" localSheetId="6">'[26]Daftar Harga'!#REF!</definedName>
    <definedName name="Sikatijuk" localSheetId="16">'[26]Daftar Harga'!#REF!</definedName>
    <definedName name="Sikatijuk" localSheetId="7">'[26]Daftar Harga'!#REF!</definedName>
    <definedName name="Sikatijuk">'[26]Daftar Harga'!#REF!</definedName>
    <definedName name="siku">'[23]Upah&amp;Bahan'!$C$20</definedName>
    <definedName name="sipil" localSheetId="18">#REF!</definedName>
    <definedName name="sipil" localSheetId="10">#REF!</definedName>
    <definedName name="sipil" localSheetId="21">#REF!</definedName>
    <definedName name="sipil" localSheetId="1">#REF!</definedName>
    <definedName name="sipil" localSheetId="0">#REF!</definedName>
    <definedName name="sipil" localSheetId="5">#REF!</definedName>
    <definedName name="sipil" localSheetId="6">#REF!</definedName>
    <definedName name="sipil" localSheetId="16">#REF!</definedName>
    <definedName name="sipil" localSheetId="7">#REF!</definedName>
    <definedName name="sipil">#REF!</definedName>
    <definedName name="sirtu" localSheetId="18">#REF!</definedName>
    <definedName name="sirtu" localSheetId="10">#REF!</definedName>
    <definedName name="sirtu" localSheetId="21">#REF!</definedName>
    <definedName name="sirtu" localSheetId="1">#REF!</definedName>
    <definedName name="sirtu" localSheetId="0">#REF!</definedName>
    <definedName name="sirtu" localSheetId="5">#REF!</definedName>
    <definedName name="sirtu" localSheetId="6">#REF!</definedName>
    <definedName name="sirtu" localSheetId="16">#REF!</definedName>
    <definedName name="sirtu" localSheetId="7">#REF!</definedName>
    <definedName name="sirtu">#REF!</definedName>
    <definedName name="sisikbadak" localSheetId="18">[25]Analisis!#REF!</definedName>
    <definedName name="sisikbadak" localSheetId="10">[25]Analisis!#REF!</definedName>
    <definedName name="sisikbadak" localSheetId="21">[25]Analisis!#REF!</definedName>
    <definedName name="sisikbadak" localSheetId="1">[25]Analisis!#REF!</definedName>
    <definedName name="sisikbadak" localSheetId="0">[25]Analisis!#REF!</definedName>
    <definedName name="sisikbadak" localSheetId="5">[25]Analisis!#REF!</definedName>
    <definedName name="sisikbadak" localSheetId="6">[25]Analisis!#REF!</definedName>
    <definedName name="sisikbadak" localSheetId="16">[25]Analisis!#REF!</definedName>
    <definedName name="sisikbadak" localSheetId="7">[25]Analisis!#REF!</definedName>
    <definedName name="sisikbadak">[25]Analisis!#REF!</definedName>
    <definedName name="Slof" localSheetId="18">#REF!</definedName>
    <definedName name="Slof" localSheetId="21">#REF!</definedName>
    <definedName name="Slof" localSheetId="1">#REF!</definedName>
    <definedName name="Slof" localSheetId="0">#REF!</definedName>
    <definedName name="Slof" localSheetId="5">#REF!</definedName>
    <definedName name="Slof" localSheetId="6">#REF!</definedName>
    <definedName name="Slof" localSheetId="16">#REF!</definedName>
    <definedName name="Slof" localSheetId="7">#REF!</definedName>
    <definedName name="Slof">#REF!</definedName>
    <definedName name="sm" localSheetId="21">#REF!</definedName>
    <definedName name="sm" localSheetId="1">#REF!</definedName>
    <definedName name="sm" localSheetId="0">#REF!</definedName>
    <definedName name="sm" localSheetId="5">#REF!</definedName>
    <definedName name="sm" localSheetId="6">#REF!</definedName>
    <definedName name="sm" localSheetId="16">#REF!</definedName>
    <definedName name="sm" localSheetId="7">#REF!</definedName>
    <definedName name="sm">#REF!</definedName>
    <definedName name="smu_hkbp" localSheetId="18">#REF!</definedName>
    <definedName name="smu_hkbp" localSheetId="10">#REF!</definedName>
    <definedName name="smu_hkbp" localSheetId="21">#REF!</definedName>
    <definedName name="smu_hkbp" localSheetId="1">#REF!</definedName>
    <definedName name="smu_hkbp" localSheetId="0">#REF!</definedName>
    <definedName name="smu_hkbp" localSheetId="5">#REF!</definedName>
    <definedName name="smu_hkbp" localSheetId="6">#REF!</definedName>
    <definedName name="smu_hkbp" localSheetId="16">#REF!</definedName>
    <definedName name="smu_hkbp" localSheetId="7">#REF!</definedName>
    <definedName name="smu_hkbp">#REF!</definedName>
    <definedName name="SNI">[5]alat!$BD$326</definedName>
    <definedName name="SOLAR" localSheetId="18">#REF!</definedName>
    <definedName name="SOLAR" localSheetId="21">#REF!</definedName>
    <definedName name="SOLAR" localSheetId="1">#REF!</definedName>
    <definedName name="SOLAR" localSheetId="0">#REF!</definedName>
    <definedName name="SOLAR" localSheetId="5">#REF!</definedName>
    <definedName name="SOLAR" localSheetId="6">#REF!</definedName>
    <definedName name="SOLAR" localSheetId="16">#REF!</definedName>
    <definedName name="SOLAR" localSheetId="7">#REF!</definedName>
    <definedName name="SOLAR">#REF!</definedName>
    <definedName name="Split" localSheetId="21">'[26]Daftar Harga'!#REF!</definedName>
    <definedName name="Split" localSheetId="1">'[26]Daftar Harga'!#REF!</definedName>
    <definedName name="Split" localSheetId="0">'[26]Daftar Harga'!#REF!</definedName>
    <definedName name="Split" localSheetId="5">'[26]Daftar Harga'!#REF!</definedName>
    <definedName name="Split" localSheetId="6">'[26]Daftar Harga'!#REF!</definedName>
    <definedName name="Split" localSheetId="16">'[26]Daftar Harga'!#REF!</definedName>
    <definedName name="Split" localSheetId="7">'[26]Daftar Harga'!#REF!</definedName>
    <definedName name="Split">'[26]Daftar Harga'!#REF!</definedName>
    <definedName name="split1.2" localSheetId="18">#REF!</definedName>
    <definedName name="split1.2" localSheetId="11">#REF!</definedName>
    <definedName name="split1.2" localSheetId="10">#REF!</definedName>
    <definedName name="split1.2" localSheetId="21">#REF!</definedName>
    <definedName name="split1.2" localSheetId="12">#REF!</definedName>
    <definedName name="split1.2" localSheetId="1">#REF!</definedName>
    <definedName name="split1.2" localSheetId="0">#REF!</definedName>
    <definedName name="split1.2" localSheetId="14">#REF!</definedName>
    <definedName name="split1.2" localSheetId="5">#REF!</definedName>
    <definedName name="split1.2" localSheetId="6">#REF!</definedName>
    <definedName name="split1.2" localSheetId="16">#REF!</definedName>
    <definedName name="split1.2" localSheetId="7">#REF!</definedName>
    <definedName name="split1.2">#REF!</definedName>
    <definedName name="split2.3" localSheetId="18">#REF!</definedName>
    <definedName name="split2.3" localSheetId="11">#REF!</definedName>
    <definedName name="split2.3" localSheetId="10">#REF!</definedName>
    <definedName name="split2.3" localSheetId="21">#REF!</definedName>
    <definedName name="split2.3" localSheetId="12">#REF!</definedName>
    <definedName name="split2.3" localSheetId="1">#REF!</definedName>
    <definedName name="split2.3" localSheetId="0">#REF!</definedName>
    <definedName name="split2.3" localSheetId="14">#REF!</definedName>
    <definedName name="split2.3" localSheetId="5">#REF!</definedName>
    <definedName name="split2.3" localSheetId="6">#REF!</definedName>
    <definedName name="split2.3" localSheetId="16">#REF!</definedName>
    <definedName name="split2.3" localSheetId="7">#REF!</definedName>
    <definedName name="split2.3">#REF!</definedName>
    <definedName name="SPPD1" localSheetId="21">#REF!</definedName>
    <definedName name="SPPD1" localSheetId="1">#REF!</definedName>
    <definedName name="SPPD1" localSheetId="0">#REF!</definedName>
    <definedName name="SPPD1" localSheetId="5">#REF!</definedName>
    <definedName name="SPPD1" localSheetId="6">#REF!</definedName>
    <definedName name="SPPD1" localSheetId="16">#REF!</definedName>
    <definedName name="SPPD1" localSheetId="7">#REF!</definedName>
    <definedName name="SPPD1">#REF!</definedName>
    <definedName name="SPPD2" localSheetId="21">#REF!</definedName>
    <definedName name="SPPD2" localSheetId="1">#REF!</definedName>
    <definedName name="SPPD2" localSheetId="0">#REF!</definedName>
    <definedName name="SPPD2" localSheetId="5">#REF!</definedName>
    <definedName name="SPPD2" localSheetId="6">#REF!</definedName>
    <definedName name="SPPD2" localSheetId="16">#REF!</definedName>
    <definedName name="SPPD2" localSheetId="7">#REF!</definedName>
    <definedName name="SPPD2">#REF!</definedName>
    <definedName name="SPRAYER" localSheetId="21">[7]Peralatan!#REF!</definedName>
    <definedName name="SPRAYER" localSheetId="1">[7]Peralatan!#REF!</definedName>
    <definedName name="SPRAYER" localSheetId="0">[7]Peralatan!#REF!</definedName>
    <definedName name="SPRAYER" localSheetId="5">[7]Peralatan!#REF!</definedName>
    <definedName name="SPRAYER" localSheetId="6">[7]Peralatan!#REF!</definedName>
    <definedName name="SPRAYER" localSheetId="16">[7]Peralatan!#REF!</definedName>
    <definedName name="SPRAYER" localSheetId="7">[7]Peralatan!#REF!</definedName>
    <definedName name="SPRAYER">[7]Peralatan!#REF!</definedName>
    <definedName name="SR">[35]Rkp!$K$29</definedName>
    <definedName name="ss" localSheetId="18">#REF!</definedName>
    <definedName name="ss" localSheetId="10">#REF!</definedName>
    <definedName name="ss" localSheetId="21">#REF!</definedName>
    <definedName name="ss" localSheetId="1">#REF!</definedName>
    <definedName name="ss" localSheetId="0">#REF!</definedName>
    <definedName name="ss" localSheetId="5">#REF!</definedName>
    <definedName name="ss" localSheetId="6">#REF!</definedName>
    <definedName name="ss" localSheetId="16">#REF!</definedName>
    <definedName name="ss" localSheetId="7">#REF!</definedName>
    <definedName name="ss">#REF!</definedName>
    <definedName name="SSD" localSheetId="21">#REF!</definedName>
    <definedName name="SSD" localSheetId="1">#REF!</definedName>
    <definedName name="SSD" localSheetId="0">#REF!</definedName>
    <definedName name="SSD" localSheetId="5">#REF!</definedName>
    <definedName name="SSD" localSheetId="6">#REF!</definedName>
    <definedName name="SSD" localSheetId="16">#REF!</definedName>
    <definedName name="SSD" localSheetId="7">#REF!</definedName>
    <definedName name="SSD">#REF!</definedName>
    <definedName name="SSN" localSheetId="21">#REF!</definedName>
    <definedName name="SSN" localSheetId="1">#REF!</definedName>
    <definedName name="SSN" localSheetId="0">#REF!</definedName>
    <definedName name="SSN" localSheetId="5">#REF!</definedName>
    <definedName name="SSN" localSheetId="6">#REF!</definedName>
    <definedName name="SSN" localSheetId="16">#REF!</definedName>
    <definedName name="SSN" localSheetId="7">#REF!</definedName>
    <definedName name="SSN">#REF!</definedName>
    <definedName name="stairnzing" localSheetId="18">#REF!</definedName>
    <definedName name="stairnzing" localSheetId="11">#REF!</definedName>
    <definedName name="stairnzing" localSheetId="10">#REF!</definedName>
    <definedName name="stairnzing" localSheetId="21">#REF!</definedName>
    <definedName name="stairnzing" localSheetId="12">#REF!</definedName>
    <definedName name="stairnzing" localSheetId="1">#REF!</definedName>
    <definedName name="stairnzing" localSheetId="0">#REF!</definedName>
    <definedName name="stairnzing" localSheetId="14">#REF!</definedName>
    <definedName name="stairnzing" localSheetId="5">#REF!</definedName>
    <definedName name="stairnzing" localSheetId="6">#REF!</definedName>
    <definedName name="stairnzing" localSheetId="16">#REF!</definedName>
    <definedName name="stairnzing" localSheetId="7">#REF!</definedName>
    <definedName name="stairnzing">#REF!</definedName>
    <definedName name="STD" localSheetId="21">#REF!</definedName>
    <definedName name="STD" localSheetId="1">#REF!</definedName>
    <definedName name="STD" localSheetId="0">#REF!</definedName>
    <definedName name="STD" localSheetId="5">#REF!</definedName>
    <definedName name="STD" localSheetId="6">#REF!</definedName>
    <definedName name="STD" localSheetId="16">#REF!</definedName>
    <definedName name="STD" localSheetId="7">#REF!</definedName>
    <definedName name="STD">#REF!</definedName>
    <definedName name="steel" localSheetId="11">'[28]WF '!#REF!</definedName>
    <definedName name="steel" localSheetId="10">'[28]WF '!#REF!</definedName>
    <definedName name="steel" localSheetId="21">'[28]WF '!#REF!</definedName>
    <definedName name="steel" localSheetId="12">'[28]WF '!#REF!</definedName>
    <definedName name="steel" localSheetId="1">'[28]WF '!#REF!</definedName>
    <definedName name="steel" localSheetId="0">'[28]WF '!#REF!</definedName>
    <definedName name="steel" localSheetId="14">'[28]WF '!#REF!</definedName>
    <definedName name="steel" localSheetId="5">'[28]WF '!#REF!</definedName>
    <definedName name="steel" localSheetId="6">'[28]WF '!#REF!</definedName>
    <definedName name="steel" localSheetId="16">'[28]WF '!#REF!</definedName>
    <definedName name="steel" localSheetId="7">'[28]WF '!#REF!</definedName>
    <definedName name="steel">'[28]WF '!#REF!</definedName>
    <definedName name="stone" localSheetId="18">#REF!</definedName>
    <definedName name="stone" localSheetId="21">#REF!</definedName>
    <definedName name="stone" localSheetId="1">#REF!</definedName>
    <definedName name="stone" localSheetId="0">#REF!</definedName>
    <definedName name="stone" localSheetId="5">#REF!</definedName>
    <definedName name="stone" localSheetId="6">#REF!</definedName>
    <definedName name="stone" localSheetId="16">#REF!</definedName>
    <definedName name="stone" localSheetId="7">#REF!</definedName>
    <definedName name="stone">#REF!</definedName>
    <definedName name="STONECRUSHER" localSheetId="21">[7]Peralatan!#REF!</definedName>
    <definedName name="STONECRUSHER" localSheetId="1">[7]Peralatan!#REF!</definedName>
    <definedName name="STONECRUSHER" localSheetId="0">[7]Peralatan!#REF!</definedName>
    <definedName name="STONECRUSHER" localSheetId="5">[7]Peralatan!#REF!</definedName>
    <definedName name="STONECRUSHER" localSheetId="6">[7]Peralatan!#REF!</definedName>
    <definedName name="STONECRUSHER" localSheetId="16">[7]Peralatan!#REF!</definedName>
    <definedName name="STONECRUSHER" localSheetId="7">[7]Peralatan!#REF!</definedName>
    <definedName name="STONECRUSHER">[7]Peralatan!#REF!</definedName>
    <definedName name="Stop" localSheetId="21">[10]HSP!#REF!</definedName>
    <definedName name="Stop" localSheetId="1">[10]HSP!#REF!</definedName>
    <definedName name="Stop" localSheetId="0">[10]HSP!#REF!</definedName>
    <definedName name="Stop" localSheetId="5">[10]HSP!#REF!</definedName>
    <definedName name="Stop" localSheetId="6">[10]HSP!#REF!</definedName>
    <definedName name="Stop" localSheetId="16">[10]HSP!#REF!</definedName>
    <definedName name="Stop" localSheetId="7">[10]HSP!#REF!</definedName>
    <definedName name="Stop">[10]HSP!#REF!</definedName>
    <definedName name="str" localSheetId="18">#REF!</definedName>
    <definedName name="str" localSheetId="21">#REF!</definedName>
    <definedName name="str" localSheetId="1">#REF!</definedName>
    <definedName name="str" localSheetId="0">#REF!</definedName>
    <definedName name="str" localSheetId="5">#REF!</definedName>
    <definedName name="str" localSheetId="6">#REF!</definedName>
    <definedName name="str" localSheetId="16">#REF!</definedName>
    <definedName name="str" localSheetId="7">#REF!</definedName>
    <definedName name="str">#REF!</definedName>
    <definedName name="stress">'[13]Upah&amp;Bahan'!$C$19</definedName>
    <definedName name="Stripping" localSheetId="21">[10]HSP!#REF!</definedName>
    <definedName name="Stripping" localSheetId="1">[10]HSP!#REF!</definedName>
    <definedName name="Stripping" localSheetId="0">[10]HSP!#REF!</definedName>
    <definedName name="Stripping" localSheetId="5">[10]HSP!#REF!</definedName>
    <definedName name="Stripping" localSheetId="6">[10]HSP!#REF!</definedName>
    <definedName name="Stripping" localSheetId="16">[10]HSP!#REF!</definedName>
    <definedName name="Stripping" localSheetId="7">[10]HSP!#REF!</definedName>
    <definedName name="Stripping">[10]HSP!#REF!</definedName>
    <definedName name="STRUKTUR" localSheetId="18">'[12]Kuantitas &amp; Harga'!#REF!</definedName>
    <definedName name="STRUKTUR" localSheetId="11">'[12]Kuantitas &amp; Harga'!#REF!</definedName>
    <definedName name="STRUKTUR" localSheetId="10">'[12]Kuantitas &amp; Harga'!#REF!</definedName>
    <definedName name="STRUKTUR" localSheetId="21">'[12]Kuantitas &amp; Harga'!#REF!</definedName>
    <definedName name="STRUKTUR" localSheetId="12">'[12]Kuantitas &amp; Harga'!#REF!</definedName>
    <definedName name="STRUKTUR" localSheetId="1">'[12]Kuantitas &amp; Harga'!#REF!</definedName>
    <definedName name="STRUKTUR" localSheetId="0">'[12]Kuantitas &amp; Harga'!#REF!</definedName>
    <definedName name="STRUKTUR" localSheetId="14">'[12]Kuantitas &amp; Harga'!#REF!</definedName>
    <definedName name="STRUKTUR" localSheetId="5">'[12]Kuantitas &amp; Harga'!#REF!</definedName>
    <definedName name="STRUKTUR" localSheetId="6">'[12]Kuantitas &amp; Harga'!#REF!</definedName>
    <definedName name="STRUKTUR" localSheetId="16">'[12]Kuantitas &amp; Harga'!#REF!</definedName>
    <definedName name="STRUKTUR" localSheetId="7">'[12]Kuantitas &amp; Harga'!#REF!</definedName>
    <definedName name="STRUKTUR">'[12]Kuantitas &amp; Harga'!#REF!</definedName>
    <definedName name="STS" localSheetId="21">#REF!</definedName>
    <definedName name="STS" localSheetId="1">#REF!</definedName>
    <definedName name="STS" localSheetId="0">#REF!</definedName>
    <definedName name="STS" localSheetId="5">#REF!</definedName>
    <definedName name="STS" localSheetId="6">#REF!</definedName>
    <definedName name="STS" localSheetId="16">#REF!</definedName>
    <definedName name="STS" localSheetId="7">#REF!</definedName>
    <definedName name="STS">#REF!</definedName>
    <definedName name="sunloid" localSheetId="18">#REF!</definedName>
    <definedName name="sunloid" localSheetId="11">#REF!</definedName>
    <definedName name="sunloid" localSheetId="10">#REF!</definedName>
    <definedName name="sunloid" localSheetId="21">#REF!</definedName>
    <definedName name="sunloid" localSheetId="12">#REF!</definedName>
    <definedName name="sunloid" localSheetId="1">#REF!</definedName>
    <definedName name="sunloid" localSheetId="0">#REF!</definedName>
    <definedName name="sunloid" localSheetId="14">#REF!</definedName>
    <definedName name="sunloid" localSheetId="5">#REF!</definedName>
    <definedName name="sunloid" localSheetId="6">#REF!</definedName>
    <definedName name="sunloid" localSheetId="16">#REF!</definedName>
    <definedName name="sunloid" localSheetId="7">#REF!</definedName>
    <definedName name="sunloid">#REF!</definedName>
    <definedName name="Superdek" localSheetId="21">'[26]Daftar Harga'!#REF!</definedName>
    <definedName name="Superdek" localSheetId="1">'[26]Daftar Harga'!#REF!</definedName>
    <definedName name="Superdek" localSheetId="0">'[26]Daftar Harga'!#REF!</definedName>
    <definedName name="Superdek" localSheetId="5">'[26]Daftar Harga'!#REF!</definedName>
    <definedName name="Superdek" localSheetId="6">'[26]Daftar Harga'!#REF!</definedName>
    <definedName name="Superdek" localSheetId="16">'[26]Daftar Harga'!#REF!</definedName>
    <definedName name="Superdek" localSheetId="7">'[26]Daftar Harga'!#REF!</definedName>
    <definedName name="Superdek">'[26]Daftar Harga'!#REF!</definedName>
    <definedName name="SUPIR" localSheetId="18">#REF!</definedName>
    <definedName name="SUPIR" localSheetId="21">#REF!</definedName>
    <definedName name="SUPIR" localSheetId="1">#REF!</definedName>
    <definedName name="SUPIR" localSheetId="0">#REF!</definedName>
    <definedName name="SUPIR" localSheetId="5">#REF!</definedName>
    <definedName name="SUPIR" localSheetId="6">#REF!</definedName>
    <definedName name="SUPIR" localSheetId="16">#REF!</definedName>
    <definedName name="SUPIR" localSheetId="7">#REF!</definedName>
    <definedName name="SUPIR">#REF!</definedName>
    <definedName name="Supl._V" localSheetId="18">#REF!</definedName>
    <definedName name="Supl._V" localSheetId="21">#REF!</definedName>
    <definedName name="Supl._V" localSheetId="1">#REF!</definedName>
    <definedName name="Supl._V" localSheetId="0">#REF!</definedName>
    <definedName name="Supl._V" localSheetId="5">#REF!</definedName>
    <definedName name="Supl._V" localSheetId="6">#REF!</definedName>
    <definedName name="Supl._V" localSheetId="16">#REF!</definedName>
    <definedName name="Supl._V" localSheetId="7">#REF!</definedName>
    <definedName name="Supl._V">#REF!</definedName>
    <definedName name="SUPL.5C" localSheetId="18">#REF!</definedName>
    <definedName name="SUPL.5C" localSheetId="11">#REF!</definedName>
    <definedName name="SUPL.5C" localSheetId="10">#REF!</definedName>
    <definedName name="SUPL.5C" localSheetId="21">#REF!</definedName>
    <definedName name="SUPL.5C" localSheetId="12">#REF!</definedName>
    <definedName name="SUPL.5C" localSheetId="1">#REF!</definedName>
    <definedName name="SUPL.5C" localSheetId="0">#REF!</definedName>
    <definedName name="SUPL.5C" localSheetId="14">#REF!</definedName>
    <definedName name="SUPL.5C" localSheetId="5">#REF!</definedName>
    <definedName name="SUPL.5C" localSheetId="6">#REF!</definedName>
    <definedName name="SUPL.5C" localSheetId="16">#REF!</definedName>
    <definedName name="SUPL.5C" localSheetId="7">#REF!</definedName>
    <definedName name="SUPL.5C">#REF!</definedName>
    <definedName name="SUPL.9" localSheetId="18">#REF!</definedName>
    <definedName name="SUPL.9" localSheetId="11">#REF!</definedName>
    <definedName name="SUPL.9" localSheetId="10">#REF!</definedName>
    <definedName name="SUPL.9" localSheetId="21">#REF!</definedName>
    <definedName name="SUPL.9" localSheetId="12">#REF!</definedName>
    <definedName name="SUPL.9" localSheetId="1">#REF!</definedName>
    <definedName name="SUPL.9" localSheetId="0">#REF!</definedName>
    <definedName name="SUPL.9" localSheetId="14">#REF!</definedName>
    <definedName name="SUPL.9" localSheetId="5">#REF!</definedName>
    <definedName name="SUPL.9" localSheetId="6">#REF!</definedName>
    <definedName name="SUPL.9" localSheetId="16">#REF!</definedName>
    <definedName name="SUPL.9" localSheetId="7">#REF!</definedName>
    <definedName name="SUPL.9">#REF!</definedName>
    <definedName name="SUPL.9A" localSheetId="18">#REF!</definedName>
    <definedName name="SUPL.9A" localSheetId="11">#REF!</definedName>
    <definedName name="SUPL.9A" localSheetId="10">#REF!</definedName>
    <definedName name="SUPL.9A" localSheetId="21">#REF!</definedName>
    <definedName name="SUPL.9A" localSheetId="12">#REF!</definedName>
    <definedName name="SUPL.9A" localSheetId="1">#REF!</definedName>
    <definedName name="SUPL.9A" localSheetId="0">#REF!</definedName>
    <definedName name="SUPL.9A" localSheetId="14">#REF!</definedName>
    <definedName name="SUPL.9A" localSheetId="5">#REF!</definedName>
    <definedName name="SUPL.9A" localSheetId="6">#REF!</definedName>
    <definedName name="SUPL.9A" localSheetId="16">#REF!</definedName>
    <definedName name="SUPL.9A" localSheetId="7">#REF!</definedName>
    <definedName name="SUPL.9A">#REF!</definedName>
    <definedName name="SUPL.VA" localSheetId="18">#REF!</definedName>
    <definedName name="SUPL.VA" localSheetId="11">#REF!</definedName>
    <definedName name="SUPL.VA" localSheetId="10">#REF!</definedName>
    <definedName name="SUPL.VA" localSheetId="21">#REF!</definedName>
    <definedName name="SUPL.VA" localSheetId="12">#REF!</definedName>
    <definedName name="SUPL.VA" localSheetId="1">#REF!</definedName>
    <definedName name="SUPL.VA" localSheetId="0">#REF!</definedName>
    <definedName name="SUPL.VA" localSheetId="14">#REF!</definedName>
    <definedName name="SUPL.VA" localSheetId="5">#REF!</definedName>
    <definedName name="SUPL.VA" localSheetId="6">#REF!</definedName>
    <definedName name="SUPL.VA" localSheetId="16">#REF!</definedName>
    <definedName name="SUPL.VA" localSheetId="7">#REF!</definedName>
    <definedName name="SUPL.VA">#REF!</definedName>
    <definedName name="SUPL.VB" localSheetId="18">#REF!</definedName>
    <definedName name="SUPL.VB" localSheetId="11">#REF!</definedName>
    <definedName name="SUPL.VB" localSheetId="10">#REF!</definedName>
    <definedName name="SUPL.VB" localSheetId="21">#REF!</definedName>
    <definedName name="SUPL.VB" localSheetId="12">#REF!</definedName>
    <definedName name="SUPL.VB" localSheetId="1">#REF!</definedName>
    <definedName name="SUPL.VB" localSheetId="0">#REF!</definedName>
    <definedName name="SUPL.VB" localSheetId="14">#REF!</definedName>
    <definedName name="SUPL.VB" localSheetId="5">#REF!</definedName>
    <definedName name="SUPL.VB" localSheetId="6">#REF!</definedName>
    <definedName name="SUPL.VB" localSheetId="16">#REF!</definedName>
    <definedName name="SUPL.VB" localSheetId="7">#REF!</definedName>
    <definedName name="SUPL.VB">#REF!</definedName>
    <definedName name="SUPL.VC" localSheetId="18">#REF!</definedName>
    <definedName name="SUPL.VC" localSheetId="11">#REF!</definedName>
    <definedName name="SUPL.VC" localSheetId="10">#REF!</definedName>
    <definedName name="SUPL.VC" localSheetId="21">#REF!</definedName>
    <definedName name="SUPL.VC" localSheetId="12">#REF!</definedName>
    <definedName name="SUPL.VC" localSheetId="1">#REF!</definedName>
    <definedName name="SUPL.VC" localSheetId="0">#REF!</definedName>
    <definedName name="SUPL.VC" localSheetId="14">#REF!</definedName>
    <definedName name="SUPL.VC" localSheetId="5">#REF!</definedName>
    <definedName name="SUPL.VC" localSheetId="6">#REF!</definedName>
    <definedName name="SUPL.VC" localSheetId="16">#REF!</definedName>
    <definedName name="SUPL.VC" localSheetId="7">#REF!</definedName>
    <definedName name="SUPL.VC">#REF!</definedName>
    <definedName name="SUPL.VD" localSheetId="18">#REF!</definedName>
    <definedName name="SUPL.VD" localSheetId="11">#REF!</definedName>
    <definedName name="SUPL.VD" localSheetId="10">#REF!</definedName>
    <definedName name="SUPL.VD" localSheetId="21">#REF!</definedName>
    <definedName name="SUPL.VD" localSheetId="12">#REF!</definedName>
    <definedName name="SUPL.VD" localSheetId="1">#REF!</definedName>
    <definedName name="SUPL.VD" localSheetId="0">#REF!</definedName>
    <definedName name="SUPL.VD" localSheetId="14">#REF!</definedName>
    <definedName name="SUPL.VD" localSheetId="5">#REF!</definedName>
    <definedName name="SUPL.VD" localSheetId="6">#REF!</definedName>
    <definedName name="SUPL.VD" localSheetId="16">#REF!</definedName>
    <definedName name="SUPL.VD" localSheetId="7">#REF!</definedName>
    <definedName name="SUPL.VD">#REF!</definedName>
    <definedName name="SUPL.VE" localSheetId="18">#REF!</definedName>
    <definedName name="SUPL.VE" localSheetId="11">#REF!</definedName>
    <definedName name="SUPL.VE" localSheetId="10">#REF!</definedName>
    <definedName name="SUPL.VE" localSheetId="21">#REF!</definedName>
    <definedName name="SUPL.VE" localSheetId="12">#REF!</definedName>
    <definedName name="SUPL.VE" localSheetId="1">#REF!</definedName>
    <definedName name="SUPL.VE" localSheetId="0">#REF!</definedName>
    <definedName name="SUPL.VE" localSheetId="14">#REF!</definedName>
    <definedName name="SUPL.VE" localSheetId="5">#REF!</definedName>
    <definedName name="SUPL.VE" localSheetId="6">#REF!</definedName>
    <definedName name="SUPL.VE" localSheetId="16">#REF!</definedName>
    <definedName name="SUPL.VE" localSheetId="7">#REF!</definedName>
    <definedName name="SUPL.VE">#REF!</definedName>
    <definedName name="SUPL.VF" localSheetId="18">#REF!</definedName>
    <definedName name="SUPL.VF" localSheetId="11">#REF!</definedName>
    <definedName name="SUPL.VF" localSheetId="10">#REF!</definedName>
    <definedName name="SUPL.VF" localSheetId="21">#REF!</definedName>
    <definedName name="SUPL.VF" localSheetId="12">#REF!</definedName>
    <definedName name="SUPL.VF" localSheetId="1">#REF!</definedName>
    <definedName name="SUPL.VF" localSheetId="0">#REF!</definedName>
    <definedName name="SUPL.VF" localSheetId="14">#REF!</definedName>
    <definedName name="SUPL.VF" localSheetId="5">#REF!</definedName>
    <definedName name="SUPL.VF" localSheetId="6">#REF!</definedName>
    <definedName name="SUPL.VF" localSheetId="16">#REF!</definedName>
    <definedName name="SUPL.VF" localSheetId="7">#REF!</definedName>
    <definedName name="SUPL.VF">#REF!</definedName>
    <definedName name="SUPL.VG" localSheetId="18">#REF!</definedName>
    <definedName name="SUPL.VG" localSheetId="11">#REF!</definedName>
    <definedName name="SUPL.VG" localSheetId="10">#REF!</definedName>
    <definedName name="SUPL.VG" localSheetId="21">#REF!</definedName>
    <definedName name="SUPL.VG" localSheetId="12">#REF!</definedName>
    <definedName name="SUPL.VG" localSheetId="1">#REF!</definedName>
    <definedName name="SUPL.VG" localSheetId="0">#REF!</definedName>
    <definedName name="SUPL.VG" localSheetId="14">#REF!</definedName>
    <definedName name="SUPL.VG" localSheetId="5">#REF!</definedName>
    <definedName name="SUPL.VG" localSheetId="6">#REF!</definedName>
    <definedName name="SUPL.VG" localSheetId="16">#REF!</definedName>
    <definedName name="SUPL.VG" localSheetId="7">#REF!</definedName>
    <definedName name="SUPL.VG">#REF!</definedName>
    <definedName name="SUPL.VH" localSheetId="18">#REF!</definedName>
    <definedName name="SUPL.VH" localSheetId="11">#REF!</definedName>
    <definedName name="SUPL.VH" localSheetId="10">#REF!</definedName>
    <definedName name="SUPL.VH" localSheetId="21">#REF!</definedName>
    <definedName name="SUPL.VH" localSheetId="12">#REF!</definedName>
    <definedName name="SUPL.VH" localSheetId="1">#REF!</definedName>
    <definedName name="SUPL.VH" localSheetId="0">#REF!</definedName>
    <definedName name="SUPL.VH" localSheetId="14">#REF!</definedName>
    <definedName name="SUPL.VH" localSheetId="5">#REF!</definedName>
    <definedName name="SUPL.VH" localSheetId="6">#REF!</definedName>
    <definedName name="SUPL.VH" localSheetId="16">#REF!</definedName>
    <definedName name="SUPL.VH" localSheetId="7">#REF!</definedName>
    <definedName name="SUPL.VH">#REF!</definedName>
    <definedName name="SV" localSheetId="21">#REF!</definedName>
    <definedName name="SV" localSheetId="1">#REF!</definedName>
    <definedName name="SV" localSheetId="0">#REF!</definedName>
    <definedName name="SV" localSheetId="5">#REF!</definedName>
    <definedName name="SV" localSheetId="6">#REF!</definedName>
    <definedName name="SV" localSheetId="16">#REF!</definedName>
    <definedName name="SV" localSheetId="7">#REF!</definedName>
    <definedName name="SV">#REF!</definedName>
    <definedName name="T" localSheetId="21">#REF!</definedName>
    <definedName name="T" localSheetId="1">#REF!</definedName>
    <definedName name="T" localSheetId="0">#REF!</definedName>
    <definedName name="T" localSheetId="5">#REF!</definedName>
    <definedName name="T" localSheetId="6">#REF!</definedName>
    <definedName name="T" localSheetId="16">#REF!</definedName>
    <definedName name="T" localSheetId="7">#REF!</definedName>
    <definedName name="T">#REF!</definedName>
    <definedName name="t.sabun" localSheetId="18">#REF!</definedName>
    <definedName name="t.sabun" localSheetId="11">#REF!</definedName>
    <definedName name="t.sabun" localSheetId="10">#REF!</definedName>
    <definedName name="t.sabun" localSheetId="21">#REF!</definedName>
    <definedName name="t.sabun" localSheetId="12">#REF!</definedName>
    <definedName name="t.sabun" localSheetId="1">#REF!</definedName>
    <definedName name="t.sabun" localSheetId="0">#REF!</definedName>
    <definedName name="t.sabun" localSheetId="14">#REF!</definedName>
    <definedName name="t.sabun" localSheetId="5">#REF!</definedName>
    <definedName name="t.sabun" localSheetId="6">#REF!</definedName>
    <definedName name="t.sabun" localSheetId="16">#REF!</definedName>
    <definedName name="t.sabun" localSheetId="7">#REF!</definedName>
    <definedName name="t.sabun">#REF!</definedName>
    <definedName name="TAM" localSheetId="21">#REF!</definedName>
    <definedName name="TAM" localSheetId="1">#REF!</definedName>
    <definedName name="TAM" localSheetId="0">#REF!</definedName>
    <definedName name="TAM" localSheetId="5">#REF!</definedName>
    <definedName name="TAM" localSheetId="6">#REF!</definedName>
    <definedName name="TAM" localSheetId="16">#REF!</definedName>
    <definedName name="TAM" localSheetId="7">#REF!</definedName>
    <definedName name="TAM">#REF!</definedName>
    <definedName name="tamper" localSheetId="18">#REF!</definedName>
    <definedName name="tamper" localSheetId="21">#REF!</definedName>
    <definedName name="tamper" localSheetId="1">#REF!</definedName>
    <definedName name="tamper" localSheetId="0">#REF!</definedName>
    <definedName name="tamper" localSheetId="5">#REF!</definedName>
    <definedName name="tamper" localSheetId="6">#REF!</definedName>
    <definedName name="tamper" localSheetId="16">#REF!</definedName>
    <definedName name="tamper" localSheetId="7">#REF!</definedName>
    <definedName name="tamper">#REF!</definedName>
    <definedName name="tamu">'[23]Upah&amp;Bahan'!$C$62</definedName>
    <definedName name="TANAH" localSheetId="18">#REF!</definedName>
    <definedName name="TANAH" localSheetId="11">#REF!</definedName>
    <definedName name="TANAH" localSheetId="10">#REF!</definedName>
    <definedName name="TANAH" localSheetId="21">#REF!</definedName>
    <definedName name="TANAH" localSheetId="12">#REF!</definedName>
    <definedName name="TANAH" localSheetId="1">#REF!</definedName>
    <definedName name="TANAH" localSheetId="0">#REF!</definedName>
    <definedName name="TANAH" localSheetId="14">#REF!</definedName>
    <definedName name="TANAH" localSheetId="5">#REF!</definedName>
    <definedName name="TANAH" localSheetId="6">#REF!</definedName>
    <definedName name="TANAH" localSheetId="16">#REF!</definedName>
    <definedName name="TANAH" localSheetId="7">#REF!</definedName>
    <definedName name="TANAH">#REF!</definedName>
    <definedName name="Tandem">[30]rekap!$D$80</definedName>
    <definedName name="TANDEMROLLER" localSheetId="21">[7]Peralatan!#REF!</definedName>
    <definedName name="TANDEMROLLER" localSheetId="1">[7]Peralatan!#REF!</definedName>
    <definedName name="TANDEMROLLER" localSheetId="0">[7]Peralatan!#REF!</definedName>
    <definedName name="TANDEMROLLER" localSheetId="5">[7]Peralatan!#REF!</definedName>
    <definedName name="TANDEMROLLER" localSheetId="6">[7]Peralatan!#REF!</definedName>
    <definedName name="TANDEMROLLER" localSheetId="16">[7]Peralatan!#REF!</definedName>
    <definedName name="TANDEMROLLER" localSheetId="7">[7]Peralatan!#REF!</definedName>
    <definedName name="TANDEMROLLER">[7]Peralatan!#REF!</definedName>
    <definedName name="tapak" localSheetId="18">[25]Analisis!#REF!</definedName>
    <definedName name="tapak" localSheetId="10">[25]Analisis!#REF!</definedName>
    <definedName name="tapak" localSheetId="21">[25]Analisis!#REF!</definedName>
    <definedName name="tapak" localSheetId="1">[25]Analisis!#REF!</definedName>
    <definedName name="tapak" localSheetId="0">[25]Analisis!#REF!</definedName>
    <definedName name="tapak" localSheetId="5">[25]Analisis!#REF!</definedName>
    <definedName name="tapak" localSheetId="6">[25]Analisis!#REF!</definedName>
    <definedName name="tapak" localSheetId="16">[25]Analisis!#REF!</definedName>
    <definedName name="tapak" localSheetId="7">[25]Analisis!#REF!</definedName>
    <definedName name="tapak">[25]Analisis!#REF!</definedName>
    <definedName name="Tatu" localSheetId="21">'[10]Daf HrG'!#REF!</definedName>
    <definedName name="Tatu" localSheetId="1">'[10]Daf HrG'!#REF!</definedName>
    <definedName name="Tatu" localSheetId="0">'[10]Daf HrG'!#REF!</definedName>
    <definedName name="Tatu" localSheetId="5">'[10]Daf HrG'!#REF!</definedName>
    <definedName name="Tatu" localSheetId="6">'[10]Daf HrG'!#REF!</definedName>
    <definedName name="Tatu" localSheetId="16">'[10]Daf HrG'!#REF!</definedName>
    <definedName name="Tatu" localSheetId="7">'[10]Daf HrG'!#REF!</definedName>
    <definedName name="Tatu">'[10]Daf HrG'!#REF!</definedName>
    <definedName name="TDN" localSheetId="21">#REF!</definedName>
    <definedName name="TDN" localSheetId="1">#REF!</definedName>
    <definedName name="TDN" localSheetId="0">#REF!</definedName>
    <definedName name="TDN" localSheetId="5">#REF!</definedName>
    <definedName name="TDN" localSheetId="6">#REF!</definedName>
    <definedName name="TDN" localSheetId="16">#REF!</definedName>
    <definedName name="TDN" localSheetId="7">#REF!</definedName>
    <definedName name="TDN">#REF!</definedName>
    <definedName name="TDS" localSheetId="21">#REF!</definedName>
    <definedName name="TDS" localSheetId="1">#REF!</definedName>
    <definedName name="TDS" localSheetId="0">#REF!</definedName>
    <definedName name="TDS" localSheetId="5">#REF!</definedName>
    <definedName name="TDS" localSheetId="6">#REF!</definedName>
    <definedName name="TDS" localSheetId="16">#REF!</definedName>
    <definedName name="TDS" localSheetId="7">#REF!</definedName>
    <definedName name="TDS">#REF!</definedName>
    <definedName name="team">'[23]Upah&amp;Bahan'!$C$68</definedName>
    <definedName name="TED" localSheetId="21">#REF!</definedName>
    <definedName name="TED" localSheetId="1">#REF!</definedName>
    <definedName name="TED" localSheetId="0">#REF!</definedName>
    <definedName name="TED" localSheetId="5">#REF!</definedName>
    <definedName name="TED" localSheetId="6">#REF!</definedName>
    <definedName name="TED" localSheetId="16">#REF!</definedName>
    <definedName name="TED" localSheetId="7">#REF!</definedName>
    <definedName name="TED">#REF!</definedName>
    <definedName name="Tegel" localSheetId="21">'[26]Daftar Harga'!#REF!</definedName>
    <definedName name="Tegel" localSheetId="1">'[26]Daftar Harga'!#REF!</definedName>
    <definedName name="Tegel" localSheetId="0">'[26]Daftar Harga'!#REF!</definedName>
    <definedName name="Tegel" localSheetId="5">'[26]Daftar Harga'!#REF!</definedName>
    <definedName name="Tegel" localSheetId="6">'[26]Daftar Harga'!#REF!</definedName>
    <definedName name="Tegel" localSheetId="16">'[26]Daftar Harga'!#REF!</definedName>
    <definedName name="Tegel" localSheetId="7">'[26]Daftar Harga'!#REF!</definedName>
    <definedName name="Tegel">'[26]Daftar Harga'!#REF!</definedName>
    <definedName name="ter" localSheetId="18">#REF!</definedName>
    <definedName name="ter" localSheetId="21">#REF!</definedName>
    <definedName name="ter" localSheetId="1">#REF!</definedName>
    <definedName name="ter" localSheetId="0">#REF!</definedName>
    <definedName name="ter" localSheetId="5">#REF!</definedName>
    <definedName name="ter" localSheetId="6">#REF!</definedName>
    <definedName name="ter" localSheetId="16">#REF!</definedName>
    <definedName name="ter" localSheetId="7">#REF!</definedName>
    <definedName name="ter">#REF!</definedName>
    <definedName name="terntang" localSheetId="18">#REF!</definedName>
    <definedName name="terntang" localSheetId="11">#REF!</definedName>
    <definedName name="terntang" localSheetId="10">#REF!</definedName>
    <definedName name="terntang" localSheetId="21">#REF!</definedName>
    <definedName name="terntang" localSheetId="12">#REF!</definedName>
    <definedName name="terntang" localSheetId="1">#REF!</definedName>
    <definedName name="terntang" localSheetId="0">#REF!</definedName>
    <definedName name="terntang" localSheetId="14">#REF!</definedName>
    <definedName name="terntang" localSheetId="5">#REF!</definedName>
    <definedName name="terntang" localSheetId="6">#REF!</definedName>
    <definedName name="terntang" localSheetId="16">#REF!</definedName>
    <definedName name="terntang" localSheetId="7">#REF!</definedName>
    <definedName name="terntang">#REF!</definedName>
    <definedName name="Test">'[58]Daftar Harga'!$G$38</definedName>
    <definedName name="tgl">[35]Catatan!$D$3</definedName>
    <definedName name="THREEWHEELROLLER" localSheetId="21">[7]Peralatan!#REF!</definedName>
    <definedName name="THREEWHEELROLLER" localSheetId="1">[7]Peralatan!#REF!</definedName>
    <definedName name="THREEWHEELROLLER" localSheetId="0">[7]Peralatan!#REF!</definedName>
    <definedName name="THREEWHEELROLLER" localSheetId="5">[7]Peralatan!#REF!</definedName>
    <definedName name="THREEWHEELROLLER" localSheetId="6">[7]Peralatan!#REF!</definedName>
    <definedName name="THREEWHEELROLLER" localSheetId="16">[7]Peralatan!#REF!</definedName>
    <definedName name="THREEWHEELROLLER" localSheetId="7">[7]Peralatan!#REF!</definedName>
    <definedName name="THREEWHEELROLLER">[7]Peralatan!#REF!</definedName>
    <definedName name="tht">'[56]DUHB (2)'!$D$28</definedName>
    <definedName name="tile" localSheetId="21">'[41]UPH &amp; BHN'!#REF!</definedName>
    <definedName name="tile" localSheetId="1">'[41]UPH &amp; BHN'!#REF!</definedName>
    <definedName name="tile" localSheetId="0">'[41]UPH &amp; BHN'!#REF!</definedName>
    <definedName name="tile" localSheetId="5">'[41]UPH &amp; BHN'!#REF!</definedName>
    <definedName name="tile" localSheetId="6">'[41]UPH &amp; BHN'!#REF!</definedName>
    <definedName name="tile" localSheetId="16">'[41]UPH &amp; BHN'!#REF!</definedName>
    <definedName name="tile" localSheetId="7">'[41]UPH &amp; BHN'!#REF!</definedName>
    <definedName name="tile">'[41]UPH &amp; BHN'!#REF!</definedName>
    <definedName name="Tim" localSheetId="21">#REF!</definedName>
    <definedName name="Tim" localSheetId="1">#REF!</definedName>
    <definedName name="Tim" localSheetId="0">#REF!</definedName>
    <definedName name="Tim" localSheetId="5">#REF!</definedName>
    <definedName name="Tim" localSheetId="6">#REF!</definedName>
    <definedName name="Tim" localSheetId="16">#REF!</definedName>
    <definedName name="Tim" localSheetId="7">#REF!</definedName>
    <definedName name="Tim">#REF!</definedName>
    <definedName name="Timbun" localSheetId="21">[10]HSP!#REF!</definedName>
    <definedName name="Timbun" localSheetId="1">[10]HSP!#REF!</definedName>
    <definedName name="Timbun" localSheetId="0">[10]HSP!#REF!</definedName>
    <definedName name="Timbun" localSheetId="5">[10]HSP!#REF!</definedName>
    <definedName name="Timbun" localSheetId="6">[10]HSP!#REF!</definedName>
    <definedName name="Timbun" localSheetId="16">[10]HSP!#REF!</definedName>
    <definedName name="Timbun" localSheetId="7">[10]HSP!#REF!</definedName>
    <definedName name="Timbun">[10]HSP!#REF!</definedName>
    <definedName name="timbunan" localSheetId="18">#REF!</definedName>
    <definedName name="timbunan" localSheetId="21">#REF!</definedName>
    <definedName name="timbunan" localSheetId="1">#REF!</definedName>
    <definedName name="timbunan" localSheetId="0">#REF!</definedName>
    <definedName name="timbunan" localSheetId="5">#REF!</definedName>
    <definedName name="timbunan" localSheetId="6">#REF!</definedName>
    <definedName name="timbunan" localSheetId="16">#REF!</definedName>
    <definedName name="timbunan" localSheetId="7">#REF!</definedName>
    <definedName name="timbunan">#REF!</definedName>
    <definedName name="timbunanpasir" localSheetId="18">[25]Analisis!#REF!</definedName>
    <definedName name="timbunanpasir" localSheetId="10">[25]Analisis!#REF!</definedName>
    <definedName name="timbunanpasir" localSheetId="21">[25]Analisis!#REF!</definedName>
    <definedName name="timbunanpasir" localSheetId="1">[25]Analisis!#REF!</definedName>
    <definedName name="timbunanpasir" localSheetId="0">[25]Analisis!#REF!</definedName>
    <definedName name="timbunanpasir" localSheetId="5">[25]Analisis!#REF!</definedName>
    <definedName name="timbunanpasir" localSheetId="6">[25]Analisis!#REF!</definedName>
    <definedName name="timbunanpasir" localSheetId="16">[25]Analisis!#REF!</definedName>
    <definedName name="timbunanpasir" localSheetId="7">[25]Analisis!#REF!</definedName>
    <definedName name="timbunanpasir">[25]Analisis!#REF!</definedName>
    <definedName name="timbunantanah" localSheetId="18">[25]Analisis!#REF!</definedName>
    <definedName name="timbunantanah" localSheetId="10">[25]Analisis!#REF!</definedName>
    <definedName name="timbunantanah" localSheetId="21">[25]Analisis!#REF!</definedName>
    <definedName name="timbunantanah" localSheetId="1">[25]Analisis!#REF!</definedName>
    <definedName name="timbunantanah" localSheetId="0">[25]Analisis!#REF!</definedName>
    <definedName name="timbunantanah" localSheetId="5">[25]Analisis!#REF!</definedName>
    <definedName name="timbunantanah" localSheetId="6">[25]Analisis!#REF!</definedName>
    <definedName name="timbunantanah" localSheetId="16">[25]Analisis!#REF!</definedName>
    <definedName name="timbunantanah" localSheetId="7">[25]Analisis!#REF!</definedName>
    <definedName name="timbunantanah">[25]Analisis!#REF!</definedName>
    <definedName name="Tiner" localSheetId="21">'[26]Daftar Harga'!#REF!</definedName>
    <definedName name="Tiner" localSheetId="1">'[26]Daftar Harga'!#REF!</definedName>
    <definedName name="Tiner" localSheetId="0">'[26]Daftar Harga'!#REF!</definedName>
    <definedName name="Tiner" localSheetId="5">'[26]Daftar Harga'!#REF!</definedName>
    <definedName name="Tiner" localSheetId="6">'[26]Daftar Harga'!#REF!</definedName>
    <definedName name="Tiner" localSheetId="16">'[26]Daftar Harga'!#REF!</definedName>
    <definedName name="Tiner" localSheetId="7">'[26]Daftar Harga'!#REF!</definedName>
    <definedName name="Tiner">'[26]Daftar Harga'!#REF!</definedName>
    <definedName name="TIREROLLER" localSheetId="21">[7]Peralatan!#REF!</definedName>
    <definedName name="TIREROLLER" localSheetId="1">[7]Peralatan!#REF!</definedName>
    <definedName name="TIREROLLER" localSheetId="0">[7]Peralatan!#REF!</definedName>
    <definedName name="TIREROLLER" localSheetId="5">[7]Peralatan!#REF!</definedName>
    <definedName name="TIREROLLER" localSheetId="6">[7]Peralatan!#REF!</definedName>
    <definedName name="TIREROLLER" localSheetId="16">[7]Peralatan!#REF!</definedName>
    <definedName name="TIREROLLER" localSheetId="7">[7]Peralatan!#REF!</definedName>
    <definedName name="TIREROLLER">[7]Peralatan!#REF!</definedName>
    <definedName name="tk" localSheetId="21">#REF!</definedName>
    <definedName name="tk" localSheetId="1">#REF!</definedName>
    <definedName name="tk" localSheetId="0">#REF!</definedName>
    <definedName name="tk" localSheetId="5">#REF!</definedName>
    <definedName name="tk" localSheetId="6">#REF!</definedName>
    <definedName name="tk" localSheetId="16">#REF!</definedName>
    <definedName name="tk" localSheetId="7">#REF!</definedName>
    <definedName name="tk">#REF!</definedName>
    <definedName name="tkg" localSheetId="18">#REF!</definedName>
    <definedName name="tkg" localSheetId="11">#REF!</definedName>
    <definedName name="tkg" localSheetId="10">#REF!</definedName>
    <definedName name="tkg" localSheetId="21">#REF!</definedName>
    <definedName name="tkg" localSheetId="12">#REF!</definedName>
    <definedName name="tkg" localSheetId="1">#REF!</definedName>
    <definedName name="tkg" localSheetId="0">#REF!</definedName>
    <definedName name="tkg" localSheetId="14">#REF!</definedName>
    <definedName name="tkg" localSheetId="5">#REF!</definedName>
    <definedName name="tkg" localSheetId="6">#REF!</definedName>
    <definedName name="tkg" localSheetId="16">#REF!</definedName>
    <definedName name="tkg" localSheetId="7">#REF!</definedName>
    <definedName name="tkg">#REF!</definedName>
    <definedName name="TLK_UKUR" localSheetId="18">#REF!</definedName>
    <definedName name="TLK_UKUR" localSheetId="21">#REF!</definedName>
    <definedName name="TLK_UKUR" localSheetId="1">#REF!</definedName>
    <definedName name="TLK_UKUR" localSheetId="0">#REF!</definedName>
    <definedName name="TLK_UKUR" localSheetId="5">#REF!</definedName>
    <definedName name="TLK_UKUR" localSheetId="6">#REF!</definedName>
    <definedName name="TLK_UKUR" localSheetId="16">#REF!</definedName>
    <definedName name="TLK_UKUR" localSheetId="7">#REF!</definedName>
    <definedName name="TLK_UKUR">#REF!</definedName>
    <definedName name="TO">[35]Rkp!$J$38</definedName>
    <definedName name="Tot">'[49]Rekap Biaya'!$H$29</definedName>
    <definedName name="TOTAL1">'[9]1st'!$AU$12:$AU$503</definedName>
    <definedName name="TRACKLOADER">[7]Peralatan!$A$122:$J$122</definedName>
    <definedName name="TRAILLER" localSheetId="21">#REF!</definedName>
    <definedName name="TRAILLER" localSheetId="1">#REF!</definedName>
    <definedName name="TRAILLER" localSheetId="0">#REF!</definedName>
    <definedName name="TRAILLER" localSheetId="5">#REF!</definedName>
    <definedName name="TRAILLER" localSheetId="6">#REF!</definedName>
    <definedName name="TRAILLER" localSheetId="16">#REF!</definedName>
    <definedName name="TRAILLER" localSheetId="7">#REF!</definedName>
    <definedName name="TRAILLER">#REF!</definedName>
    <definedName name="traktor" localSheetId="18">#REF!</definedName>
    <definedName name="traktor" localSheetId="21">#REF!</definedName>
    <definedName name="traktor" localSheetId="1">#REF!</definedName>
    <definedName name="traktor" localSheetId="0">#REF!</definedName>
    <definedName name="traktor" localSheetId="5">#REF!</definedName>
    <definedName name="traktor" localSheetId="6">#REF!</definedName>
    <definedName name="traktor" localSheetId="16">#REF!</definedName>
    <definedName name="traktor" localSheetId="7">#REF!</definedName>
    <definedName name="traktor">#REF!</definedName>
    <definedName name="Trans" localSheetId="21">'[26]Daftar Harga'!#REF!</definedName>
    <definedName name="Trans" localSheetId="1">'[26]Daftar Harga'!#REF!</definedName>
    <definedName name="Trans" localSheetId="0">'[26]Daftar Harga'!#REF!</definedName>
    <definedName name="Trans" localSheetId="5">'[26]Daftar Harga'!#REF!</definedName>
    <definedName name="Trans" localSheetId="6">'[26]Daftar Harga'!#REF!</definedName>
    <definedName name="Trans" localSheetId="16">'[26]Daftar Harga'!#REF!</definedName>
    <definedName name="Trans" localSheetId="7">'[26]Daftar Harga'!#REF!</definedName>
    <definedName name="Trans">'[26]Daftar Harga'!#REF!</definedName>
    <definedName name="Transmisi" localSheetId="21">#REF!</definedName>
    <definedName name="Transmisi" localSheetId="1">#REF!</definedName>
    <definedName name="Transmisi" localSheetId="0">#REF!</definedName>
    <definedName name="Transmisi" localSheetId="5">#REF!</definedName>
    <definedName name="Transmisi" localSheetId="6">#REF!</definedName>
    <definedName name="Transmisi" localSheetId="16">#REF!</definedName>
    <definedName name="Transmisi" localSheetId="7">#REF!</definedName>
    <definedName name="Transmisi">#REF!</definedName>
    <definedName name="Transport" localSheetId="21">#REF!</definedName>
    <definedName name="Transport" localSheetId="1">#REF!</definedName>
    <definedName name="Transport" localSheetId="0">#REF!</definedName>
    <definedName name="Transport" localSheetId="5">#REF!</definedName>
    <definedName name="Transport" localSheetId="6">#REF!</definedName>
    <definedName name="Transport" localSheetId="16">#REF!</definedName>
    <definedName name="Transport" localSheetId="7">#REF!</definedName>
    <definedName name="Transport">#REF!</definedName>
    <definedName name="Trip1" localSheetId="21">#REF!</definedName>
    <definedName name="Trip1" localSheetId="1">#REF!</definedName>
    <definedName name="Trip1" localSheetId="0">#REF!</definedName>
    <definedName name="Trip1" localSheetId="5">#REF!</definedName>
    <definedName name="Trip1" localSheetId="6">#REF!</definedName>
    <definedName name="Trip1" localSheetId="16">#REF!</definedName>
    <definedName name="Trip1" localSheetId="7">#REF!</definedName>
    <definedName name="Trip1">#REF!</definedName>
    <definedName name="Trip2" localSheetId="21">#REF!</definedName>
    <definedName name="Trip2" localSheetId="1">#REF!</definedName>
    <definedName name="Trip2" localSheetId="0">#REF!</definedName>
    <definedName name="Trip2" localSheetId="5">#REF!</definedName>
    <definedName name="Trip2" localSheetId="6">#REF!</definedName>
    <definedName name="Trip2" localSheetId="16">#REF!</definedName>
    <definedName name="Trip2" localSheetId="7">#REF!</definedName>
    <definedName name="Trip2">#REF!</definedName>
    <definedName name="truck35ton" localSheetId="18">#REF!</definedName>
    <definedName name="truck35ton" localSheetId="21">#REF!</definedName>
    <definedName name="truck35ton" localSheetId="1">#REF!</definedName>
    <definedName name="truck35ton" localSheetId="0">#REF!</definedName>
    <definedName name="truck35ton" localSheetId="5">#REF!</definedName>
    <definedName name="truck35ton" localSheetId="6">#REF!</definedName>
    <definedName name="truck35ton" localSheetId="16">#REF!</definedName>
    <definedName name="truck35ton" localSheetId="7">#REF!</definedName>
    <definedName name="truck35ton">#REF!</definedName>
    <definedName name="trucktangki" localSheetId="18">#REF!</definedName>
    <definedName name="trucktangki" localSheetId="21">#REF!</definedName>
    <definedName name="trucktangki" localSheetId="1">#REF!</definedName>
    <definedName name="trucktangki" localSheetId="0">#REF!</definedName>
    <definedName name="trucktangki" localSheetId="5">#REF!</definedName>
    <definedName name="trucktangki" localSheetId="6">#REF!</definedName>
    <definedName name="trucktangki" localSheetId="16">#REF!</definedName>
    <definedName name="trucktangki" localSheetId="7">#REF!</definedName>
    <definedName name="trucktangki">#REF!</definedName>
    <definedName name="Ts" localSheetId="21">[10]HSP!#REF!</definedName>
    <definedName name="Ts" localSheetId="1">[10]HSP!#REF!</definedName>
    <definedName name="Ts" localSheetId="0">[10]HSP!#REF!</definedName>
    <definedName name="Ts" localSheetId="5">[10]HSP!#REF!</definedName>
    <definedName name="Ts" localSheetId="6">[10]HSP!#REF!</definedName>
    <definedName name="Ts" localSheetId="16">[10]HSP!#REF!</definedName>
    <definedName name="Ts" localSheetId="7">[10]HSP!#REF!</definedName>
    <definedName name="Ts">[10]HSP!#REF!</definedName>
    <definedName name="TSL" localSheetId="21">#REF!</definedName>
    <definedName name="TSL" localSheetId="1">#REF!</definedName>
    <definedName name="TSL" localSheetId="0">#REF!</definedName>
    <definedName name="TSL" localSheetId="5">#REF!</definedName>
    <definedName name="TSL" localSheetId="6">#REF!</definedName>
    <definedName name="TSL" localSheetId="16">#REF!</definedName>
    <definedName name="TSL" localSheetId="7">#REF!</definedName>
    <definedName name="TSL">#REF!</definedName>
    <definedName name="TSN" localSheetId="21">#REF!</definedName>
    <definedName name="TSN" localSheetId="1">#REF!</definedName>
    <definedName name="TSN" localSheetId="0">#REF!</definedName>
    <definedName name="TSN" localSheetId="5">#REF!</definedName>
    <definedName name="TSN" localSheetId="6">#REF!</definedName>
    <definedName name="TSN" localSheetId="16">#REF!</definedName>
    <definedName name="TSN" localSheetId="7">#REF!</definedName>
    <definedName name="TSN">#REF!</definedName>
    <definedName name="TSS" localSheetId="21">#REF!</definedName>
    <definedName name="TSS" localSheetId="1">#REF!</definedName>
    <definedName name="TSS" localSheetId="0">#REF!</definedName>
    <definedName name="TSS" localSheetId="5">#REF!</definedName>
    <definedName name="TSS" localSheetId="6">#REF!</definedName>
    <definedName name="TSS" localSheetId="16">#REF!</definedName>
    <definedName name="TSS" localSheetId="7">#REF!</definedName>
    <definedName name="TSS">#REF!</definedName>
    <definedName name="tuk" localSheetId="21">#REF!</definedName>
    <definedName name="tuk" localSheetId="1">#REF!</definedName>
    <definedName name="tuk" localSheetId="0">#REF!</definedName>
    <definedName name="tuk" localSheetId="5">#REF!</definedName>
    <definedName name="tuk" localSheetId="6">#REF!</definedName>
    <definedName name="tuk" localSheetId="16">#REF!</definedName>
    <definedName name="tuk" localSheetId="7">#REF!</definedName>
    <definedName name="tuk">#REF!</definedName>
    <definedName name="TUKANG" localSheetId="11">'[33]Harga Bahan'!$H$146</definedName>
    <definedName name="TUKANG" localSheetId="12">'[33]Harga Bahan'!$H$146</definedName>
    <definedName name="TUKANG" localSheetId="14">'[33]Harga Bahan'!$H$146</definedName>
    <definedName name="TUKANG">'[33]Harga Bahan'!$H$146</definedName>
    <definedName name="Tukanglas" localSheetId="18">[24]cover!#REF!</definedName>
    <definedName name="Tukanglas" localSheetId="10">[24]cover!#REF!</definedName>
    <definedName name="Tukanglas" localSheetId="21">[24]cover!#REF!</definedName>
    <definedName name="Tukanglas" localSheetId="1">[24]cover!#REF!</definedName>
    <definedName name="Tukanglas" localSheetId="0">[24]cover!#REF!</definedName>
    <definedName name="Tukanglas" localSheetId="5">[24]cover!#REF!</definedName>
    <definedName name="Tukanglas" localSheetId="6">[24]cover!#REF!</definedName>
    <definedName name="Tukanglas" localSheetId="16">[24]cover!#REF!</definedName>
    <definedName name="Tukanglas" localSheetId="7">[24]cover!#REF!</definedName>
    <definedName name="Tukanglas">[24]cover!#REF!</definedName>
    <definedName name="tulangan" localSheetId="18">#REF!</definedName>
    <definedName name="tulangan" localSheetId="21">#REF!</definedName>
    <definedName name="tulangan" localSheetId="1">#REF!</definedName>
    <definedName name="tulangan" localSheetId="0">#REF!</definedName>
    <definedName name="tulangan" localSheetId="5">#REF!</definedName>
    <definedName name="tulangan" localSheetId="6">#REF!</definedName>
    <definedName name="tulangan" localSheetId="16">#REF!</definedName>
    <definedName name="tulangan" localSheetId="7">#REF!</definedName>
    <definedName name="tulangan">#REF!</definedName>
    <definedName name="Turap">[26]Analisa!$I$118</definedName>
    <definedName name="tyeman">'[13]Upah&amp;Bahan'!$U$205</definedName>
    <definedName name="U">[35]Rkp!$K$17</definedName>
    <definedName name="u.bekisting" localSheetId="18">#REF!</definedName>
    <definedName name="u.bekisting" localSheetId="11">#REF!</definedName>
    <definedName name="u.bekisting" localSheetId="10">#REF!</definedName>
    <definedName name="u.bekisting" localSheetId="21">#REF!</definedName>
    <definedName name="u.bekisting" localSheetId="12">#REF!</definedName>
    <definedName name="u.bekisting" localSheetId="1">#REF!</definedName>
    <definedName name="u.bekisting" localSheetId="0">#REF!</definedName>
    <definedName name="u.bekisting" localSheetId="14">#REF!</definedName>
    <definedName name="u.bekisting" localSheetId="5">#REF!</definedName>
    <definedName name="u.bekisting" localSheetId="6">#REF!</definedName>
    <definedName name="u.bekisting" localSheetId="16">#REF!</definedName>
    <definedName name="u.bekisting" localSheetId="7">#REF!</definedName>
    <definedName name="u.bekisting">#REF!</definedName>
    <definedName name="u.besi" localSheetId="18">#REF!</definedName>
    <definedName name="u.besi" localSheetId="11">#REF!</definedName>
    <definedName name="u.besi" localSheetId="10">#REF!</definedName>
    <definedName name="u.besi" localSheetId="21">#REF!</definedName>
    <definedName name="u.besi" localSheetId="12">#REF!</definedName>
    <definedName name="u.besi" localSheetId="1">#REF!</definedName>
    <definedName name="u.besi" localSheetId="0">#REF!</definedName>
    <definedName name="u.besi" localSheetId="14">#REF!</definedName>
    <definedName name="u.besi" localSheetId="5">#REF!</definedName>
    <definedName name="u.besi" localSheetId="6">#REF!</definedName>
    <definedName name="u.besi" localSheetId="16">#REF!</definedName>
    <definedName name="u.besi" localSheetId="7">#REF!</definedName>
    <definedName name="u.besi">#REF!</definedName>
    <definedName name="u.cor" localSheetId="18">#REF!</definedName>
    <definedName name="u.cor" localSheetId="11">#REF!</definedName>
    <definedName name="u.cor" localSheetId="10">#REF!</definedName>
    <definedName name="u.cor" localSheetId="21">#REF!</definedName>
    <definedName name="u.cor" localSheetId="12">#REF!</definedName>
    <definedName name="u.cor" localSheetId="1">#REF!</definedName>
    <definedName name="u.cor" localSheetId="0">#REF!</definedName>
    <definedName name="u.cor" localSheetId="14">#REF!</definedName>
    <definedName name="u.cor" localSheetId="5">#REF!</definedName>
    <definedName name="u.cor" localSheetId="6">#REF!</definedName>
    <definedName name="u.cor" localSheetId="16">#REF!</definedName>
    <definedName name="u.cor" localSheetId="7">#REF!</definedName>
    <definedName name="u.cor">#REF!</definedName>
    <definedName name="ubin30x30" localSheetId="18">[25]Analisis!#REF!</definedName>
    <definedName name="ubin30x30" localSheetId="10">[25]Analisis!#REF!</definedName>
    <definedName name="ubin30x30" localSheetId="21">[25]Analisis!#REF!</definedName>
    <definedName name="ubin30x30" localSheetId="1">[25]Analisis!#REF!</definedName>
    <definedName name="ubin30x30" localSheetId="0">[25]Analisis!#REF!</definedName>
    <definedName name="ubin30x30" localSheetId="5">[25]Analisis!#REF!</definedName>
    <definedName name="ubin30x30" localSheetId="6">[25]Analisis!#REF!</definedName>
    <definedName name="ubin30x30" localSheetId="16">[25]Analisis!#REF!</definedName>
    <definedName name="ubin30x30" localSheetId="7">[25]Analisis!#REF!</definedName>
    <definedName name="ubin30x30">[25]Analisis!#REF!</definedName>
    <definedName name="ubinkeramik" localSheetId="18">[25]Analisis!#REF!</definedName>
    <definedName name="ubinkeramik" localSheetId="10">[25]Analisis!#REF!</definedName>
    <definedName name="ubinkeramik" localSheetId="21">[25]Analisis!#REF!</definedName>
    <definedName name="ubinkeramik" localSheetId="1">[25]Analisis!#REF!</definedName>
    <definedName name="ubinkeramik" localSheetId="0">[25]Analisis!#REF!</definedName>
    <definedName name="ubinkeramik" localSheetId="5">[25]Analisis!#REF!</definedName>
    <definedName name="ubinkeramik" localSheetId="6">[25]Analisis!#REF!</definedName>
    <definedName name="ubinkeramik" localSheetId="16">[25]Analisis!#REF!</definedName>
    <definedName name="ubinkeramik" localSheetId="7">[25]Analisis!#REF!</definedName>
    <definedName name="ubinkeramik">[25]Analisis!#REF!</definedName>
    <definedName name="UMUM" localSheetId="18">#REF!</definedName>
    <definedName name="UMUM" localSheetId="21">#REF!</definedName>
    <definedName name="UMUM" localSheetId="1">#REF!</definedName>
    <definedName name="UMUM" localSheetId="0">#REF!</definedName>
    <definedName name="UMUM" localSheetId="5">#REF!</definedName>
    <definedName name="UMUM" localSheetId="6">#REF!</definedName>
    <definedName name="UMUM" localSheetId="16">#REF!</definedName>
    <definedName name="UMUM" localSheetId="7">#REF!</definedName>
    <definedName name="UMUM">#REF!</definedName>
    <definedName name="UPAH" localSheetId="18">#REF!</definedName>
    <definedName name="UPAH" localSheetId="21">#REF!</definedName>
    <definedName name="UPAH" localSheetId="1">#REF!</definedName>
    <definedName name="UPAH" localSheetId="0">#REF!</definedName>
    <definedName name="UPAH" localSheetId="5">#REF!</definedName>
    <definedName name="UPAH" localSheetId="6">#REF!</definedName>
    <definedName name="UPAH" localSheetId="16">#REF!</definedName>
    <definedName name="UPAH" localSheetId="7">#REF!</definedName>
    <definedName name="UPAH">#REF!</definedName>
    <definedName name="upah_kpl_tukang">'[59]Daft Harg'!$D$7</definedName>
    <definedName name="upah_mandor">'[59]Daft Harg'!$D$9</definedName>
    <definedName name="upah_pekerja">'[59]Daft Harg'!$D$8</definedName>
    <definedName name="upah_tukang">'[59]Daft Harg'!$D$6</definedName>
    <definedName name="upahpolos" localSheetId="18">#REF!</definedName>
    <definedName name="upahpolos" localSheetId="10">#REF!</definedName>
    <definedName name="upahpolos" localSheetId="21">#REF!</definedName>
    <definedName name="upahpolos" localSheetId="1">#REF!</definedName>
    <definedName name="upahpolos" localSheetId="0">#REF!</definedName>
    <definedName name="upahpolos" localSheetId="5">#REF!</definedName>
    <definedName name="upahpolos" localSheetId="6">#REF!</definedName>
    <definedName name="upahpolos" localSheetId="16">#REF!</definedName>
    <definedName name="upahpolos" localSheetId="7">#REF!</definedName>
    <definedName name="upahpolos">#REF!</definedName>
    <definedName name="upahulir" localSheetId="18">#REF!</definedName>
    <definedName name="upahulir" localSheetId="10">#REF!</definedName>
    <definedName name="upahulir" localSheetId="21">#REF!</definedName>
    <definedName name="upahulir" localSheetId="1">#REF!</definedName>
    <definedName name="upahulir" localSheetId="0">#REF!</definedName>
    <definedName name="upahulir" localSheetId="5">#REF!</definedName>
    <definedName name="upahulir" localSheetId="6">#REF!</definedName>
    <definedName name="upahulir" localSheetId="16">#REF!</definedName>
    <definedName name="upahulir" localSheetId="7">#REF!</definedName>
    <definedName name="upahulir">#REF!</definedName>
    <definedName name="UPH_BHN" localSheetId="18">#REF!</definedName>
    <definedName name="UPH_BHN" localSheetId="21">#REF!</definedName>
    <definedName name="UPH_BHN" localSheetId="1">#REF!</definedName>
    <definedName name="UPH_BHN" localSheetId="0">#REF!</definedName>
    <definedName name="UPH_BHN" localSheetId="5">#REF!</definedName>
    <definedName name="UPH_BHN" localSheetId="6">#REF!</definedName>
    <definedName name="UPH_BHN" localSheetId="16">#REF!</definedName>
    <definedName name="UPH_BHN" localSheetId="7">#REF!</definedName>
    <definedName name="UPH_BHN">#REF!</definedName>
    <definedName name="URAIAN" localSheetId="18">#REF!</definedName>
    <definedName name="URAIAN" localSheetId="21">#REF!</definedName>
    <definedName name="URAIAN" localSheetId="1">#REF!</definedName>
    <definedName name="URAIAN" localSheetId="0">#REF!</definedName>
    <definedName name="URAIAN" localSheetId="5">#REF!</definedName>
    <definedName name="URAIAN" localSheetId="6">#REF!</definedName>
    <definedName name="URAIAN" localSheetId="16">#REF!</definedName>
    <definedName name="URAIAN" localSheetId="7">#REF!</definedName>
    <definedName name="URAIAN">#REF!</definedName>
    <definedName name="URAIAN234L" localSheetId="18">#REF!</definedName>
    <definedName name="URAIAN234L" localSheetId="21">#REF!</definedName>
    <definedName name="URAIAN234L" localSheetId="1">#REF!</definedName>
    <definedName name="URAIAN234L" localSheetId="0">#REF!</definedName>
    <definedName name="URAIAN234L" localSheetId="5">#REF!</definedName>
    <definedName name="URAIAN234L" localSheetId="6">#REF!</definedName>
    <definedName name="URAIAN234L" localSheetId="16">#REF!</definedName>
    <definedName name="URAIAN234L" localSheetId="7">#REF!</definedName>
    <definedName name="URAIAN234L">#REF!</definedName>
    <definedName name="URAIAN311" localSheetId="18">#REF!</definedName>
    <definedName name="URAIAN311" localSheetId="21">#REF!</definedName>
    <definedName name="URAIAN311" localSheetId="1">#REF!</definedName>
    <definedName name="URAIAN311" localSheetId="0">#REF!</definedName>
    <definedName name="URAIAN311" localSheetId="5">#REF!</definedName>
    <definedName name="URAIAN311" localSheetId="6">#REF!</definedName>
    <definedName name="URAIAN311" localSheetId="16">#REF!</definedName>
    <definedName name="URAIAN311" localSheetId="7">#REF!</definedName>
    <definedName name="URAIAN311">#REF!</definedName>
    <definedName name="URAIAN312" localSheetId="18">#REF!</definedName>
    <definedName name="URAIAN312" localSheetId="21">#REF!</definedName>
    <definedName name="URAIAN312" localSheetId="1">#REF!</definedName>
    <definedName name="URAIAN312" localSheetId="0">#REF!</definedName>
    <definedName name="URAIAN312" localSheetId="5">#REF!</definedName>
    <definedName name="URAIAN312" localSheetId="6">#REF!</definedName>
    <definedName name="URAIAN312" localSheetId="16">#REF!</definedName>
    <definedName name="URAIAN312" localSheetId="7">#REF!</definedName>
    <definedName name="URAIAN312">#REF!</definedName>
    <definedName name="URAIAN313" localSheetId="18">#REF!</definedName>
    <definedName name="URAIAN313" localSheetId="21">#REF!</definedName>
    <definedName name="URAIAN313" localSheetId="1">#REF!</definedName>
    <definedName name="URAIAN313" localSheetId="0">#REF!</definedName>
    <definedName name="URAIAN313" localSheetId="5">#REF!</definedName>
    <definedName name="URAIAN313" localSheetId="6">#REF!</definedName>
    <definedName name="URAIAN313" localSheetId="16">#REF!</definedName>
    <definedName name="URAIAN313" localSheetId="7">#REF!</definedName>
    <definedName name="URAIAN313">#REF!</definedName>
    <definedName name="URAIAN314" localSheetId="18">#REF!</definedName>
    <definedName name="URAIAN314" localSheetId="21">#REF!</definedName>
    <definedName name="URAIAN314" localSheetId="1">#REF!</definedName>
    <definedName name="URAIAN314" localSheetId="0">#REF!</definedName>
    <definedName name="URAIAN314" localSheetId="5">#REF!</definedName>
    <definedName name="URAIAN314" localSheetId="6">#REF!</definedName>
    <definedName name="URAIAN314" localSheetId="16">#REF!</definedName>
    <definedName name="URAIAN314" localSheetId="7">#REF!</definedName>
    <definedName name="URAIAN314">#REF!</definedName>
    <definedName name="URAIAN315" localSheetId="18">#REF!</definedName>
    <definedName name="URAIAN315" localSheetId="21">#REF!</definedName>
    <definedName name="URAIAN315" localSheetId="1">#REF!</definedName>
    <definedName name="URAIAN315" localSheetId="0">#REF!</definedName>
    <definedName name="URAIAN315" localSheetId="5">#REF!</definedName>
    <definedName name="URAIAN315" localSheetId="6">#REF!</definedName>
    <definedName name="URAIAN315" localSheetId="16">#REF!</definedName>
    <definedName name="URAIAN315" localSheetId="7">#REF!</definedName>
    <definedName name="URAIAN315">#REF!</definedName>
    <definedName name="URAIAN316" localSheetId="18">#REF!</definedName>
    <definedName name="URAIAN316" localSheetId="21">#REF!</definedName>
    <definedName name="URAIAN316" localSheetId="1">#REF!</definedName>
    <definedName name="URAIAN316" localSheetId="0">#REF!</definedName>
    <definedName name="URAIAN316" localSheetId="5">#REF!</definedName>
    <definedName name="URAIAN316" localSheetId="6">#REF!</definedName>
    <definedName name="URAIAN316" localSheetId="16">#REF!</definedName>
    <definedName name="URAIAN316" localSheetId="7">#REF!</definedName>
    <definedName name="URAIAN316">#REF!</definedName>
    <definedName name="URAIAN321" localSheetId="18">#REF!</definedName>
    <definedName name="URAIAN321" localSheetId="21">#REF!</definedName>
    <definedName name="URAIAN321" localSheetId="1">#REF!</definedName>
    <definedName name="URAIAN321" localSheetId="0">#REF!</definedName>
    <definedName name="URAIAN321" localSheetId="5">#REF!</definedName>
    <definedName name="URAIAN321" localSheetId="6">#REF!</definedName>
    <definedName name="URAIAN321" localSheetId="16">#REF!</definedName>
    <definedName name="URAIAN321" localSheetId="7">#REF!</definedName>
    <definedName name="URAIAN321">#REF!</definedName>
    <definedName name="URAIAN322" localSheetId="18">#REF!</definedName>
    <definedName name="URAIAN322" localSheetId="21">#REF!</definedName>
    <definedName name="URAIAN322" localSheetId="1">#REF!</definedName>
    <definedName name="URAIAN322" localSheetId="0">#REF!</definedName>
    <definedName name="URAIAN322" localSheetId="5">#REF!</definedName>
    <definedName name="URAIAN322" localSheetId="6">#REF!</definedName>
    <definedName name="URAIAN322" localSheetId="16">#REF!</definedName>
    <definedName name="URAIAN322" localSheetId="7">#REF!</definedName>
    <definedName name="URAIAN322">#REF!</definedName>
    <definedName name="URAIAN323" localSheetId="18">#REF!</definedName>
    <definedName name="URAIAN323" localSheetId="10">#REF!</definedName>
    <definedName name="URAIAN323" localSheetId="21">#REF!</definedName>
    <definedName name="URAIAN323" localSheetId="1">#REF!</definedName>
    <definedName name="URAIAN323" localSheetId="0">#REF!</definedName>
    <definedName name="URAIAN323" localSheetId="5">#REF!</definedName>
    <definedName name="URAIAN323" localSheetId="6">#REF!</definedName>
    <definedName name="URAIAN323" localSheetId="16">#REF!</definedName>
    <definedName name="URAIAN323" localSheetId="7">#REF!</definedName>
    <definedName name="URAIAN323">#REF!</definedName>
    <definedName name="URAIAN323L" localSheetId="18">#REF!</definedName>
    <definedName name="URAIAN323L" localSheetId="10">#REF!</definedName>
    <definedName name="URAIAN323L" localSheetId="21">#REF!</definedName>
    <definedName name="URAIAN323L" localSheetId="1">#REF!</definedName>
    <definedName name="URAIAN323L" localSheetId="0">#REF!</definedName>
    <definedName name="URAIAN323L" localSheetId="5">#REF!</definedName>
    <definedName name="URAIAN323L" localSheetId="6">#REF!</definedName>
    <definedName name="URAIAN323L" localSheetId="16">#REF!</definedName>
    <definedName name="URAIAN323L" localSheetId="7">#REF!</definedName>
    <definedName name="URAIAN323L">#REF!</definedName>
    <definedName name="URAIAN33" localSheetId="18">#REF!</definedName>
    <definedName name="URAIAN33" localSheetId="21">#REF!</definedName>
    <definedName name="URAIAN33" localSheetId="1">#REF!</definedName>
    <definedName name="URAIAN33" localSheetId="0">#REF!</definedName>
    <definedName name="URAIAN33" localSheetId="5">#REF!</definedName>
    <definedName name="URAIAN33" localSheetId="6">#REF!</definedName>
    <definedName name="URAIAN33" localSheetId="16">#REF!</definedName>
    <definedName name="URAIAN33" localSheetId="7">#REF!</definedName>
    <definedName name="URAIAN33">#REF!</definedName>
    <definedName name="URAIAN423" localSheetId="18">'[19]4'!#REF!</definedName>
    <definedName name="URAIAN423" localSheetId="10">'[19]4'!#REF!</definedName>
    <definedName name="URAIAN423" localSheetId="21">'[19]4'!#REF!</definedName>
    <definedName name="URAIAN423" localSheetId="1">'[19]4'!#REF!</definedName>
    <definedName name="URAIAN423" localSheetId="0">'[19]4'!#REF!</definedName>
    <definedName name="URAIAN423" localSheetId="5">'[19]4'!#REF!</definedName>
    <definedName name="URAIAN423" localSheetId="6">'[19]4'!#REF!</definedName>
    <definedName name="URAIAN423" localSheetId="16">'[19]4'!#REF!</definedName>
    <definedName name="URAIAN423" localSheetId="7">'[19]4'!#REF!</definedName>
    <definedName name="URAIAN423">'[19]4'!#REF!</definedName>
    <definedName name="URAIAN424" localSheetId="18">'[19]4'!#REF!</definedName>
    <definedName name="URAIAN424" localSheetId="10">'[19]4'!#REF!</definedName>
    <definedName name="URAIAN424" localSheetId="21">'[19]4'!#REF!</definedName>
    <definedName name="URAIAN424" localSheetId="1">'[19]4'!#REF!</definedName>
    <definedName name="URAIAN424" localSheetId="0">'[19]4'!#REF!</definedName>
    <definedName name="URAIAN424" localSheetId="5">'[19]4'!#REF!</definedName>
    <definedName name="URAIAN424" localSheetId="6">'[19]4'!#REF!</definedName>
    <definedName name="URAIAN424" localSheetId="16">'[19]4'!#REF!</definedName>
    <definedName name="URAIAN424" localSheetId="7">'[19]4'!#REF!</definedName>
    <definedName name="URAIAN424">'[19]4'!#REF!</definedName>
    <definedName name="URAIAN425" localSheetId="18">'[19]4'!#REF!</definedName>
    <definedName name="URAIAN425" localSheetId="10">'[19]4'!#REF!</definedName>
    <definedName name="URAIAN425" localSheetId="21">'[19]4'!#REF!</definedName>
    <definedName name="URAIAN425" localSheetId="1">'[19]4'!#REF!</definedName>
    <definedName name="URAIAN425" localSheetId="0">'[19]4'!#REF!</definedName>
    <definedName name="URAIAN425" localSheetId="5">'[19]4'!#REF!</definedName>
    <definedName name="URAIAN425" localSheetId="6">'[19]4'!#REF!</definedName>
    <definedName name="URAIAN425" localSheetId="16">'[19]4'!#REF!</definedName>
    <definedName name="URAIAN425" localSheetId="7">'[19]4'!#REF!</definedName>
    <definedName name="URAIAN425">'[19]4'!#REF!</definedName>
    <definedName name="URAIAN426" localSheetId="18">'[19]4'!#REF!</definedName>
    <definedName name="URAIAN426" localSheetId="10">'[19]4'!#REF!</definedName>
    <definedName name="URAIAN426" localSheetId="21">'[19]4'!#REF!</definedName>
    <definedName name="URAIAN426" localSheetId="1">'[19]4'!#REF!</definedName>
    <definedName name="URAIAN426" localSheetId="0">'[19]4'!#REF!</definedName>
    <definedName name="URAIAN426" localSheetId="5">'[19]4'!#REF!</definedName>
    <definedName name="URAIAN426" localSheetId="6">'[19]4'!#REF!</definedName>
    <definedName name="URAIAN426" localSheetId="16">'[19]4'!#REF!</definedName>
    <definedName name="URAIAN426" localSheetId="7">'[19]4'!#REF!</definedName>
    <definedName name="URAIAN426">'[19]4'!#REF!</definedName>
    <definedName name="URAIAN427" localSheetId="18">'[19]4'!#REF!</definedName>
    <definedName name="URAIAN427" localSheetId="10">'[19]4'!#REF!</definedName>
    <definedName name="URAIAN427" localSheetId="21">'[19]4'!#REF!</definedName>
    <definedName name="URAIAN427" localSheetId="1">'[19]4'!#REF!</definedName>
    <definedName name="URAIAN427" localSheetId="0">'[19]4'!#REF!</definedName>
    <definedName name="URAIAN427" localSheetId="5">'[19]4'!#REF!</definedName>
    <definedName name="URAIAN427" localSheetId="6">'[19]4'!#REF!</definedName>
    <definedName name="URAIAN427" localSheetId="16">'[19]4'!#REF!</definedName>
    <definedName name="URAIAN427" localSheetId="7">'[19]4'!#REF!</definedName>
    <definedName name="URAIAN427">'[19]4'!#REF!</definedName>
    <definedName name="URAIAN512" localSheetId="18">'[19]5'!#REF!</definedName>
    <definedName name="URAIAN512" localSheetId="10">'[19]5'!#REF!</definedName>
    <definedName name="URAIAN512" localSheetId="21">'[19]5'!#REF!</definedName>
    <definedName name="URAIAN512" localSheetId="1">'[19]5'!#REF!</definedName>
    <definedName name="URAIAN512" localSheetId="0">'[19]5'!#REF!</definedName>
    <definedName name="URAIAN512" localSheetId="5">'[19]5'!#REF!</definedName>
    <definedName name="URAIAN512" localSheetId="6">'[19]5'!#REF!</definedName>
    <definedName name="URAIAN512" localSheetId="16">'[19]5'!#REF!</definedName>
    <definedName name="URAIAN512" localSheetId="7">'[19]5'!#REF!</definedName>
    <definedName name="URAIAN512">'[19]5'!#REF!</definedName>
    <definedName name="URAIAN522" localSheetId="18">'[19]5'!#REF!</definedName>
    <definedName name="URAIAN522" localSheetId="10">'[19]5'!#REF!</definedName>
    <definedName name="URAIAN522" localSheetId="21">'[19]5'!#REF!</definedName>
    <definedName name="URAIAN522" localSheetId="1">'[19]5'!#REF!</definedName>
    <definedName name="URAIAN522" localSheetId="0">'[19]5'!#REF!</definedName>
    <definedName name="URAIAN522" localSheetId="5">'[19]5'!#REF!</definedName>
    <definedName name="URAIAN522" localSheetId="6">'[19]5'!#REF!</definedName>
    <definedName name="URAIAN522" localSheetId="16">'[19]5'!#REF!</definedName>
    <definedName name="URAIAN522" localSheetId="7">'[19]5'!#REF!</definedName>
    <definedName name="URAIAN522">'[19]5'!#REF!</definedName>
    <definedName name="URAIAN541" localSheetId="18">'[19]5'!#REF!</definedName>
    <definedName name="URAIAN541" localSheetId="10">'[19]5'!#REF!</definedName>
    <definedName name="URAIAN541" localSheetId="21">'[19]5'!#REF!</definedName>
    <definedName name="URAIAN541" localSheetId="1">'[19]5'!#REF!</definedName>
    <definedName name="URAIAN541" localSheetId="0">'[19]5'!#REF!</definedName>
    <definedName name="URAIAN541" localSheetId="5">'[19]5'!#REF!</definedName>
    <definedName name="URAIAN541" localSheetId="6">'[19]5'!#REF!</definedName>
    <definedName name="URAIAN541" localSheetId="16">'[19]5'!#REF!</definedName>
    <definedName name="URAIAN541" localSheetId="7">'[19]5'!#REF!</definedName>
    <definedName name="URAIAN541">'[19]5'!#REF!</definedName>
    <definedName name="URAIAN542" localSheetId="18">'[19]5'!#REF!</definedName>
    <definedName name="URAIAN542" localSheetId="10">'[19]5'!#REF!</definedName>
    <definedName name="URAIAN542" localSheetId="21">'[19]5'!#REF!</definedName>
    <definedName name="URAIAN542" localSheetId="1">'[19]5'!#REF!</definedName>
    <definedName name="URAIAN542" localSheetId="0">'[19]5'!#REF!</definedName>
    <definedName name="URAIAN542" localSheetId="5">'[19]5'!#REF!</definedName>
    <definedName name="URAIAN542" localSheetId="6">'[19]5'!#REF!</definedName>
    <definedName name="URAIAN542" localSheetId="16">'[19]5'!#REF!</definedName>
    <definedName name="URAIAN542" localSheetId="7">'[19]5'!#REF!</definedName>
    <definedName name="URAIAN542">'[19]5'!#REF!</definedName>
    <definedName name="URAIAN621" localSheetId="18">'[19]6'!#REF!</definedName>
    <definedName name="URAIAN621" localSheetId="10">'[19]6'!#REF!</definedName>
    <definedName name="URAIAN621" localSheetId="21">'[19]6'!#REF!</definedName>
    <definedName name="URAIAN621" localSheetId="1">'[19]6'!#REF!</definedName>
    <definedName name="URAIAN621" localSheetId="0">'[19]6'!#REF!</definedName>
    <definedName name="URAIAN621" localSheetId="5">'[19]6'!#REF!</definedName>
    <definedName name="URAIAN621" localSheetId="6">'[19]6'!#REF!</definedName>
    <definedName name="URAIAN621" localSheetId="16">'[19]6'!#REF!</definedName>
    <definedName name="URAIAN621" localSheetId="7">'[19]6'!#REF!</definedName>
    <definedName name="URAIAN621">'[19]6'!#REF!</definedName>
    <definedName name="URAIAN622" localSheetId="18">'[19]6'!#REF!</definedName>
    <definedName name="URAIAN622" localSheetId="10">'[19]6'!#REF!</definedName>
    <definedName name="URAIAN622" localSheetId="21">'[19]6'!#REF!</definedName>
    <definedName name="URAIAN622" localSheetId="1">'[19]6'!#REF!</definedName>
    <definedName name="URAIAN622" localSheetId="0">'[19]6'!#REF!</definedName>
    <definedName name="URAIAN622" localSheetId="5">'[19]6'!#REF!</definedName>
    <definedName name="URAIAN622" localSheetId="6">'[19]6'!#REF!</definedName>
    <definedName name="URAIAN622" localSheetId="16">'[19]6'!#REF!</definedName>
    <definedName name="URAIAN622" localSheetId="7">'[19]6'!#REF!</definedName>
    <definedName name="URAIAN622">'[19]6'!#REF!</definedName>
    <definedName name="URAIAN623" localSheetId="18">'[19]6'!#REF!</definedName>
    <definedName name="URAIAN623" localSheetId="10">'[19]6'!#REF!</definedName>
    <definedName name="URAIAN623" localSheetId="21">'[19]6'!#REF!</definedName>
    <definedName name="URAIAN623" localSheetId="1">'[19]6'!#REF!</definedName>
    <definedName name="URAIAN623" localSheetId="0">'[19]6'!#REF!</definedName>
    <definedName name="URAIAN623" localSheetId="5">'[19]6'!#REF!</definedName>
    <definedName name="URAIAN623" localSheetId="6">'[19]6'!#REF!</definedName>
    <definedName name="URAIAN623" localSheetId="16">'[19]6'!#REF!</definedName>
    <definedName name="URAIAN623" localSheetId="7">'[19]6'!#REF!</definedName>
    <definedName name="URAIAN623">'[19]6'!#REF!</definedName>
    <definedName name="URAIAN631" localSheetId="18">'[19]6'!#REF!</definedName>
    <definedName name="URAIAN631" localSheetId="10">'[19]6'!#REF!</definedName>
    <definedName name="URAIAN631" localSheetId="21">'[19]6'!#REF!</definedName>
    <definedName name="URAIAN631" localSheetId="1">'[19]6'!#REF!</definedName>
    <definedName name="URAIAN631" localSheetId="0">'[19]6'!#REF!</definedName>
    <definedName name="URAIAN631" localSheetId="5">'[19]6'!#REF!</definedName>
    <definedName name="URAIAN631" localSheetId="6">'[19]6'!#REF!</definedName>
    <definedName name="URAIAN631" localSheetId="16">'[19]6'!#REF!</definedName>
    <definedName name="URAIAN631" localSheetId="7">'[19]6'!#REF!</definedName>
    <definedName name="URAIAN631">'[19]6'!#REF!</definedName>
    <definedName name="URAIAN632" localSheetId="18">'[19]6'!#REF!</definedName>
    <definedName name="URAIAN632" localSheetId="10">'[19]6'!#REF!</definedName>
    <definedName name="URAIAN632" localSheetId="21">'[19]6'!#REF!</definedName>
    <definedName name="URAIAN632" localSheetId="1">'[19]6'!#REF!</definedName>
    <definedName name="URAIAN632" localSheetId="0">'[19]6'!#REF!</definedName>
    <definedName name="URAIAN632" localSheetId="5">'[19]6'!#REF!</definedName>
    <definedName name="URAIAN632" localSheetId="6">'[19]6'!#REF!</definedName>
    <definedName name="URAIAN632" localSheetId="16">'[19]6'!#REF!</definedName>
    <definedName name="URAIAN632" localSheetId="7">'[19]6'!#REF!</definedName>
    <definedName name="URAIAN632">'[19]6'!#REF!</definedName>
    <definedName name="URAIAN635A" localSheetId="18">'[19]6'!#REF!</definedName>
    <definedName name="URAIAN635A" localSheetId="10">'[19]6'!#REF!</definedName>
    <definedName name="URAIAN635A" localSheetId="21">'[19]6'!#REF!</definedName>
    <definedName name="URAIAN635A" localSheetId="1">'[19]6'!#REF!</definedName>
    <definedName name="URAIAN635A" localSheetId="0">'[19]6'!#REF!</definedName>
    <definedName name="URAIAN635A" localSheetId="5">'[19]6'!#REF!</definedName>
    <definedName name="URAIAN635A" localSheetId="6">'[19]6'!#REF!</definedName>
    <definedName name="URAIAN635A" localSheetId="16">'[19]6'!#REF!</definedName>
    <definedName name="URAIAN635A" localSheetId="7">'[19]6'!#REF!</definedName>
    <definedName name="URAIAN635A">'[19]6'!#REF!</definedName>
    <definedName name="URAIAN636" localSheetId="18">'[19]6'!#REF!</definedName>
    <definedName name="URAIAN636" localSheetId="10">'[19]6'!#REF!</definedName>
    <definedName name="URAIAN636" localSheetId="21">'[19]6'!#REF!</definedName>
    <definedName name="URAIAN636" localSheetId="1">'[19]6'!#REF!</definedName>
    <definedName name="URAIAN636" localSheetId="0">'[19]6'!#REF!</definedName>
    <definedName name="URAIAN636" localSheetId="5">'[19]6'!#REF!</definedName>
    <definedName name="URAIAN636" localSheetId="6">'[19]6'!#REF!</definedName>
    <definedName name="URAIAN636" localSheetId="16">'[19]6'!#REF!</definedName>
    <definedName name="URAIAN636" localSheetId="7">'[19]6'!#REF!</definedName>
    <definedName name="URAIAN636">'[19]6'!#REF!</definedName>
    <definedName name="URAIAN641L" localSheetId="18">#REF!</definedName>
    <definedName name="URAIAN641L" localSheetId="21">#REF!</definedName>
    <definedName name="URAIAN641L" localSheetId="1">#REF!</definedName>
    <definedName name="URAIAN641L" localSheetId="0">#REF!</definedName>
    <definedName name="URAIAN641L" localSheetId="5">#REF!</definedName>
    <definedName name="URAIAN641L" localSheetId="6">#REF!</definedName>
    <definedName name="URAIAN641L" localSheetId="16">#REF!</definedName>
    <definedName name="URAIAN641L" localSheetId="7">#REF!</definedName>
    <definedName name="URAIAN641L">#REF!</definedName>
    <definedName name="URAIAN642" localSheetId="18">#REF!</definedName>
    <definedName name="URAIAN642" localSheetId="21">#REF!</definedName>
    <definedName name="URAIAN642" localSheetId="1">#REF!</definedName>
    <definedName name="URAIAN642" localSheetId="0">#REF!</definedName>
    <definedName name="URAIAN642" localSheetId="5">#REF!</definedName>
    <definedName name="URAIAN642" localSheetId="6">#REF!</definedName>
    <definedName name="URAIAN642" localSheetId="16">#REF!</definedName>
    <definedName name="URAIAN642" localSheetId="7">#REF!</definedName>
    <definedName name="URAIAN642">#REF!</definedName>
    <definedName name="URAIAN651" localSheetId="18">'[19]6'!#REF!</definedName>
    <definedName name="URAIAN651" localSheetId="10">'[19]6'!#REF!</definedName>
    <definedName name="URAIAN651" localSheetId="21">'[19]6'!#REF!</definedName>
    <definedName name="URAIAN651" localSheetId="1">'[19]6'!#REF!</definedName>
    <definedName name="URAIAN651" localSheetId="0">'[19]6'!#REF!</definedName>
    <definedName name="URAIAN651" localSheetId="5">'[19]6'!#REF!</definedName>
    <definedName name="URAIAN651" localSheetId="6">'[19]6'!#REF!</definedName>
    <definedName name="URAIAN651" localSheetId="16">'[19]6'!#REF!</definedName>
    <definedName name="URAIAN651" localSheetId="7">'[19]6'!#REF!</definedName>
    <definedName name="URAIAN651">'[19]6'!#REF!</definedName>
    <definedName name="URAIAN711" localSheetId="21">#REF!</definedName>
    <definedName name="URAIAN711" localSheetId="1">#REF!</definedName>
    <definedName name="URAIAN711" localSheetId="0">#REF!</definedName>
    <definedName name="URAIAN711" localSheetId="5">#REF!</definedName>
    <definedName name="URAIAN711" localSheetId="6">#REF!</definedName>
    <definedName name="URAIAN711" localSheetId="16">#REF!</definedName>
    <definedName name="URAIAN711" localSheetId="7">#REF!</definedName>
    <definedName name="URAIAN711">#REF!</definedName>
    <definedName name="URAIAN714" localSheetId="21">#REF!</definedName>
    <definedName name="URAIAN714" localSheetId="1">#REF!</definedName>
    <definedName name="URAIAN714" localSheetId="0">#REF!</definedName>
    <definedName name="URAIAN714" localSheetId="5">#REF!</definedName>
    <definedName name="URAIAN714" localSheetId="6">#REF!</definedName>
    <definedName name="URAIAN714" localSheetId="16">#REF!</definedName>
    <definedName name="URAIAN714" localSheetId="7">#REF!</definedName>
    <definedName name="URAIAN714">#REF!</definedName>
    <definedName name="URAIAN721" localSheetId="21">#REF!</definedName>
    <definedName name="URAIAN721" localSheetId="1">#REF!</definedName>
    <definedName name="URAIAN721" localSheetId="0">#REF!</definedName>
    <definedName name="URAIAN721" localSheetId="5">#REF!</definedName>
    <definedName name="URAIAN721" localSheetId="6">#REF!</definedName>
    <definedName name="URAIAN721" localSheetId="16">#REF!</definedName>
    <definedName name="URAIAN721" localSheetId="7">#REF!</definedName>
    <definedName name="URAIAN721">#REF!</definedName>
    <definedName name="URAIAN731" localSheetId="21">#REF!</definedName>
    <definedName name="URAIAN731" localSheetId="1">#REF!</definedName>
    <definedName name="URAIAN731" localSheetId="0">#REF!</definedName>
    <definedName name="URAIAN731" localSheetId="5">#REF!</definedName>
    <definedName name="URAIAN731" localSheetId="6">#REF!</definedName>
    <definedName name="URAIAN731" localSheetId="16">#REF!</definedName>
    <definedName name="URAIAN731" localSheetId="7">#REF!</definedName>
    <definedName name="URAIAN731">#REF!</definedName>
    <definedName name="URAIAN732" localSheetId="21">#REF!</definedName>
    <definedName name="URAIAN732" localSheetId="1">#REF!</definedName>
    <definedName name="URAIAN732" localSheetId="0">#REF!</definedName>
    <definedName name="URAIAN732" localSheetId="5">#REF!</definedName>
    <definedName name="URAIAN732" localSheetId="6">#REF!</definedName>
    <definedName name="URAIAN732" localSheetId="16">#REF!</definedName>
    <definedName name="URAIAN732" localSheetId="7">#REF!</definedName>
    <definedName name="URAIAN732">#REF!</definedName>
    <definedName name="URAIAN733" localSheetId="21">#REF!</definedName>
    <definedName name="URAIAN733" localSheetId="1">#REF!</definedName>
    <definedName name="URAIAN733" localSheetId="0">#REF!</definedName>
    <definedName name="URAIAN733" localSheetId="5">#REF!</definedName>
    <definedName name="URAIAN733" localSheetId="6">#REF!</definedName>
    <definedName name="URAIAN733" localSheetId="16">#REF!</definedName>
    <definedName name="URAIAN733" localSheetId="7">#REF!</definedName>
    <definedName name="URAIAN733">#REF!</definedName>
    <definedName name="URAIAN734" localSheetId="21">#REF!</definedName>
    <definedName name="URAIAN734" localSheetId="1">#REF!</definedName>
    <definedName name="URAIAN734" localSheetId="0">#REF!</definedName>
    <definedName name="URAIAN734" localSheetId="5">#REF!</definedName>
    <definedName name="URAIAN734" localSheetId="6">#REF!</definedName>
    <definedName name="URAIAN734" localSheetId="16">#REF!</definedName>
    <definedName name="URAIAN734" localSheetId="7">#REF!</definedName>
    <definedName name="URAIAN734">#REF!</definedName>
    <definedName name="URAIAN735" localSheetId="21">#REF!</definedName>
    <definedName name="URAIAN735" localSheetId="1">#REF!</definedName>
    <definedName name="URAIAN735" localSheetId="0">#REF!</definedName>
    <definedName name="URAIAN735" localSheetId="5">#REF!</definedName>
    <definedName name="URAIAN735" localSheetId="6">#REF!</definedName>
    <definedName name="URAIAN735" localSheetId="16">#REF!</definedName>
    <definedName name="URAIAN735" localSheetId="7">#REF!</definedName>
    <definedName name="URAIAN735">#REF!</definedName>
    <definedName name="URAIAN771a" localSheetId="21">#REF!</definedName>
    <definedName name="URAIAN771a" localSheetId="1">#REF!</definedName>
    <definedName name="URAIAN771a" localSheetId="0">#REF!</definedName>
    <definedName name="URAIAN771a" localSheetId="5">#REF!</definedName>
    <definedName name="URAIAN771a" localSheetId="6">#REF!</definedName>
    <definedName name="URAIAN771a" localSheetId="16">#REF!</definedName>
    <definedName name="URAIAN771a" localSheetId="7">#REF!</definedName>
    <definedName name="URAIAN771a">#REF!</definedName>
    <definedName name="URAIAN771b" localSheetId="21">#REF!</definedName>
    <definedName name="URAIAN771b" localSheetId="1">#REF!</definedName>
    <definedName name="URAIAN771b" localSheetId="0">#REF!</definedName>
    <definedName name="URAIAN771b" localSheetId="5">#REF!</definedName>
    <definedName name="URAIAN771b" localSheetId="6">#REF!</definedName>
    <definedName name="URAIAN771b" localSheetId="16">#REF!</definedName>
    <definedName name="URAIAN771b" localSheetId="7">#REF!</definedName>
    <definedName name="URAIAN771b">#REF!</definedName>
    <definedName name="URAIAN771c" localSheetId="21">#REF!</definedName>
    <definedName name="URAIAN771c" localSheetId="1">#REF!</definedName>
    <definedName name="URAIAN771c" localSheetId="0">#REF!</definedName>
    <definedName name="URAIAN771c" localSheetId="5">#REF!</definedName>
    <definedName name="URAIAN771c" localSheetId="6">#REF!</definedName>
    <definedName name="URAIAN771c" localSheetId="16">#REF!</definedName>
    <definedName name="URAIAN771c" localSheetId="7">#REF!</definedName>
    <definedName name="URAIAN771c">#REF!</definedName>
    <definedName name="URAIAN771d" localSheetId="21">#REF!</definedName>
    <definedName name="URAIAN771d" localSheetId="1">#REF!</definedName>
    <definedName name="URAIAN771d" localSheetId="0">#REF!</definedName>
    <definedName name="URAIAN771d" localSheetId="5">#REF!</definedName>
    <definedName name="URAIAN771d" localSheetId="6">#REF!</definedName>
    <definedName name="URAIAN771d" localSheetId="16">#REF!</definedName>
    <definedName name="URAIAN771d" localSheetId="7">#REF!</definedName>
    <definedName name="URAIAN771d">#REF!</definedName>
    <definedName name="URAIAN772a" localSheetId="21">#REF!</definedName>
    <definedName name="URAIAN772a" localSheetId="1">#REF!</definedName>
    <definedName name="URAIAN772a" localSheetId="0">#REF!</definedName>
    <definedName name="URAIAN772a" localSheetId="5">#REF!</definedName>
    <definedName name="URAIAN772a" localSheetId="6">#REF!</definedName>
    <definedName name="URAIAN772a" localSheetId="16">#REF!</definedName>
    <definedName name="URAIAN772a" localSheetId="7">#REF!</definedName>
    <definedName name="URAIAN772a">#REF!</definedName>
    <definedName name="URAIAN772b" localSheetId="21">#REF!</definedName>
    <definedName name="URAIAN772b" localSheetId="1">#REF!</definedName>
    <definedName name="URAIAN772b" localSheetId="0">#REF!</definedName>
    <definedName name="URAIAN772b" localSheetId="5">#REF!</definedName>
    <definedName name="URAIAN772b" localSheetId="6">#REF!</definedName>
    <definedName name="URAIAN772b" localSheetId="16">#REF!</definedName>
    <definedName name="URAIAN772b" localSheetId="7">#REF!</definedName>
    <definedName name="URAIAN772b">#REF!</definedName>
    <definedName name="URAIAN772c" localSheetId="21">#REF!</definedName>
    <definedName name="URAIAN772c" localSheetId="1">#REF!</definedName>
    <definedName name="URAIAN772c" localSheetId="0">#REF!</definedName>
    <definedName name="URAIAN772c" localSheetId="5">#REF!</definedName>
    <definedName name="URAIAN772c" localSheetId="6">#REF!</definedName>
    <definedName name="URAIAN772c" localSheetId="16">#REF!</definedName>
    <definedName name="URAIAN772c" localSheetId="7">#REF!</definedName>
    <definedName name="URAIAN772c">#REF!</definedName>
    <definedName name="URAIAN772d" localSheetId="21">#REF!</definedName>
    <definedName name="URAIAN772d" localSheetId="1">#REF!</definedName>
    <definedName name="URAIAN772d" localSheetId="0">#REF!</definedName>
    <definedName name="URAIAN772d" localSheetId="5">#REF!</definedName>
    <definedName name="URAIAN772d" localSheetId="6">#REF!</definedName>
    <definedName name="URAIAN772d" localSheetId="16">#REF!</definedName>
    <definedName name="URAIAN772d" localSheetId="7">#REF!</definedName>
    <definedName name="URAIAN772d">#REF!</definedName>
    <definedName name="URAIAN811" localSheetId="18">#REF!</definedName>
    <definedName name="URAIAN811" localSheetId="10">#REF!</definedName>
    <definedName name="URAIAN811" localSheetId="21">#REF!</definedName>
    <definedName name="URAIAN811" localSheetId="1">#REF!</definedName>
    <definedName name="URAIAN811" localSheetId="0">#REF!</definedName>
    <definedName name="URAIAN811" localSheetId="5">#REF!</definedName>
    <definedName name="URAIAN811" localSheetId="6">#REF!</definedName>
    <definedName name="URAIAN811" localSheetId="16">#REF!</definedName>
    <definedName name="URAIAN811" localSheetId="7">#REF!</definedName>
    <definedName name="URAIAN811">#REF!</definedName>
    <definedName name="URAIAN812" localSheetId="18">#REF!</definedName>
    <definedName name="URAIAN812" localSheetId="10">#REF!</definedName>
    <definedName name="URAIAN812" localSheetId="21">#REF!</definedName>
    <definedName name="URAIAN812" localSheetId="1">#REF!</definedName>
    <definedName name="URAIAN812" localSheetId="0">#REF!</definedName>
    <definedName name="URAIAN812" localSheetId="5">#REF!</definedName>
    <definedName name="URAIAN812" localSheetId="6">#REF!</definedName>
    <definedName name="URAIAN812" localSheetId="16">#REF!</definedName>
    <definedName name="URAIAN812" localSheetId="7">#REF!</definedName>
    <definedName name="URAIAN812">#REF!</definedName>
    <definedName name="URAIAN813" localSheetId="18">#REF!</definedName>
    <definedName name="URAIAN813" localSheetId="10">#REF!</definedName>
    <definedName name="URAIAN813" localSheetId="21">#REF!</definedName>
    <definedName name="URAIAN813" localSheetId="1">#REF!</definedName>
    <definedName name="URAIAN813" localSheetId="0">#REF!</definedName>
    <definedName name="URAIAN813" localSheetId="5">#REF!</definedName>
    <definedName name="URAIAN813" localSheetId="6">#REF!</definedName>
    <definedName name="URAIAN813" localSheetId="16">#REF!</definedName>
    <definedName name="URAIAN813" localSheetId="7">#REF!</definedName>
    <definedName name="URAIAN813">#REF!</definedName>
    <definedName name="URAIAN814" localSheetId="18">#REF!</definedName>
    <definedName name="URAIAN814" localSheetId="21">#REF!</definedName>
    <definedName name="URAIAN814" localSheetId="1">#REF!</definedName>
    <definedName name="URAIAN814" localSheetId="0">#REF!</definedName>
    <definedName name="URAIAN814" localSheetId="5">#REF!</definedName>
    <definedName name="URAIAN814" localSheetId="6">#REF!</definedName>
    <definedName name="URAIAN814" localSheetId="16">#REF!</definedName>
    <definedName name="URAIAN814" localSheetId="7">#REF!</definedName>
    <definedName name="URAIAN814">#REF!</definedName>
    <definedName name="URAIAN815" localSheetId="18">#REF!</definedName>
    <definedName name="URAIAN815" localSheetId="10">#REF!</definedName>
    <definedName name="URAIAN815" localSheetId="21">#REF!</definedName>
    <definedName name="URAIAN815" localSheetId="1">#REF!</definedName>
    <definedName name="URAIAN815" localSheetId="0">#REF!</definedName>
    <definedName name="URAIAN815" localSheetId="5">#REF!</definedName>
    <definedName name="URAIAN815" localSheetId="6">#REF!</definedName>
    <definedName name="URAIAN815" localSheetId="16">#REF!</definedName>
    <definedName name="URAIAN815" localSheetId="7">#REF!</definedName>
    <definedName name="URAIAN815">#REF!</definedName>
    <definedName name="URAIAN817" localSheetId="18">#REF!</definedName>
    <definedName name="URAIAN817" localSheetId="10">#REF!</definedName>
    <definedName name="URAIAN817" localSheetId="21">#REF!</definedName>
    <definedName name="URAIAN817" localSheetId="1">#REF!</definedName>
    <definedName name="URAIAN817" localSheetId="0">#REF!</definedName>
    <definedName name="URAIAN817" localSheetId="5">#REF!</definedName>
    <definedName name="URAIAN817" localSheetId="6">#REF!</definedName>
    <definedName name="URAIAN817" localSheetId="16">#REF!</definedName>
    <definedName name="URAIAN817" localSheetId="7">#REF!</definedName>
    <definedName name="URAIAN817">#REF!</definedName>
    <definedName name="URAIAN818" localSheetId="18">#REF!</definedName>
    <definedName name="URAIAN818" localSheetId="10">#REF!</definedName>
    <definedName name="URAIAN818" localSheetId="21">#REF!</definedName>
    <definedName name="URAIAN818" localSheetId="1">#REF!</definedName>
    <definedName name="URAIAN818" localSheetId="0">#REF!</definedName>
    <definedName name="URAIAN818" localSheetId="5">#REF!</definedName>
    <definedName name="URAIAN818" localSheetId="6">#REF!</definedName>
    <definedName name="URAIAN818" localSheetId="16">#REF!</definedName>
    <definedName name="URAIAN818" localSheetId="7">#REF!</definedName>
    <definedName name="URAIAN818">#REF!</definedName>
    <definedName name="URAIAN819" localSheetId="18">#REF!</definedName>
    <definedName name="URAIAN819" localSheetId="10">#REF!</definedName>
    <definedName name="URAIAN819" localSheetId="21">#REF!</definedName>
    <definedName name="URAIAN819" localSheetId="1">#REF!</definedName>
    <definedName name="URAIAN819" localSheetId="0">#REF!</definedName>
    <definedName name="URAIAN819" localSheetId="5">#REF!</definedName>
    <definedName name="URAIAN819" localSheetId="6">#REF!</definedName>
    <definedName name="URAIAN819" localSheetId="16">#REF!</definedName>
    <definedName name="URAIAN819" localSheetId="7">#REF!</definedName>
    <definedName name="URAIAN819">#REF!</definedName>
    <definedName name="URAIAN82" localSheetId="18">#REF!</definedName>
    <definedName name="URAIAN82" localSheetId="10">#REF!</definedName>
    <definedName name="URAIAN82" localSheetId="21">#REF!</definedName>
    <definedName name="URAIAN82" localSheetId="1">#REF!</definedName>
    <definedName name="URAIAN82" localSheetId="0">#REF!</definedName>
    <definedName name="URAIAN82" localSheetId="5">#REF!</definedName>
    <definedName name="URAIAN82" localSheetId="6">#REF!</definedName>
    <definedName name="URAIAN82" localSheetId="16">#REF!</definedName>
    <definedName name="URAIAN82" localSheetId="7">#REF!</definedName>
    <definedName name="URAIAN82">#REF!</definedName>
    <definedName name="URAIAN83" localSheetId="18">#REF!</definedName>
    <definedName name="URAIAN83" localSheetId="10">#REF!</definedName>
    <definedName name="URAIAN83" localSheetId="21">#REF!</definedName>
    <definedName name="URAIAN83" localSheetId="1">#REF!</definedName>
    <definedName name="URAIAN83" localSheetId="0">#REF!</definedName>
    <definedName name="URAIAN83" localSheetId="5">#REF!</definedName>
    <definedName name="URAIAN83" localSheetId="6">#REF!</definedName>
    <definedName name="URAIAN83" localSheetId="16">#REF!</definedName>
    <definedName name="URAIAN83" localSheetId="7">#REF!</definedName>
    <definedName name="URAIAN83">#REF!</definedName>
    <definedName name="Uraian841" localSheetId="18">#REF!</definedName>
    <definedName name="Uraian841" localSheetId="10">#REF!</definedName>
    <definedName name="Uraian841" localSheetId="21">#REF!</definedName>
    <definedName name="Uraian841" localSheetId="1">#REF!</definedName>
    <definedName name="Uraian841" localSheetId="0">#REF!</definedName>
    <definedName name="Uraian841" localSheetId="5">#REF!</definedName>
    <definedName name="Uraian841" localSheetId="6">#REF!</definedName>
    <definedName name="Uraian841" localSheetId="16">#REF!</definedName>
    <definedName name="Uraian841" localSheetId="7">#REF!</definedName>
    <definedName name="Uraian841">#REF!</definedName>
    <definedName name="Uraian842" localSheetId="18">#REF!</definedName>
    <definedName name="Uraian842" localSheetId="10">#REF!</definedName>
    <definedName name="Uraian842" localSheetId="21">#REF!</definedName>
    <definedName name="Uraian842" localSheetId="1">#REF!</definedName>
    <definedName name="Uraian842" localSheetId="0">#REF!</definedName>
    <definedName name="Uraian842" localSheetId="5">#REF!</definedName>
    <definedName name="Uraian842" localSheetId="6">#REF!</definedName>
    <definedName name="Uraian842" localSheetId="16">#REF!</definedName>
    <definedName name="Uraian842" localSheetId="7">#REF!</definedName>
    <definedName name="Uraian842">#REF!</definedName>
    <definedName name="Uraian843" localSheetId="18">#REF!</definedName>
    <definedName name="Uraian843" localSheetId="10">#REF!</definedName>
    <definedName name="Uraian843" localSheetId="21">#REF!</definedName>
    <definedName name="Uraian843" localSheetId="1">#REF!</definedName>
    <definedName name="Uraian843" localSheetId="0">#REF!</definedName>
    <definedName name="Uraian843" localSheetId="5">#REF!</definedName>
    <definedName name="Uraian843" localSheetId="6">#REF!</definedName>
    <definedName name="Uraian843" localSheetId="16">#REF!</definedName>
    <definedName name="Uraian843" localSheetId="7">#REF!</definedName>
    <definedName name="Uraian843">#REF!</definedName>
    <definedName name="Uraian844" localSheetId="18">#REF!</definedName>
    <definedName name="Uraian844" localSheetId="10">#REF!</definedName>
    <definedName name="Uraian844" localSheetId="21">#REF!</definedName>
    <definedName name="Uraian844" localSheetId="1">#REF!</definedName>
    <definedName name="Uraian844" localSheetId="0">#REF!</definedName>
    <definedName name="Uraian844" localSheetId="5">#REF!</definedName>
    <definedName name="Uraian844" localSheetId="6">#REF!</definedName>
    <definedName name="Uraian844" localSheetId="16">#REF!</definedName>
    <definedName name="Uraian844" localSheetId="7">#REF!</definedName>
    <definedName name="Uraian844">#REF!</definedName>
    <definedName name="Uraian845" localSheetId="18">#REF!</definedName>
    <definedName name="Uraian845" localSheetId="10">#REF!</definedName>
    <definedName name="Uraian845" localSheetId="21">#REF!</definedName>
    <definedName name="Uraian845" localSheetId="1">#REF!</definedName>
    <definedName name="Uraian845" localSheetId="0">#REF!</definedName>
    <definedName name="Uraian845" localSheetId="5">#REF!</definedName>
    <definedName name="Uraian845" localSheetId="6">#REF!</definedName>
    <definedName name="Uraian845" localSheetId="16">#REF!</definedName>
    <definedName name="Uraian845" localSheetId="7">#REF!</definedName>
    <definedName name="Uraian845">#REF!</definedName>
    <definedName name="Uraian846" localSheetId="18">#REF!</definedName>
    <definedName name="Uraian846" localSheetId="10">#REF!</definedName>
    <definedName name="Uraian846" localSheetId="21">#REF!</definedName>
    <definedName name="Uraian846" localSheetId="1">#REF!</definedName>
    <definedName name="Uraian846" localSheetId="0">#REF!</definedName>
    <definedName name="Uraian846" localSheetId="5">#REF!</definedName>
    <definedName name="Uraian846" localSheetId="6">#REF!</definedName>
    <definedName name="Uraian846" localSheetId="16">#REF!</definedName>
    <definedName name="Uraian846" localSheetId="7">#REF!</definedName>
    <definedName name="Uraian846">#REF!</definedName>
    <definedName name="Uraian847" localSheetId="18">#REF!</definedName>
    <definedName name="Uraian847" localSheetId="10">#REF!</definedName>
    <definedName name="Uraian847" localSheetId="21">#REF!</definedName>
    <definedName name="Uraian847" localSheetId="1">#REF!</definedName>
    <definedName name="Uraian847" localSheetId="0">#REF!</definedName>
    <definedName name="Uraian847" localSheetId="5">#REF!</definedName>
    <definedName name="Uraian847" localSheetId="6">#REF!</definedName>
    <definedName name="Uraian847" localSheetId="16">#REF!</definedName>
    <definedName name="Uraian847" localSheetId="7">#REF!</definedName>
    <definedName name="Uraian847">#REF!</definedName>
    <definedName name="URAIANLatasirK" localSheetId="18">#REF!</definedName>
    <definedName name="URAIANLatasirK" localSheetId="21">#REF!</definedName>
    <definedName name="URAIANLatasirK" localSheetId="1">#REF!</definedName>
    <definedName name="URAIANLatasirK" localSheetId="0">#REF!</definedName>
    <definedName name="URAIANLatasirK" localSheetId="5">#REF!</definedName>
    <definedName name="URAIANLatasirK" localSheetId="6">#REF!</definedName>
    <definedName name="URAIANLatasirK" localSheetId="16">#REF!</definedName>
    <definedName name="URAIANLatasirK" localSheetId="7">#REF!</definedName>
    <definedName name="URAIANLatasirK">#REF!</definedName>
    <definedName name="URAIANLatasirKL" localSheetId="18">#REF!</definedName>
    <definedName name="URAIANLatasirKL" localSheetId="21">#REF!</definedName>
    <definedName name="URAIANLatasirKL" localSheetId="1">#REF!</definedName>
    <definedName name="URAIANLatasirKL" localSheetId="0">#REF!</definedName>
    <definedName name="URAIANLatasirKL" localSheetId="5">#REF!</definedName>
    <definedName name="URAIANLatasirKL" localSheetId="6">#REF!</definedName>
    <definedName name="URAIANLatasirKL" localSheetId="16">#REF!</definedName>
    <definedName name="URAIANLatasirKL" localSheetId="7">#REF!</definedName>
    <definedName name="URAIANLatasirKL">#REF!</definedName>
    <definedName name="urinoir" localSheetId="18">#REF!</definedName>
    <definedName name="urinoir" localSheetId="11">#REF!</definedName>
    <definedName name="urinoir" localSheetId="10">#REF!</definedName>
    <definedName name="urinoir" localSheetId="21">#REF!</definedName>
    <definedName name="urinoir" localSheetId="12">#REF!</definedName>
    <definedName name="urinoir" localSheetId="1">#REF!</definedName>
    <definedName name="urinoir" localSheetId="0">#REF!</definedName>
    <definedName name="urinoir" localSheetId="14">#REF!</definedName>
    <definedName name="urinoir" localSheetId="5">#REF!</definedName>
    <definedName name="urinoir" localSheetId="6">#REF!</definedName>
    <definedName name="urinoir" localSheetId="16">#REF!</definedName>
    <definedName name="urinoir" localSheetId="7">#REF!</definedName>
    <definedName name="urinoir">#REF!</definedName>
    <definedName name="Urug" localSheetId="21">'[26]Daftar Harga'!#REF!</definedName>
    <definedName name="Urug" localSheetId="1">'[26]Daftar Harga'!#REF!</definedName>
    <definedName name="Urug" localSheetId="0">'[26]Daftar Harga'!#REF!</definedName>
    <definedName name="Urug" localSheetId="5">'[26]Daftar Harga'!#REF!</definedName>
    <definedName name="Urug" localSheetId="6">'[26]Daftar Harga'!#REF!</definedName>
    <definedName name="Urug" localSheetId="16">'[26]Daftar Harga'!#REF!</definedName>
    <definedName name="Urug" localSheetId="7">'[26]Daftar Harga'!#REF!</definedName>
    <definedName name="Urug">'[26]Daftar Harga'!#REF!</definedName>
    <definedName name="V_PEK_PLESTER" localSheetId="18">#REF!</definedName>
    <definedName name="V_PEK_PLESTER" localSheetId="21">#REF!</definedName>
    <definedName name="V_PEK_PLESTER" localSheetId="1">#REF!</definedName>
    <definedName name="V_PEK_PLESTER" localSheetId="0">#REF!</definedName>
    <definedName name="V_PEK_PLESTER" localSheetId="5">#REF!</definedName>
    <definedName name="V_PEK_PLESTER" localSheetId="6">#REF!</definedName>
    <definedName name="V_PEK_PLESTER" localSheetId="16">#REF!</definedName>
    <definedName name="V_PEK_PLESTER" localSheetId="7">#REF!</definedName>
    <definedName name="V_PEK_PLESTER">#REF!</definedName>
    <definedName name="VI_PEK_KAYU" localSheetId="18">#REF!</definedName>
    <definedName name="VI_PEK_KAYU" localSheetId="21">#REF!</definedName>
    <definedName name="VI_PEK_KAYU" localSheetId="1">#REF!</definedName>
    <definedName name="VI_PEK_KAYU" localSheetId="0">#REF!</definedName>
    <definedName name="VI_PEK_KAYU" localSheetId="5">#REF!</definedName>
    <definedName name="VI_PEK_KAYU" localSheetId="6">#REF!</definedName>
    <definedName name="VI_PEK_KAYU" localSheetId="16">#REF!</definedName>
    <definedName name="VI_PEK_KAYU" localSheetId="7">#REF!</definedName>
    <definedName name="VI_PEK_KAYU">#REF!</definedName>
    <definedName name="vibro" localSheetId="21">#REF!</definedName>
    <definedName name="vibro" localSheetId="1">#REF!</definedName>
    <definedName name="vibro" localSheetId="0">#REF!</definedName>
    <definedName name="vibro" localSheetId="5">#REF!</definedName>
    <definedName name="vibro" localSheetId="6">#REF!</definedName>
    <definedName name="vibro" localSheetId="16">#REF!</definedName>
    <definedName name="vibro" localSheetId="7">#REF!</definedName>
    <definedName name="vibro">#REF!</definedName>
    <definedName name="vibro7" localSheetId="18">#REF!</definedName>
    <definedName name="vibro7" localSheetId="21">#REF!</definedName>
    <definedName name="vibro7" localSheetId="1">#REF!</definedName>
    <definedName name="vibro7" localSheetId="0">#REF!</definedName>
    <definedName name="vibro7" localSheetId="5">#REF!</definedName>
    <definedName name="vibro7" localSheetId="6">#REF!</definedName>
    <definedName name="vibro7" localSheetId="16">#REF!</definedName>
    <definedName name="vibro7" localSheetId="7">#REF!</definedName>
    <definedName name="vibro7">#REF!</definedName>
    <definedName name="VIBROROLLER" localSheetId="21">[7]Peralatan!#REF!</definedName>
    <definedName name="VIBROROLLER" localSheetId="1">[7]Peralatan!#REF!</definedName>
    <definedName name="VIBROROLLER" localSheetId="0">[7]Peralatan!#REF!</definedName>
    <definedName name="VIBROROLLER" localSheetId="5">[7]Peralatan!#REF!</definedName>
    <definedName name="VIBROROLLER" localSheetId="6">[7]Peralatan!#REF!</definedName>
    <definedName name="VIBROROLLER" localSheetId="16">[7]Peralatan!#REF!</definedName>
    <definedName name="VIBROROLLER" localSheetId="7">[7]Peralatan!#REF!</definedName>
    <definedName name="VIBROROLLER">[7]Peralatan!#REF!</definedName>
    <definedName name="VII.1" localSheetId="18">#REF!</definedName>
    <definedName name="VII.1" localSheetId="21">#REF!</definedName>
    <definedName name="VII.1" localSheetId="1">#REF!</definedName>
    <definedName name="VII.1" localSheetId="0">#REF!</definedName>
    <definedName name="VII.1" localSheetId="5">#REF!</definedName>
    <definedName name="VII.1" localSheetId="6">#REF!</definedName>
    <definedName name="VII.1" localSheetId="16">#REF!</definedName>
    <definedName name="VII.1" localSheetId="7">#REF!</definedName>
    <definedName name="VII.1">#REF!</definedName>
    <definedName name="VII.10" localSheetId="18">#REF!</definedName>
    <definedName name="VII.10" localSheetId="10">#REF!</definedName>
    <definedName name="VII.10" localSheetId="21">#REF!</definedName>
    <definedName name="VII.10" localSheetId="1">#REF!</definedName>
    <definedName name="VII.10" localSheetId="0">#REF!</definedName>
    <definedName name="VII.10" localSheetId="5">#REF!</definedName>
    <definedName name="VII.10" localSheetId="6">#REF!</definedName>
    <definedName name="VII.10" localSheetId="16">#REF!</definedName>
    <definedName name="VII.10" localSheetId="7">#REF!</definedName>
    <definedName name="VII.10">#REF!</definedName>
    <definedName name="VII.11" localSheetId="18">#REF!</definedName>
    <definedName name="VII.11" localSheetId="10">#REF!</definedName>
    <definedName name="VII.11" localSheetId="21">#REF!</definedName>
    <definedName name="VII.11" localSheetId="1">#REF!</definedName>
    <definedName name="VII.11" localSheetId="0">#REF!</definedName>
    <definedName name="VII.11" localSheetId="5">#REF!</definedName>
    <definedName name="VII.11" localSheetId="6">#REF!</definedName>
    <definedName name="VII.11" localSheetId="16">#REF!</definedName>
    <definedName name="VII.11" localSheetId="7">#REF!</definedName>
    <definedName name="VII.11">#REF!</definedName>
    <definedName name="VII.12" localSheetId="18">#REF!</definedName>
    <definedName name="VII.12" localSheetId="10">#REF!</definedName>
    <definedName name="VII.12" localSheetId="21">#REF!</definedName>
    <definedName name="VII.12" localSheetId="1">#REF!</definedName>
    <definedName name="VII.12" localSheetId="0">#REF!</definedName>
    <definedName name="VII.12" localSheetId="5">#REF!</definedName>
    <definedName name="VII.12" localSheetId="6">#REF!</definedName>
    <definedName name="VII.12" localSheetId="16">#REF!</definedName>
    <definedName name="VII.12" localSheetId="7">#REF!</definedName>
    <definedName name="VII.12">#REF!</definedName>
    <definedName name="VII.17" localSheetId="18">#REF!</definedName>
    <definedName name="VII.17" localSheetId="21">#REF!</definedName>
    <definedName name="VII.17" localSheetId="1">#REF!</definedName>
    <definedName name="VII.17" localSheetId="0">#REF!</definedName>
    <definedName name="VII.17" localSheetId="5">#REF!</definedName>
    <definedName name="VII.17" localSheetId="6">#REF!</definedName>
    <definedName name="VII.17" localSheetId="16">#REF!</definedName>
    <definedName name="VII.17" localSheetId="7">#REF!</definedName>
    <definedName name="VII.17">#REF!</definedName>
    <definedName name="VII.18" localSheetId="18">#REF!</definedName>
    <definedName name="VII.18" localSheetId="10">#REF!</definedName>
    <definedName name="VII.18" localSheetId="21">#REF!</definedName>
    <definedName name="VII.18" localSheetId="1">#REF!</definedName>
    <definedName name="VII.18" localSheetId="0">#REF!</definedName>
    <definedName name="VII.18" localSheetId="5">#REF!</definedName>
    <definedName name="VII.18" localSheetId="6">#REF!</definedName>
    <definedName name="VII.18" localSheetId="16">#REF!</definedName>
    <definedName name="VII.18" localSheetId="7">#REF!</definedName>
    <definedName name="VII.18">#REF!</definedName>
    <definedName name="VII.2" localSheetId="18">#REF!</definedName>
    <definedName name="VII.2" localSheetId="10">#REF!</definedName>
    <definedName name="VII.2" localSheetId="21">#REF!</definedName>
    <definedName name="VII.2" localSheetId="1">#REF!</definedName>
    <definedName name="VII.2" localSheetId="0">#REF!</definedName>
    <definedName name="VII.2" localSheetId="5">#REF!</definedName>
    <definedName name="VII.2" localSheetId="6">#REF!</definedName>
    <definedName name="VII.2" localSheetId="16">#REF!</definedName>
    <definedName name="VII.2" localSheetId="7">#REF!</definedName>
    <definedName name="VII.2">#REF!</definedName>
    <definedName name="VII.20" localSheetId="18">#REF!</definedName>
    <definedName name="VII.20" localSheetId="21">#REF!</definedName>
    <definedName name="VII.20" localSheetId="1">#REF!</definedName>
    <definedName name="VII.20" localSheetId="0">#REF!</definedName>
    <definedName name="VII.20" localSheetId="5">#REF!</definedName>
    <definedName name="VII.20" localSheetId="6">#REF!</definedName>
    <definedName name="VII.20" localSheetId="16">#REF!</definedName>
    <definedName name="VII.20" localSheetId="7">#REF!</definedName>
    <definedName name="VII.20">#REF!</definedName>
    <definedName name="VII.21" localSheetId="18">#REF!</definedName>
    <definedName name="VII.21" localSheetId="21">#REF!</definedName>
    <definedName name="VII.21" localSheetId="1">#REF!</definedName>
    <definedName name="VII.21" localSheetId="0">#REF!</definedName>
    <definedName name="VII.21" localSheetId="5">#REF!</definedName>
    <definedName name="VII.21" localSheetId="6">#REF!</definedName>
    <definedName name="VII.21" localSheetId="16">#REF!</definedName>
    <definedName name="VII.21" localSheetId="7">#REF!</definedName>
    <definedName name="VII.21">#REF!</definedName>
    <definedName name="VII.3" localSheetId="18">#REF!</definedName>
    <definedName name="VII.3" localSheetId="10">#REF!</definedName>
    <definedName name="VII.3" localSheetId="21">#REF!</definedName>
    <definedName name="VII.3" localSheetId="1">#REF!</definedName>
    <definedName name="VII.3" localSheetId="0">#REF!</definedName>
    <definedName name="VII.3" localSheetId="5">#REF!</definedName>
    <definedName name="VII.3" localSheetId="6">#REF!</definedName>
    <definedName name="VII.3" localSheetId="16">#REF!</definedName>
    <definedName name="VII.3" localSheetId="7">#REF!</definedName>
    <definedName name="VII.3">#REF!</definedName>
    <definedName name="VII.4" localSheetId="18">#REF!</definedName>
    <definedName name="VII.4" localSheetId="10">#REF!</definedName>
    <definedName name="VII.4" localSheetId="21">#REF!</definedName>
    <definedName name="VII.4" localSheetId="1">#REF!</definedName>
    <definedName name="VII.4" localSheetId="0">#REF!</definedName>
    <definedName name="VII.4" localSheetId="5">#REF!</definedName>
    <definedName name="VII.4" localSheetId="6">#REF!</definedName>
    <definedName name="VII.4" localSheetId="16">#REF!</definedName>
    <definedName name="VII.4" localSheetId="7">#REF!</definedName>
    <definedName name="VII.4">#REF!</definedName>
    <definedName name="VII.5" localSheetId="18">#REF!</definedName>
    <definedName name="VII.5" localSheetId="21">#REF!</definedName>
    <definedName name="VII.5" localSheetId="1">#REF!</definedName>
    <definedName name="VII.5" localSheetId="0">#REF!</definedName>
    <definedName name="VII.5" localSheetId="5">#REF!</definedName>
    <definedName name="VII.5" localSheetId="6">#REF!</definedName>
    <definedName name="VII.5" localSheetId="16">#REF!</definedName>
    <definedName name="VII.5" localSheetId="7">#REF!</definedName>
    <definedName name="VII.5">#REF!</definedName>
    <definedName name="VII.6" localSheetId="18">#REF!</definedName>
    <definedName name="VII.6" localSheetId="10">#REF!</definedName>
    <definedName name="VII.6" localSheetId="21">#REF!</definedName>
    <definedName name="VII.6" localSheetId="1">#REF!</definedName>
    <definedName name="VII.6" localSheetId="0">#REF!</definedName>
    <definedName name="VII.6" localSheetId="5">#REF!</definedName>
    <definedName name="VII.6" localSheetId="6">#REF!</definedName>
    <definedName name="VII.6" localSheetId="16">#REF!</definedName>
    <definedName name="VII.6" localSheetId="7">#REF!</definedName>
    <definedName name="VII.6">#REF!</definedName>
    <definedName name="VII.7" localSheetId="18">#REF!</definedName>
    <definedName name="VII.7" localSheetId="10">#REF!</definedName>
    <definedName name="VII.7" localSheetId="21">#REF!</definedName>
    <definedName name="VII.7" localSheetId="1">#REF!</definedName>
    <definedName name="VII.7" localSheetId="0">#REF!</definedName>
    <definedName name="VII.7" localSheetId="5">#REF!</definedName>
    <definedName name="VII.7" localSheetId="6">#REF!</definedName>
    <definedName name="VII.7" localSheetId="16">#REF!</definedName>
    <definedName name="VII.7" localSheetId="7">#REF!</definedName>
    <definedName name="VII.7">#REF!</definedName>
    <definedName name="VII.8" localSheetId="18">#REF!</definedName>
    <definedName name="VII.8" localSheetId="10">#REF!</definedName>
    <definedName name="VII.8" localSheetId="21">#REF!</definedName>
    <definedName name="VII.8" localSheetId="1">#REF!</definedName>
    <definedName name="VII.8" localSheetId="0">#REF!</definedName>
    <definedName name="VII.8" localSheetId="5">#REF!</definedName>
    <definedName name="VII.8" localSheetId="6">#REF!</definedName>
    <definedName name="VII.8" localSheetId="16">#REF!</definedName>
    <definedName name="VII.8" localSheetId="7">#REF!</definedName>
    <definedName name="VII.8">#REF!</definedName>
    <definedName name="VII.9" localSheetId="18">#REF!</definedName>
    <definedName name="VII.9" localSheetId="10">#REF!</definedName>
    <definedName name="VII.9" localSheetId="21">#REF!</definedName>
    <definedName name="VII.9" localSheetId="1">#REF!</definedName>
    <definedName name="VII.9" localSheetId="0">#REF!</definedName>
    <definedName name="VII.9" localSheetId="5">#REF!</definedName>
    <definedName name="VII.9" localSheetId="6">#REF!</definedName>
    <definedName name="VII.9" localSheetId="16">#REF!</definedName>
    <definedName name="VII.9" localSheetId="7">#REF!</definedName>
    <definedName name="VII.9">#REF!</definedName>
    <definedName name="VII_PEK_BETON" localSheetId="18">#REF!</definedName>
    <definedName name="VII_PEK_BETON" localSheetId="21">#REF!</definedName>
    <definedName name="VII_PEK_BETON" localSheetId="1">#REF!</definedName>
    <definedName name="VII_PEK_BETON" localSheetId="0">#REF!</definedName>
    <definedName name="VII_PEK_BETON" localSheetId="5">#REF!</definedName>
    <definedName name="VII_PEK_BETON" localSheetId="6">#REF!</definedName>
    <definedName name="VII_PEK_BETON" localSheetId="16">#REF!</definedName>
    <definedName name="VII_PEK_BETON" localSheetId="7">#REF!</definedName>
    <definedName name="VII_PEK_BETON">#REF!</definedName>
    <definedName name="VST" localSheetId="18">'[18]5TH'!$DR$13:$DR$504</definedName>
    <definedName name="VST">#N/A</definedName>
    <definedName name="W" localSheetId="18">#REF!</definedName>
    <definedName name="W" localSheetId="11">#REF!</definedName>
    <definedName name="W" localSheetId="10">#REF!</definedName>
    <definedName name="W" localSheetId="21">#REF!</definedName>
    <definedName name="W" localSheetId="12">#REF!</definedName>
    <definedName name="W" localSheetId="1">#REF!</definedName>
    <definedName name="W" localSheetId="0">#REF!</definedName>
    <definedName name="W" localSheetId="14">#REF!</definedName>
    <definedName name="W" localSheetId="5">#REF!</definedName>
    <definedName name="W" localSheetId="6">#REF!</definedName>
    <definedName name="W" localSheetId="16">#REF!</definedName>
    <definedName name="W" localSheetId="7">#REF!</definedName>
    <definedName name="W">#REF!</definedName>
    <definedName name="w.01" localSheetId="18">#REF!</definedName>
    <definedName name="w.01" localSheetId="10">#REF!</definedName>
    <definedName name="w.01" localSheetId="21">#REF!</definedName>
    <definedName name="w.01" localSheetId="1">#REF!</definedName>
    <definedName name="w.01" localSheetId="0">#REF!</definedName>
    <definedName name="w.01" localSheetId="5">#REF!</definedName>
    <definedName name="w.01" localSheetId="6">#REF!</definedName>
    <definedName name="w.01" localSheetId="16">#REF!</definedName>
    <definedName name="w.01" localSheetId="7">#REF!</definedName>
    <definedName name="w.01">#REF!</definedName>
    <definedName name="w.02" localSheetId="18">#REF!</definedName>
    <definedName name="w.02" localSheetId="10">#REF!</definedName>
    <definedName name="w.02" localSheetId="21">#REF!</definedName>
    <definedName name="w.02" localSheetId="1">#REF!</definedName>
    <definedName name="w.02" localSheetId="0">#REF!</definedName>
    <definedName name="w.02" localSheetId="5">#REF!</definedName>
    <definedName name="w.02" localSheetId="6">#REF!</definedName>
    <definedName name="w.02" localSheetId="16">#REF!</definedName>
    <definedName name="w.02" localSheetId="7">#REF!</definedName>
    <definedName name="w.02">#REF!</definedName>
    <definedName name="w.03a" localSheetId="18">#REF!</definedName>
    <definedName name="w.03a" localSheetId="10">#REF!</definedName>
    <definedName name="w.03a" localSheetId="21">#REF!</definedName>
    <definedName name="w.03a" localSheetId="1">#REF!</definedName>
    <definedName name="w.03a" localSheetId="0">#REF!</definedName>
    <definedName name="w.03a" localSheetId="5">#REF!</definedName>
    <definedName name="w.03a" localSheetId="6">#REF!</definedName>
    <definedName name="w.03a" localSheetId="16">#REF!</definedName>
    <definedName name="w.03a" localSheetId="7">#REF!</definedName>
    <definedName name="w.03a">#REF!</definedName>
    <definedName name="w.03b" localSheetId="18">#REF!</definedName>
    <definedName name="w.03b" localSheetId="10">#REF!</definedName>
    <definedName name="w.03b" localSheetId="21">#REF!</definedName>
    <definedName name="w.03b" localSheetId="1">#REF!</definedName>
    <definedName name="w.03b" localSheetId="0">#REF!</definedName>
    <definedName name="w.03b" localSheetId="5">#REF!</definedName>
    <definedName name="w.03b" localSheetId="6">#REF!</definedName>
    <definedName name="w.03b" localSheetId="16">#REF!</definedName>
    <definedName name="w.03b" localSheetId="7">#REF!</definedName>
    <definedName name="w.03b">#REF!</definedName>
    <definedName name="w.04" localSheetId="18">#REF!</definedName>
    <definedName name="w.04" localSheetId="10">#REF!</definedName>
    <definedName name="w.04" localSheetId="21">#REF!</definedName>
    <definedName name="w.04" localSheetId="1">#REF!</definedName>
    <definedName name="w.04" localSheetId="0">#REF!</definedName>
    <definedName name="w.04" localSheetId="5">#REF!</definedName>
    <definedName name="w.04" localSheetId="6">#REF!</definedName>
    <definedName name="w.04" localSheetId="16">#REF!</definedName>
    <definedName name="w.04" localSheetId="7">#REF!</definedName>
    <definedName name="w.04">#REF!</definedName>
    <definedName name="w.05a" localSheetId="18">#REF!</definedName>
    <definedName name="w.05a" localSheetId="10">#REF!</definedName>
    <definedName name="w.05a" localSheetId="21">#REF!</definedName>
    <definedName name="w.05a" localSheetId="1">#REF!</definedName>
    <definedName name="w.05a" localSheetId="0">#REF!</definedName>
    <definedName name="w.05a" localSheetId="5">#REF!</definedName>
    <definedName name="w.05a" localSheetId="6">#REF!</definedName>
    <definedName name="w.05a" localSheetId="16">#REF!</definedName>
    <definedName name="w.05a" localSheetId="7">#REF!</definedName>
    <definedName name="w.05a">#REF!</definedName>
    <definedName name="w.05b" localSheetId="18">#REF!</definedName>
    <definedName name="w.05b" localSheetId="10">#REF!</definedName>
    <definedName name="w.05b" localSheetId="21">#REF!</definedName>
    <definedName name="w.05b" localSheetId="1">#REF!</definedName>
    <definedName name="w.05b" localSheetId="0">#REF!</definedName>
    <definedName name="w.05b" localSheetId="5">#REF!</definedName>
    <definedName name="w.05b" localSheetId="6">#REF!</definedName>
    <definedName name="w.05b" localSheetId="16">#REF!</definedName>
    <definedName name="w.05b" localSheetId="7">#REF!</definedName>
    <definedName name="w.05b">#REF!</definedName>
    <definedName name="W.1" localSheetId="18">#REF!</definedName>
    <definedName name="W.1" localSheetId="11">#REF!</definedName>
    <definedName name="W.1" localSheetId="10">#REF!</definedName>
    <definedName name="W.1" localSheetId="21">#REF!</definedName>
    <definedName name="W.1" localSheetId="12">#REF!</definedName>
    <definedName name="W.1" localSheetId="1">#REF!</definedName>
    <definedName name="W.1" localSheetId="0">#REF!</definedName>
    <definedName name="W.1" localSheetId="14">#REF!</definedName>
    <definedName name="W.1" localSheetId="5">#REF!</definedName>
    <definedName name="W.1" localSheetId="6">#REF!</definedName>
    <definedName name="W.1" localSheetId="16">#REF!</definedName>
    <definedName name="W.1" localSheetId="7">#REF!</definedName>
    <definedName name="W.1">#REF!</definedName>
    <definedName name="W.1A" localSheetId="18">#REF!</definedName>
    <definedName name="W.1A" localSheetId="11">#REF!</definedName>
    <definedName name="W.1A" localSheetId="10">#REF!</definedName>
    <definedName name="W.1A" localSheetId="21">#REF!</definedName>
    <definedName name="W.1A" localSheetId="12">#REF!</definedName>
    <definedName name="W.1A" localSheetId="1">#REF!</definedName>
    <definedName name="W.1A" localSheetId="0">#REF!</definedName>
    <definedName name="W.1A" localSheetId="14">#REF!</definedName>
    <definedName name="W.1A" localSheetId="5">#REF!</definedName>
    <definedName name="W.1A" localSheetId="6">#REF!</definedName>
    <definedName name="W.1A" localSheetId="16">#REF!</definedName>
    <definedName name="W.1A" localSheetId="7">#REF!</definedName>
    <definedName name="W.1A">#REF!</definedName>
    <definedName name="W.2" localSheetId="18">#REF!</definedName>
    <definedName name="W.2" localSheetId="11">#REF!</definedName>
    <definedName name="W.2" localSheetId="10">#REF!</definedName>
    <definedName name="W.2" localSheetId="21">#REF!</definedName>
    <definedName name="W.2" localSheetId="12">#REF!</definedName>
    <definedName name="W.2" localSheetId="1">#REF!</definedName>
    <definedName name="W.2" localSheetId="0">#REF!</definedName>
    <definedName name="W.2" localSheetId="14">#REF!</definedName>
    <definedName name="W.2" localSheetId="5">#REF!</definedName>
    <definedName name="W.2" localSheetId="6">#REF!</definedName>
    <definedName name="W.2" localSheetId="16">#REF!</definedName>
    <definedName name="W.2" localSheetId="7">#REF!</definedName>
    <definedName name="W.2">#REF!</definedName>
    <definedName name="W.3" localSheetId="18">#REF!</definedName>
    <definedName name="W.3" localSheetId="11">#REF!</definedName>
    <definedName name="W.3" localSheetId="10">#REF!</definedName>
    <definedName name="W.3" localSheetId="21">#REF!</definedName>
    <definedName name="W.3" localSheetId="12">#REF!</definedName>
    <definedName name="W.3" localSheetId="1">#REF!</definedName>
    <definedName name="W.3" localSheetId="0">#REF!</definedName>
    <definedName name="W.3" localSheetId="14">#REF!</definedName>
    <definedName name="W.3" localSheetId="5">#REF!</definedName>
    <definedName name="W.3" localSheetId="6">#REF!</definedName>
    <definedName name="W.3" localSheetId="16">#REF!</definedName>
    <definedName name="W.3" localSheetId="7">#REF!</definedName>
    <definedName name="W.3">#REF!</definedName>
    <definedName name="W.3A" localSheetId="18">#REF!</definedName>
    <definedName name="W.3A" localSheetId="11">#REF!</definedName>
    <definedName name="W.3A" localSheetId="10">#REF!</definedName>
    <definedName name="W.3A" localSheetId="21">#REF!</definedName>
    <definedName name="W.3A" localSheetId="12">#REF!</definedName>
    <definedName name="W.3A" localSheetId="1">#REF!</definedName>
    <definedName name="W.3A" localSheetId="0">#REF!</definedName>
    <definedName name="W.3A" localSheetId="14">#REF!</definedName>
    <definedName name="W.3A" localSheetId="5">#REF!</definedName>
    <definedName name="W.3A" localSheetId="6">#REF!</definedName>
    <definedName name="W.3A" localSheetId="16">#REF!</definedName>
    <definedName name="W.3A" localSheetId="7">#REF!</definedName>
    <definedName name="W.3A">#REF!</definedName>
    <definedName name="W.4" localSheetId="18">#REF!</definedName>
    <definedName name="W.4" localSheetId="11">#REF!</definedName>
    <definedName name="W.4" localSheetId="10">#REF!</definedName>
    <definedName name="W.4" localSheetId="21">#REF!</definedName>
    <definedName name="W.4" localSheetId="12">#REF!</definedName>
    <definedName name="W.4" localSheetId="1">#REF!</definedName>
    <definedName name="W.4" localSheetId="0">#REF!</definedName>
    <definedName name="W.4" localSheetId="14">#REF!</definedName>
    <definedName name="W.4" localSheetId="5">#REF!</definedName>
    <definedName name="W.4" localSheetId="6">#REF!</definedName>
    <definedName name="W.4" localSheetId="16">#REF!</definedName>
    <definedName name="W.4" localSheetId="7">#REF!</definedName>
    <definedName name="W.4">#REF!</definedName>
    <definedName name="W.5" localSheetId="18">#REF!</definedName>
    <definedName name="W.5" localSheetId="11">#REF!</definedName>
    <definedName name="W.5" localSheetId="10">#REF!</definedName>
    <definedName name="W.5" localSheetId="21">#REF!</definedName>
    <definedName name="W.5" localSheetId="12">#REF!</definedName>
    <definedName name="W.5" localSheetId="1">#REF!</definedName>
    <definedName name="W.5" localSheetId="0">#REF!</definedName>
    <definedName name="W.5" localSheetId="14">#REF!</definedName>
    <definedName name="W.5" localSheetId="5">#REF!</definedName>
    <definedName name="W.5" localSheetId="6">#REF!</definedName>
    <definedName name="W.5" localSheetId="16">#REF!</definedName>
    <definedName name="W.5" localSheetId="7">#REF!</definedName>
    <definedName name="W.5">#REF!</definedName>
    <definedName name="W.5A" localSheetId="18">#REF!</definedName>
    <definedName name="W.5A" localSheetId="11">#REF!</definedName>
    <definedName name="W.5A" localSheetId="10">#REF!</definedName>
    <definedName name="W.5A" localSheetId="21">#REF!</definedName>
    <definedName name="W.5A" localSheetId="12">#REF!</definedName>
    <definedName name="W.5A" localSheetId="1">#REF!</definedName>
    <definedName name="W.5A" localSheetId="0">#REF!</definedName>
    <definedName name="W.5A" localSheetId="14">#REF!</definedName>
    <definedName name="W.5A" localSheetId="5">#REF!</definedName>
    <definedName name="W.5A" localSheetId="6">#REF!</definedName>
    <definedName name="W.5A" localSheetId="16">#REF!</definedName>
    <definedName name="W.5A" localSheetId="7">#REF!</definedName>
    <definedName name="W.5A">#REF!</definedName>
    <definedName name="W.7" localSheetId="18">#REF!</definedName>
    <definedName name="W.7" localSheetId="11">#REF!</definedName>
    <definedName name="W.7" localSheetId="10">#REF!</definedName>
    <definedName name="W.7" localSheetId="21">#REF!</definedName>
    <definedName name="W.7" localSheetId="12">#REF!</definedName>
    <definedName name="W.7" localSheetId="1">#REF!</definedName>
    <definedName name="W.7" localSheetId="0">#REF!</definedName>
    <definedName name="W.7" localSheetId="14">#REF!</definedName>
    <definedName name="W.7" localSheetId="5">#REF!</definedName>
    <definedName name="W.7" localSheetId="6">#REF!</definedName>
    <definedName name="W.7" localSheetId="16">#REF!</definedName>
    <definedName name="W.7" localSheetId="7">#REF!</definedName>
    <definedName name="W.7">#REF!</definedName>
    <definedName name="W.7A" localSheetId="18">#REF!</definedName>
    <definedName name="W.7A" localSheetId="11">#REF!</definedName>
    <definedName name="W.7A" localSheetId="10">#REF!</definedName>
    <definedName name="W.7A" localSheetId="21">#REF!</definedName>
    <definedName name="W.7A" localSheetId="12">#REF!</definedName>
    <definedName name="W.7A" localSheetId="1">#REF!</definedName>
    <definedName name="W.7A" localSheetId="0">#REF!</definedName>
    <definedName name="W.7A" localSheetId="14">#REF!</definedName>
    <definedName name="W.7A" localSheetId="5">#REF!</definedName>
    <definedName name="W.7A" localSheetId="6">#REF!</definedName>
    <definedName name="W.7A" localSheetId="16">#REF!</definedName>
    <definedName name="W.7A" localSheetId="7">#REF!</definedName>
    <definedName name="W.7A">#REF!</definedName>
    <definedName name="w.stain" localSheetId="18">#REF!</definedName>
    <definedName name="w.stain" localSheetId="11">#REF!</definedName>
    <definedName name="w.stain" localSheetId="10">#REF!</definedName>
    <definedName name="w.stain" localSheetId="21">#REF!</definedName>
    <definedName name="w.stain" localSheetId="12">#REF!</definedName>
    <definedName name="w.stain" localSheetId="1">#REF!</definedName>
    <definedName name="w.stain" localSheetId="0">#REF!</definedName>
    <definedName name="w.stain" localSheetId="14">#REF!</definedName>
    <definedName name="w.stain" localSheetId="5">#REF!</definedName>
    <definedName name="w.stain" localSheetId="6">#REF!</definedName>
    <definedName name="w.stain" localSheetId="16">#REF!</definedName>
    <definedName name="w.stain" localSheetId="7">#REF!</definedName>
    <definedName name="w.stain">#REF!</definedName>
    <definedName name="wanita">'[23]Upah&amp;Bahan'!$C$56</definedName>
    <definedName name="washtafel" localSheetId="18">#REF!</definedName>
    <definedName name="washtafel" localSheetId="11">#REF!</definedName>
    <definedName name="washtafel" localSheetId="10">#REF!</definedName>
    <definedName name="washtafel" localSheetId="21">#REF!</definedName>
    <definedName name="washtafel" localSheetId="12">#REF!</definedName>
    <definedName name="washtafel" localSheetId="1">#REF!</definedName>
    <definedName name="washtafel" localSheetId="0">#REF!</definedName>
    <definedName name="washtafel" localSheetId="14">#REF!</definedName>
    <definedName name="washtafel" localSheetId="5">#REF!</definedName>
    <definedName name="washtafel" localSheetId="6">#REF!</definedName>
    <definedName name="washtafel" localSheetId="16">#REF!</definedName>
    <definedName name="washtafel" localSheetId="7">#REF!</definedName>
    <definedName name="washtafel">#REF!</definedName>
    <definedName name="water.prof" localSheetId="18">#REF!</definedName>
    <definedName name="water.prof" localSheetId="11">#REF!</definedName>
    <definedName name="water.prof" localSheetId="10">#REF!</definedName>
    <definedName name="water.prof" localSheetId="21">#REF!</definedName>
    <definedName name="water.prof" localSheetId="12">#REF!</definedName>
    <definedName name="water.prof" localSheetId="1">#REF!</definedName>
    <definedName name="water.prof" localSheetId="0">#REF!</definedName>
    <definedName name="water.prof" localSheetId="14">#REF!</definedName>
    <definedName name="water.prof" localSheetId="5">#REF!</definedName>
    <definedName name="water.prof" localSheetId="6">#REF!</definedName>
    <definedName name="water.prof" localSheetId="16">#REF!</definedName>
    <definedName name="water.prof" localSheetId="7">#REF!</definedName>
    <definedName name="water.prof">#REF!</definedName>
    <definedName name="WATERPUMP" localSheetId="21">[7]Peralatan!#REF!</definedName>
    <definedName name="WATERPUMP" localSheetId="1">[7]Peralatan!#REF!</definedName>
    <definedName name="WATERPUMP" localSheetId="0">[7]Peralatan!#REF!</definedName>
    <definedName name="WATERPUMP" localSheetId="5">[7]Peralatan!#REF!</definedName>
    <definedName name="WATERPUMP" localSheetId="6">[7]Peralatan!#REF!</definedName>
    <definedName name="WATERPUMP" localSheetId="16">[7]Peralatan!#REF!</definedName>
    <definedName name="WATERPUMP" localSheetId="7">[7]Peralatan!#REF!</definedName>
    <definedName name="WATERPUMP">[7]Peralatan!#REF!</definedName>
    <definedName name="Waters" localSheetId="21">'[10]Daf HrG'!#REF!</definedName>
    <definedName name="Waters" localSheetId="1">'[10]Daf HrG'!#REF!</definedName>
    <definedName name="Waters" localSheetId="0">'[10]Daf HrG'!#REF!</definedName>
    <definedName name="Waters" localSheetId="5">'[10]Daf HrG'!#REF!</definedName>
    <definedName name="Waters" localSheetId="6">'[10]Daf HrG'!#REF!</definedName>
    <definedName name="Waters" localSheetId="16">'[10]Daf HrG'!#REF!</definedName>
    <definedName name="Waters" localSheetId="7">'[10]Daf HrG'!#REF!</definedName>
    <definedName name="Waters">'[10]Daf HrG'!#REF!</definedName>
    <definedName name="WATERTANKER" localSheetId="21">[7]Peralatan!#REF!</definedName>
    <definedName name="WATERTANKER" localSheetId="1">[7]Peralatan!#REF!</definedName>
    <definedName name="WATERTANKER" localSheetId="0">[7]Peralatan!#REF!</definedName>
    <definedName name="WATERTANKER" localSheetId="5">[7]Peralatan!#REF!</definedName>
    <definedName name="WATERTANKER" localSheetId="6">[7]Peralatan!#REF!</definedName>
    <definedName name="WATERTANKER" localSheetId="16">[7]Peralatan!#REF!</definedName>
    <definedName name="WATERTANKER" localSheetId="7">[7]Peralatan!#REF!</definedName>
    <definedName name="WATERTANKER">[7]Peralatan!#REF!</definedName>
    <definedName name="wffqwfqwr" localSheetId="18">[9]BPS!#REF!</definedName>
    <definedName name="wffqwfqwr" localSheetId="10">[9]BPS!#REF!</definedName>
    <definedName name="wffqwfqwr" localSheetId="21">[9]BPS!#REF!</definedName>
    <definedName name="wffqwfqwr" localSheetId="1">[9]BPS!#REF!</definedName>
    <definedName name="wffqwfqwr" localSheetId="0">[9]BPS!#REF!</definedName>
    <definedName name="wffqwfqwr" localSheetId="5">[9]BPS!#REF!</definedName>
    <definedName name="wffqwfqwr" localSheetId="6">[9]BPS!#REF!</definedName>
    <definedName name="wffqwfqwr" localSheetId="16">[9]BPS!#REF!</definedName>
    <definedName name="wffqwfqwr" localSheetId="7">[9]BPS!#REF!</definedName>
    <definedName name="wffqwfqwr">[9]BPS!#REF!</definedName>
    <definedName name="Wheel">'[14]Analisa AB'!$H$111</definedName>
    <definedName name="Wheel1">'[14]Analisa AB'!$H$112</definedName>
    <definedName name="Wheel2">'[14]Analisa AB'!$H$113</definedName>
    <definedName name="WHEELLOADER">[7]Peralatan!$A$123:$J$181</definedName>
    <definedName name="Whell">'[14]Analisa AB'!$H$111</definedName>
    <definedName name="X" localSheetId="18">#REF!</definedName>
    <definedName name="X" localSheetId="11">#REF!</definedName>
    <definedName name="X" localSheetId="10">#REF!</definedName>
    <definedName name="X" localSheetId="21">#REF!</definedName>
    <definedName name="X" localSheetId="12">#REF!</definedName>
    <definedName name="X" localSheetId="1">#REF!</definedName>
    <definedName name="X" localSheetId="0">#REF!</definedName>
    <definedName name="X" localSheetId="14">#REF!</definedName>
    <definedName name="X" localSheetId="5">#REF!</definedName>
    <definedName name="X" localSheetId="6">#REF!</definedName>
    <definedName name="X" localSheetId="16">#REF!</definedName>
    <definedName name="X" localSheetId="7">#REF!</definedName>
    <definedName name="X">#REF!</definedName>
    <definedName name="X010_" localSheetId="21">#REF!</definedName>
    <definedName name="X010_" localSheetId="1">#REF!</definedName>
    <definedName name="X010_" localSheetId="0">#REF!</definedName>
    <definedName name="X010_" localSheetId="5">#REF!</definedName>
    <definedName name="X010_" localSheetId="6">#REF!</definedName>
    <definedName name="X010_" localSheetId="16">#REF!</definedName>
    <definedName name="X010_" localSheetId="7">#REF!</definedName>
    <definedName name="X010_">#REF!</definedName>
    <definedName name="XCDDD">[5]alat!$BD$27</definedName>
    <definedName name="XDDS" localSheetId="21">#REF!</definedName>
    <definedName name="XDDS" localSheetId="1">#REF!</definedName>
    <definedName name="XDDS" localSheetId="0">#REF!</definedName>
    <definedName name="XDDS" localSheetId="5">#REF!</definedName>
    <definedName name="XDDS" localSheetId="6">#REF!</definedName>
    <definedName name="XDDS" localSheetId="16">#REF!</definedName>
    <definedName name="XDDS" localSheetId="7">#REF!</definedName>
    <definedName name="XDDS">#REF!</definedName>
    <definedName name="XDLD" localSheetId="21">#REF!</definedName>
    <definedName name="XDLD" localSheetId="1">#REF!</definedName>
    <definedName name="XDLD" localSheetId="0">#REF!</definedName>
    <definedName name="XDLD" localSheetId="5">#REF!</definedName>
    <definedName name="XDLD" localSheetId="6">#REF!</definedName>
    <definedName name="XDLD" localSheetId="16">#REF!</definedName>
    <definedName name="XDLD" localSheetId="7">#REF!</definedName>
    <definedName name="XDLD">#REF!</definedName>
    <definedName name="XDLS" localSheetId="21">#REF!</definedName>
    <definedName name="XDLS" localSheetId="1">#REF!</definedName>
    <definedName name="XDLS" localSheetId="0">#REF!</definedName>
    <definedName name="XDLS" localSheetId="5">#REF!</definedName>
    <definedName name="XDLS" localSheetId="6">#REF!</definedName>
    <definedName name="XDLS" localSheetId="16">#REF!</definedName>
    <definedName name="XDLS" localSheetId="7">#REF!</definedName>
    <definedName name="XDLS">#REF!</definedName>
    <definedName name="XDLT" localSheetId="21">#REF!</definedName>
    <definedName name="XDLT" localSheetId="1">#REF!</definedName>
    <definedName name="XDLT" localSheetId="0">#REF!</definedName>
    <definedName name="XDLT" localSheetId="5">#REF!</definedName>
    <definedName name="XDLT" localSheetId="6">#REF!</definedName>
    <definedName name="XDLT" localSheetId="16">#REF!</definedName>
    <definedName name="XDLT" localSheetId="7">#REF!</definedName>
    <definedName name="XDLT">#REF!</definedName>
    <definedName name="XDSD" localSheetId="21">#REF!</definedName>
    <definedName name="XDSD" localSheetId="1">#REF!</definedName>
    <definedName name="XDSD" localSheetId="0">#REF!</definedName>
    <definedName name="XDSD" localSheetId="5">#REF!</definedName>
    <definedName name="XDSD" localSheetId="6">#REF!</definedName>
    <definedName name="XDSD" localSheetId="16">#REF!</definedName>
    <definedName name="XDSD" localSheetId="7">#REF!</definedName>
    <definedName name="XDSD">#REF!</definedName>
    <definedName name="XDSS" localSheetId="21">#REF!</definedName>
    <definedName name="XDSS" localSheetId="1">#REF!</definedName>
    <definedName name="XDSS" localSheetId="0">#REF!</definedName>
    <definedName name="XDSS" localSheetId="5">#REF!</definedName>
    <definedName name="XDSS" localSheetId="6">#REF!</definedName>
    <definedName name="XDSS" localSheetId="16">#REF!</definedName>
    <definedName name="XDSS" localSheetId="7">#REF!</definedName>
    <definedName name="XDSS">#REF!</definedName>
    <definedName name="XNDD" localSheetId="21">#REF!</definedName>
    <definedName name="XNDD" localSheetId="1">#REF!</definedName>
    <definedName name="XNDD" localSheetId="0">#REF!</definedName>
    <definedName name="XNDD" localSheetId="5">#REF!</definedName>
    <definedName name="XNDD" localSheetId="6">#REF!</definedName>
    <definedName name="XNDD" localSheetId="16">#REF!</definedName>
    <definedName name="XNDD" localSheetId="7">#REF!</definedName>
    <definedName name="XNDD">#REF!</definedName>
    <definedName name="XNDE" localSheetId="21">#REF!</definedName>
    <definedName name="XNDE" localSheetId="1">#REF!</definedName>
    <definedName name="XNDE" localSheetId="0">#REF!</definedName>
    <definedName name="XNDE" localSheetId="5">#REF!</definedName>
    <definedName name="XNDE" localSheetId="6">#REF!</definedName>
    <definedName name="XNDE" localSheetId="16">#REF!</definedName>
    <definedName name="XNDE" localSheetId="7">#REF!</definedName>
    <definedName name="XNDE">#REF!</definedName>
    <definedName name="XNDN" localSheetId="21">#REF!</definedName>
    <definedName name="XNDN" localSheetId="1">#REF!</definedName>
    <definedName name="XNDN" localSheetId="0">#REF!</definedName>
    <definedName name="XNDN" localSheetId="5">#REF!</definedName>
    <definedName name="XNDN" localSheetId="6">#REF!</definedName>
    <definedName name="XNDN" localSheetId="16">#REF!</definedName>
    <definedName name="XNDN" localSheetId="7">#REF!</definedName>
    <definedName name="XNDN">#REF!</definedName>
    <definedName name="XNDS" localSheetId="21">#REF!</definedName>
    <definedName name="XNDS" localSheetId="1">#REF!</definedName>
    <definedName name="XNDS" localSheetId="0">#REF!</definedName>
    <definedName name="XNDS" localSheetId="5">#REF!</definedName>
    <definedName name="XNDS" localSheetId="6">#REF!</definedName>
    <definedName name="XNDS" localSheetId="16">#REF!</definedName>
    <definedName name="XNDS" localSheetId="7">#REF!</definedName>
    <definedName name="XNDS">#REF!</definedName>
    <definedName name="XNDSE" localSheetId="21">#REF!</definedName>
    <definedName name="XNDSE" localSheetId="1">#REF!</definedName>
    <definedName name="XNDSE" localSheetId="0">#REF!</definedName>
    <definedName name="XNDSE" localSheetId="5">#REF!</definedName>
    <definedName name="XNDSE" localSheetId="6">#REF!</definedName>
    <definedName name="XNDSE" localSheetId="16">#REF!</definedName>
    <definedName name="XNDSE" localSheetId="7">#REF!</definedName>
    <definedName name="XNDSE">#REF!</definedName>
    <definedName name="XNDT" localSheetId="21">#REF!</definedName>
    <definedName name="XNDT" localSheetId="1">#REF!</definedName>
    <definedName name="XNDT" localSheetId="0">#REF!</definedName>
    <definedName name="XNDT" localSheetId="5">#REF!</definedName>
    <definedName name="XNDT" localSheetId="6">#REF!</definedName>
    <definedName name="XNDT" localSheetId="16">#REF!</definedName>
    <definedName name="XNDT" localSheetId="7">#REF!</definedName>
    <definedName name="XNDT">#REF!</definedName>
    <definedName name="XNEN" localSheetId="21">#REF!</definedName>
    <definedName name="XNEN" localSheetId="1">#REF!</definedName>
    <definedName name="XNEN" localSheetId="0">#REF!</definedName>
    <definedName name="XNEN" localSheetId="5">#REF!</definedName>
    <definedName name="XNEN" localSheetId="6">#REF!</definedName>
    <definedName name="XNEN" localSheetId="16">#REF!</definedName>
    <definedName name="XNEN" localSheetId="7">#REF!</definedName>
    <definedName name="XNEN">#REF!</definedName>
    <definedName name="XNLD" localSheetId="21">#REF!</definedName>
    <definedName name="XNLD" localSheetId="1">#REF!</definedName>
    <definedName name="XNLD" localSheetId="0">#REF!</definedName>
    <definedName name="XNLD" localSheetId="5">#REF!</definedName>
    <definedName name="XNLD" localSheetId="6">#REF!</definedName>
    <definedName name="XNLD" localSheetId="16">#REF!</definedName>
    <definedName name="XNLD" localSheetId="7">#REF!</definedName>
    <definedName name="XNLD">#REF!</definedName>
    <definedName name="XNLN" localSheetId="21">#REF!</definedName>
    <definedName name="XNLN" localSheetId="1">#REF!</definedName>
    <definedName name="XNLN" localSheetId="0">#REF!</definedName>
    <definedName name="XNLN" localSheetId="5">#REF!</definedName>
    <definedName name="XNLN" localSheetId="6">#REF!</definedName>
    <definedName name="XNLN" localSheetId="16">#REF!</definedName>
    <definedName name="XNLN" localSheetId="7">#REF!</definedName>
    <definedName name="XNLN">#REF!</definedName>
    <definedName name="XNLT" localSheetId="21">#REF!</definedName>
    <definedName name="XNLT" localSheetId="1">#REF!</definedName>
    <definedName name="XNLT" localSheetId="0">#REF!</definedName>
    <definedName name="XNLT" localSheetId="5">#REF!</definedName>
    <definedName name="XNLT" localSheetId="6">#REF!</definedName>
    <definedName name="XNLT" localSheetId="16">#REF!</definedName>
    <definedName name="XNLT" localSheetId="7">#REF!</definedName>
    <definedName name="XNLT">#REF!</definedName>
    <definedName name="XNNS" localSheetId="21">#REF!</definedName>
    <definedName name="XNNS" localSheetId="1">#REF!</definedName>
    <definedName name="XNNS" localSheetId="0">#REF!</definedName>
    <definedName name="XNNS" localSheetId="5">#REF!</definedName>
    <definedName name="XNNS" localSheetId="6">#REF!</definedName>
    <definedName name="XNNS" localSheetId="16">#REF!</definedName>
    <definedName name="XNNS" localSheetId="7">#REF!</definedName>
    <definedName name="XNNS">#REF!</definedName>
    <definedName name="XNSN" localSheetId="21">#REF!</definedName>
    <definedName name="XNSN" localSheetId="1">#REF!</definedName>
    <definedName name="XNSN" localSheetId="0">#REF!</definedName>
    <definedName name="XNSN" localSheetId="5">#REF!</definedName>
    <definedName name="XNSN" localSheetId="6">#REF!</definedName>
    <definedName name="XNSN" localSheetId="16">#REF!</definedName>
    <definedName name="XNSN" localSheetId="7">#REF!</definedName>
    <definedName name="XNSN">#REF!</definedName>
    <definedName name="XNTS" localSheetId="21">#REF!</definedName>
    <definedName name="XNTS" localSheetId="1">#REF!</definedName>
    <definedName name="XNTS" localSheetId="0">#REF!</definedName>
    <definedName name="XNTS" localSheetId="5">#REF!</definedName>
    <definedName name="XNTS" localSheetId="6">#REF!</definedName>
    <definedName name="XNTS" localSheetId="16">#REF!</definedName>
    <definedName name="XNTS" localSheetId="7">#REF!</definedName>
    <definedName name="XNTS">#REF!</definedName>
    <definedName name="XSDD" localSheetId="21">#REF!</definedName>
    <definedName name="XSDD" localSheetId="1">#REF!</definedName>
    <definedName name="XSDD" localSheetId="0">#REF!</definedName>
    <definedName name="XSDD" localSheetId="5">#REF!</definedName>
    <definedName name="XSDD" localSheetId="6">#REF!</definedName>
    <definedName name="XSDD" localSheetId="16">#REF!</definedName>
    <definedName name="XSDD" localSheetId="7">#REF!</definedName>
    <definedName name="XSDD">#REF!</definedName>
    <definedName name="XSLD" localSheetId="21">#REF!</definedName>
    <definedName name="XSLD" localSheetId="1">#REF!</definedName>
    <definedName name="XSLD" localSheetId="0">#REF!</definedName>
    <definedName name="XSLD" localSheetId="5">#REF!</definedName>
    <definedName name="XSLD" localSheetId="6">#REF!</definedName>
    <definedName name="XSLD" localSheetId="16">#REF!</definedName>
    <definedName name="XSLD" localSheetId="7">#REF!</definedName>
    <definedName name="XSLD">#REF!</definedName>
    <definedName name="XSLEM" localSheetId="21">#REF!</definedName>
    <definedName name="XSLEM" localSheetId="1">#REF!</definedName>
    <definedName name="XSLEM" localSheetId="0">#REF!</definedName>
    <definedName name="XSLEM" localSheetId="5">#REF!</definedName>
    <definedName name="XSLEM" localSheetId="6">#REF!</definedName>
    <definedName name="XSLEM" localSheetId="16">#REF!</definedName>
    <definedName name="XSLEM" localSheetId="7">#REF!</definedName>
    <definedName name="XSLEM">#REF!</definedName>
    <definedName name="XSLEN" localSheetId="21">#REF!</definedName>
    <definedName name="XSLEN" localSheetId="1">#REF!</definedName>
    <definedName name="XSLEN" localSheetId="0">#REF!</definedName>
    <definedName name="XSLEN" localSheetId="5">#REF!</definedName>
    <definedName name="XSLEN" localSheetId="6">#REF!</definedName>
    <definedName name="XSLEN" localSheetId="16">#REF!</definedName>
    <definedName name="XSLEN" localSheetId="7">#REF!</definedName>
    <definedName name="XSLEN">#REF!</definedName>
    <definedName name="XSLL" localSheetId="21">#REF!</definedName>
    <definedName name="XSLL" localSheetId="1">#REF!</definedName>
    <definedName name="XSLL" localSheetId="0">#REF!</definedName>
    <definedName name="XSLL" localSheetId="5">#REF!</definedName>
    <definedName name="XSLL" localSheetId="6">#REF!</definedName>
    <definedName name="XSLL" localSheetId="16">#REF!</definedName>
    <definedName name="XSLL" localSheetId="7">#REF!</definedName>
    <definedName name="XSLL">#REF!</definedName>
    <definedName name="XSLTI" localSheetId="21">#REF!</definedName>
    <definedName name="XSLTI" localSheetId="1">#REF!</definedName>
    <definedName name="XSLTI" localSheetId="0">#REF!</definedName>
    <definedName name="XSLTI" localSheetId="5">#REF!</definedName>
    <definedName name="XSLTI" localSheetId="6">#REF!</definedName>
    <definedName name="XSLTI" localSheetId="16">#REF!</definedName>
    <definedName name="XSLTI" localSheetId="7">#REF!</definedName>
    <definedName name="XSLTI">#REF!</definedName>
    <definedName name="XSLTU" localSheetId="21">#REF!</definedName>
    <definedName name="XSLTU" localSheetId="1">#REF!</definedName>
    <definedName name="XSLTU" localSheetId="0">#REF!</definedName>
    <definedName name="XSLTU" localSheetId="5">#REF!</definedName>
    <definedName name="XSLTU" localSheetId="6">#REF!</definedName>
    <definedName name="XSLTU" localSheetId="16">#REF!</definedName>
    <definedName name="XSLTU" localSheetId="7">#REF!</definedName>
    <definedName name="XSLTU">#REF!</definedName>
    <definedName name="XSSD" localSheetId="21">#REF!</definedName>
    <definedName name="XSSD" localSheetId="1">#REF!</definedName>
    <definedName name="XSSD" localSheetId="0">#REF!</definedName>
    <definedName name="XSSD" localSheetId="5">#REF!</definedName>
    <definedName name="XSSD" localSheetId="6">#REF!</definedName>
    <definedName name="XSSD" localSheetId="16">#REF!</definedName>
    <definedName name="XSSD" localSheetId="7">#REF!</definedName>
    <definedName name="XSSD">#REF!</definedName>
    <definedName name="XSSS" localSheetId="21">#REF!</definedName>
    <definedName name="XSSS" localSheetId="1">#REF!</definedName>
    <definedName name="XSSS" localSheetId="0">#REF!</definedName>
    <definedName name="XSSS" localSheetId="5">#REF!</definedName>
    <definedName name="XSSS" localSheetId="6">#REF!</definedName>
    <definedName name="XSSS" localSheetId="16">#REF!</definedName>
    <definedName name="XSSS" localSheetId="7">#REF!</definedName>
    <definedName name="XSSS">#REF!</definedName>
    <definedName name="XTES" localSheetId="21">#REF!</definedName>
    <definedName name="XTES" localSheetId="1">#REF!</definedName>
    <definedName name="XTES" localSheetId="0">#REF!</definedName>
    <definedName name="XTES" localSheetId="5">#REF!</definedName>
    <definedName name="XTES" localSheetId="6">#REF!</definedName>
    <definedName name="XTES" localSheetId="16">#REF!</definedName>
    <definedName name="XTES" localSheetId="7">#REF!</definedName>
    <definedName name="XTES">#REF!</definedName>
    <definedName name="XTNS" localSheetId="21">#REF!</definedName>
    <definedName name="XTNS" localSheetId="1">#REF!</definedName>
    <definedName name="XTNS" localSheetId="0">#REF!</definedName>
    <definedName name="XTNS" localSheetId="5">#REF!</definedName>
    <definedName name="XTNS" localSheetId="6">#REF!</definedName>
    <definedName name="XTNS" localSheetId="16">#REF!</definedName>
    <definedName name="XTNS" localSheetId="7">#REF!</definedName>
    <definedName name="XTNS">#REF!</definedName>
    <definedName name="xx" localSheetId="18">#REF!</definedName>
    <definedName name="xx" localSheetId="10">#REF!</definedName>
    <definedName name="xx" localSheetId="21">#REF!</definedName>
    <definedName name="xx" localSheetId="1">#REF!</definedName>
    <definedName name="xx" localSheetId="0">#REF!</definedName>
    <definedName name="xx" localSheetId="5">#REF!</definedName>
    <definedName name="xx" localSheetId="6">#REF!</definedName>
    <definedName name="xx" localSheetId="16">#REF!</definedName>
    <definedName name="xx" localSheetId="7">#REF!</definedName>
    <definedName name="xx">#REF!</definedName>
    <definedName name="yee">'[13]Upah&amp;Bahan'!$C$18</definedName>
    <definedName name="z" localSheetId="18">#REF!</definedName>
    <definedName name="z" localSheetId="11">#REF!</definedName>
    <definedName name="z" localSheetId="10">#REF!</definedName>
    <definedName name="z" localSheetId="21">#REF!</definedName>
    <definedName name="z" localSheetId="12">#REF!</definedName>
    <definedName name="z" localSheetId="1">#REF!</definedName>
    <definedName name="z" localSheetId="0">#REF!</definedName>
    <definedName name="z" localSheetId="14">#REF!</definedName>
    <definedName name="z" localSheetId="5">#REF!</definedName>
    <definedName name="z" localSheetId="6">#REF!</definedName>
    <definedName name="z" localSheetId="16">#REF!</definedName>
    <definedName name="z" localSheetId="7">#REF!</definedName>
    <definedName name="z">#REF!</definedName>
  </definedNames>
  <calcPr calcId="162913"/>
</workbook>
</file>

<file path=xl/calcChain.xml><?xml version="1.0" encoding="utf-8"?>
<calcChain xmlns="http://schemas.openxmlformats.org/spreadsheetml/2006/main">
  <c r="J37" i="129" l="1"/>
  <c r="C77" i="68" l="1"/>
  <c r="B77" i="68"/>
  <c r="H34" i="129" s="1"/>
  <c r="C48" i="68" l="1"/>
  <c r="B48" i="68"/>
  <c r="C47" i="68"/>
  <c r="B47" i="68"/>
  <c r="G474" i="62"/>
  <c r="H474" i="62" s="1"/>
  <c r="H476" i="62" s="1"/>
  <c r="H475" i="62"/>
  <c r="G540" i="62"/>
  <c r="H540" i="62" s="1"/>
  <c r="C54" i="68"/>
  <c r="B54" i="68"/>
  <c r="H24" i="129" s="1"/>
  <c r="J540" i="62"/>
  <c r="J539" i="62"/>
  <c r="G541" i="62"/>
  <c r="H541" i="62" s="1"/>
  <c r="G369" i="103"/>
  <c r="H369" i="103" s="1"/>
  <c r="G368" i="103"/>
  <c r="H368" i="103" s="1"/>
  <c r="G370" i="103" s="1"/>
  <c r="H370" i="103" s="1"/>
  <c r="G376" i="103"/>
  <c r="C58" i="68"/>
  <c r="B58" i="68"/>
  <c r="H35" i="129" s="1"/>
  <c r="G575" i="62"/>
  <c r="C57" i="68"/>
  <c r="B57" i="68"/>
  <c r="H33" i="129" s="1"/>
  <c r="C56" i="68"/>
  <c r="B56" i="68"/>
  <c r="G559" i="62"/>
  <c r="H559" i="62" s="1"/>
  <c r="C73" i="68"/>
  <c r="B73" i="68"/>
  <c r="H27" i="129" s="1"/>
  <c r="F63" i="103"/>
  <c r="H53" i="103"/>
  <c r="H54" i="103" s="1"/>
  <c r="C74" i="68"/>
  <c r="B74" i="68"/>
  <c r="H28" i="129" s="1"/>
  <c r="G75" i="103"/>
  <c r="G57" i="103" s="1"/>
  <c r="H57" i="103" s="1"/>
  <c r="G74" i="103"/>
  <c r="G56" i="103" s="1"/>
  <c r="H56" i="103" s="1"/>
  <c r="H58" i="103" s="1"/>
  <c r="G73" i="103"/>
  <c r="F81" i="103"/>
  <c r="C51" i="68"/>
  <c r="B51" i="68"/>
  <c r="G491" i="62"/>
  <c r="H491" i="62" s="1"/>
  <c r="H492" i="62"/>
  <c r="F111" i="103"/>
  <c r="C76" i="68"/>
  <c r="C75" i="68"/>
  <c r="C72" i="68"/>
  <c r="C71" i="68"/>
  <c r="B76" i="68"/>
  <c r="H13" i="129" s="1"/>
  <c r="B75" i="68"/>
  <c r="H31" i="129" s="1"/>
  <c r="B72" i="68"/>
  <c r="H32" i="129" s="1"/>
  <c r="B71" i="68"/>
  <c r="H36" i="129" s="1"/>
  <c r="G111" i="103"/>
  <c r="J541" i="62" l="1"/>
  <c r="H542" i="62"/>
  <c r="H371" i="103"/>
  <c r="H493" i="62"/>
  <c r="H575" i="62"/>
  <c r="H576" i="62" s="1"/>
  <c r="G560" i="62"/>
  <c r="H560" i="62" s="1"/>
  <c r="H561" i="62" s="1"/>
  <c r="H75" i="103"/>
  <c r="H62" i="103"/>
  <c r="H63" i="103" s="1"/>
  <c r="H64" i="103" s="1"/>
  <c r="H65" i="103" s="1"/>
  <c r="D73" i="68" s="1"/>
  <c r="H70" i="103"/>
  <c r="H71" i="103" s="1"/>
  <c r="H74" i="103"/>
  <c r="H73" i="103"/>
  <c r="H76" i="103" l="1"/>
  <c r="H80" i="103" s="1"/>
  <c r="H81" i="103" s="1"/>
  <c r="H82" i="103" l="1"/>
  <c r="H83" i="103" s="1"/>
  <c r="D74" i="68" s="1"/>
  <c r="G95" i="103" l="1"/>
  <c r="G94" i="103"/>
  <c r="G118" i="103"/>
  <c r="H112" i="103"/>
  <c r="H111" i="103"/>
  <c r="H113" i="103" l="1"/>
  <c r="H109" i="103"/>
  <c r="H117" i="103" l="1"/>
  <c r="H118" i="103" s="1"/>
  <c r="H119" i="103" s="1"/>
  <c r="H120" i="103" s="1"/>
  <c r="C42" i="68"/>
  <c r="B42" i="68"/>
  <c r="H25" i="129" s="1"/>
  <c r="G439" i="62"/>
  <c r="H439" i="62" s="1"/>
  <c r="G438" i="62"/>
  <c r="H438" i="62" s="1"/>
  <c r="G440" i="62"/>
  <c r="H440" i="62" s="1"/>
  <c r="C53" i="68"/>
  <c r="B53" i="68"/>
  <c r="H23" i="129" s="1"/>
  <c r="C52" i="68"/>
  <c r="B52" i="68"/>
  <c r="H22" i="129" s="1"/>
  <c r="C50" i="68"/>
  <c r="B50" i="68"/>
  <c r="D76" i="68" l="1"/>
  <c r="H441" i="62"/>
  <c r="H508" i="62"/>
  <c r="G507" i="62"/>
  <c r="H507" i="62" s="1"/>
  <c r="H509" i="62" s="1"/>
  <c r="G525" i="62" l="1"/>
  <c r="H525" i="62" s="1"/>
  <c r="G524" i="62"/>
  <c r="H524" i="62" s="1"/>
  <c r="H526" i="62" s="1"/>
  <c r="I18" i="129" l="1"/>
  <c r="I17" i="129"/>
  <c r="O19" i="137" l="1"/>
  <c r="E74" i="137"/>
  <c r="G73" i="137"/>
  <c r="K57" i="137"/>
  <c r="E64" i="137"/>
  <c r="K63" i="137" s="1"/>
  <c r="E63" i="137"/>
  <c r="K64" i="137" s="1"/>
  <c r="E62" i="137"/>
  <c r="K61" i="137" s="1"/>
  <c r="E61" i="137"/>
  <c r="K62" i="137" s="1"/>
  <c r="K58" i="137"/>
  <c r="K59" i="137"/>
  <c r="M59" i="137"/>
  <c r="E59" i="137"/>
  <c r="E58" i="137"/>
  <c r="S49" i="137"/>
  <c r="S48" i="137"/>
  <c r="S47" i="137"/>
  <c r="S46" i="137"/>
  <c r="S38" i="137"/>
  <c r="S37" i="137"/>
  <c r="M27" i="137"/>
  <c r="M26" i="137"/>
  <c r="K29" i="137"/>
  <c r="E28" i="137"/>
  <c r="M25" i="137"/>
  <c r="M24" i="137"/>
  <c r="M23" i="137"/>
  <c r="M22" i="137"/>
  <c r="E22" i="137"/>
  <c r="M21" i="137" s="1"/>
  <c r="G11" i="137"/>
  <c r="S11" i="137" s="1"/>
  <c r="E20" i="137"/>
  <c r="E19" i="137"/>
  <c r="I36" i="137" s="1"/>
  <c r="S12" i="137"/>
  <c r="S10" i="137"/>
  <c r="S9" i="137"/>
  <c r="E73" i="137" l="1"/>
  <c r="S73" i="137" s="1"/>
  <c r="E36" i="137"/>
  <c r="V29" i="137"/>
  <c r="V23" i="137"/>
  <c r="V20" i="137"/>
  <c r="V19" i="137"/>
  <c r="C45" i="68" l="1"/>
  <c r="B45" i="68"/>
  <c r="C44" i="68"/>
  <c r="B44" i="68"/>
  <c r="G458" i="62"/>
  <c r="H458" i="62" s="1"/>
  <c r="G457" i="62"/>
  <c r="H457" i="62" s="1"/>
  <c r="H459" i="62" l="1"/>
  <c r="E85" i="137" l="1"/>
  <c r="E84" i="137"/>
  <c r="C36" i="68"/>
  <c r="B36" i="68"/>
  <c r="C35" i="68"/>
  <c r="B35" i="68"/>
  <c r="C29" i="68" l="1"/>
  <c r="B29" i="68"/>
  <c r="D70" i="68" l="1"/>
  <c r="C70" i="68"/>
  <c r="B70" i="68"/>
  <c r="G75" i="134"/>
  <c r="G74" i="134"/>
  <c r="G67" i="134"/>
  <c r="E91" i="137" l="1"/>
  <c r="E105" i="137" s="1"/>
  <c r="E125" i="137" l="1"/>
  <c r="C41" i="68" l="1"/>
  <c r="B41" i="68"/>
  <c r="C39" i="68"/>
  <c r="B39" i="68"/>
  <c r="G423" i="62"/>
  <c r="H423" i="62" s="1"/>
  <c r="H424" i="62" s="1"/>
  <c r="E109" i="137"/>
  <c r="O109" i="137"/>
  <c r="E108" i="137"/>
  <c r="E116" i="137" s="1"/>
  <c r="S116" i="137" s="1"/>
  <c r="K106" i="137"/>
  <c r="K105" i="137"/>
  <c r="K103" i="137"/>
  <c r="K102" i="137"/>
  <c r="K100" i="137"/>
  <c r="O100" i="137"/>
  <c r="O101" i="137" s="1"/>
  <c r="I92" i="137"/>
  <c r="G92" i="137"/>
  <c r="E88" i="137"/>
  <c r="E92" i="137" s="1"/>
  <c r="I85" i="137"/>
  <c r="S85" i="137" s="1"/>
  <c r="S84" i="137"/>
  <c r="C34" i="68"/>
  <c r="B34" i="68"/>
  <c r="F342" i="62"/>
  <c r="K136" i="137"/>
  <c r="K134" i="137"/>
  <c r="O134" i="137"/>
  <c r="E126" i="137"/>
  <c r="S74" i="137"/>
  <c r="S72" i="137"/>
  <c r="M64" i="137"/>
  <c r="D63" i="137"/>
  <c r="D74" i="137" s="1"/>
  <c r="D60" i="137"/>
  <c r="D73" i="137" s="1"/>
  <c r="E57" i="137"/>
  <c r="K56" i="137" s="1"/>
  <c r="D56" i="137"/>
  <c r="D72" i="137" s="1"/>
  <c r="C141" i="137"/>
  <c r="C131" i="137"/>
  <c r="C122" i="137"/>
  <c r="C121" i="137"/>
  <c r="B121" i="137"/>
  <c r="C78" i="137"/>
  <c r="B78" i="137"/>
  <c r="G76" i="85"/>
  <c r="G77" i="85"/>
  <c r="G79" i="85"/>
  <c r="G68" i="85"/>
  <c r="S92" i="137" l="1"/>
  <c r="K109" i="137"/>
  <c r="S109" i="137" s="1"/>
  <c r="S76" i="137"/>
  <c r="E100" i="137"/>
  <c r="K101" i="137" s="1"/>
  <c r="S101" i="137" s="1"/>
  <c r="O102" i="137"/>
  <c r="I86" i="137"/>
  <c r="S86" i="137" s="1"/>
  <c r="E134" i="137"/>
  <c r="S134" i="137" s="1"/>
  <c r="E136" i="137"/>
  <c r="K137" i="137" s="1"/>
  <c r="S126" i="137"/>
  <c r="O136" i="137"/>
  <c r="O135" i="137"/>
  <c r="S125" i="137"/>
  <c r="S100" i="137" l="1"/>
  <c r="O103" i="137"/>
  <c r="S102" i="137"/>
  <c r="S88" i="137"/>
  <c r="S91" i="137"/>
  <c r="S129" i="137"/>
  <c r="K135" i="137"/>
  <c r="S135" i="137" s="1"/>
  <c r="E144" i="137"/>
  <c r="O137" i="137"/>
  <c r="S137" i="137" s="1"/>
  <c r="S136" i="137"/>
  <c r="S94" i="137" l="1"/>
  <c r="S51" i="137"/>
  <c r="S103" i="137"/>
  <c r="O105" i="137"/>
  <c r="S139" i="137"/>
  <c r="S144" i="137"/>
  <c r="E145" i="137"/>
  <c r="S145" i="137" s="1"/>
  <c r="S105" i="137" l="1"/>
  <c r="O106" i="137"/>
  <c r="O108" i="137" l="1"/>
  <c r="S108" i="137" s="1"/>
  <c r="S106" i="137"/>
  <c r="S111" i="137" l="1"/>
  <c r="T96" i="137" s="1"/>
  <c r="S36" i="137"/>
  <c r="S40" i="137" s="1"/>
  <c r="M20" i="137"/>
  <c r="M19" i="137"/>
  <c r="K23" i="137"/>
  <c r="K28" i="137" s="1"/>
  <c r="K19" i="137"/>
  <c r="S8" i="137"/>
  <c r="S14" i="137" s="1"/>
  <c r="O21" i="137"/>
  <c r="S21" i="137" s="1"/>
  <c r="D143" i="137"/>
  <c r="D133" i="137"/>
  <c r="D124" i="137"/>
  <c r="S147" i="137"/>
  <c r="T141" i="137" s="1"/>
  <c r="T131" i="137"/>
  <c r="T122" i="137"/>
  <c r="C113" i="137"/>
  <c r="D115" i="137" s="1"/>
  <c r="C96" i="137"/>
  <c r="D98" i="137" s="1"/>
  <c r="C79" i="137"/>
  <c r="C43" i="137"/>
  <c r="C42" i="137"/>
  <c r="S119" i="137"/>
  <c r="T113" i="137" s="1"/>
  <c r="T69" i="137"/>
  <c r="C33" i="137"/>
  <c r="D35" i="137" s="1"/>
  <c r="C16" i="137"/>
  <c r="C5" i="137"/>
  <c r="D7" i="137" s="1"/>
  <c r="C4" i="137"/>
  <c r="B4" i="137"/>
  <c r="T33" i="137" l="1"/>
  <c r="O28" i="137"/>
  <c r="O29" i="137" s="1"/>
  <c r="S29" i="137" s="1"/>
  <c r="O56" i="137"/>
  <c r="S19" i="137"/>
  <c r="M28" i="137"/>
  <c r="O20" i="137"/>
  <c r="C69" i="137"/>
  <c r="D71" i="137" s="1"/>
  <c r="T79" i="137"/>
  <c r="D81" i="137"/>
  <c r="D45" i="137"/>
  <c r="C53" i="137"/>
  <c r="D55" i="137" s="1"/>
  <c r="S28" i="137" l="1"/>
  <c r="O23" i="137"/>
  <c r="O22" i="137"/>
  <c r="S22" i="137" s="1"/>
  <c r="T5" i="137"/>
  <c r="O61" i="137"/>
  <c r="O57" i="137"/>
  <c r="O58" i="137" s="1"/>
  <c r="S56" i="137"/>
  <c r="S20" i="137"/>
  <c r="T43" i="137"/>
  <c r="D18" i="137"/>
  <c r="S58" i="137" l="1"/>
  <c r="O59" i="137"/>
  <c r="S59" i="137" s="1"/>
  <c r="S23" i="137"/>
  <c r="O24" i="137"/>
  <c r="S57" i="137"/>
  <c r="O62" i="137"/>
  <c r="O63" i="137" s="1"/>
  <c r="S61" i="137"/>
  <c r="O25" i="137" l="1"/>
  <c r="S24" i="137"/>
  <c r="S62" i="137"/>
  <c r="O26" i="137" l="1"/>
  <c r="S25" i="137"/>
  <c r="O64" i="137"/>
  <c r="S64" i="137" s="1"/>
  <c r="S63" i="137"/>
  <c r="S67" i="137" s="1"/>
  <c r="O27" i="137" l="1"/>
  <c r="S27" i="137" s="1"/>
  <c r="S26" i="137"/>
  <c r="T53" i="137"/>
  <c r="S31" i="137" l="1"/>
  <c r="T16" i="137" s="1"/>
  <c r="C69" i="68" l="1"/>
  <c r="B69" i="68"/>
  <c r="C68" i="68"/>
  <c r="B68" i="68"/>
  <c r="G50" i="134"/>
  <c r="H50" i="134" s="1"/>
  <c r="G56" i="134"/>
  <c r="H56" i="134" s="1"/>
  <c r="H57" i="134" s="1"/>
  <c r="F43" i="134"/>
  <c r="F60" i="134" s="1"/>
  <c r="G39" i="134"/>
  <c r="H39" i="134" s="1"/>
  <c r="H40" i="134" s="1"/>
  <c r="G33" i="134"/>
  <c r="H33" i="134" s="1"/>
  <c r="C67" i="68" l="1"/>
  <c r="B67" i="68"/>
  <c r="B31" i="68"/>
  <c r="C31" i="68"/>
  <c r="G402" i="62"/>
  <c r="G360" i="62" s="1"/>
  <c r="G401" i="62"/>
  <c r="G359" i="62" s="1"/>
  <c r="G400" i="62"/>
  <c r="G358" i="62" s="1"/>
  <c r="G399" i="62"/>
  <c r="G398" i="62"/>
  <c r="G397" i="62"/>
  <c r="G249" i="62"/>
  <c r="G231" i="62" s="1"/>
  <c r="H231" i="62" s="1"/>
  <c r="G246" i="62"/>
  <c r="G228" i="62" s="1"/>
  <c r="H228" i="62" s="1"/>
  <c r="D10" i="130"/>
  <c r="B10" i="130"/>
  <c r="B18" i="129"/>
  <c r="B62" i="68"/>
  <c r="H12" i="129" s="1"/>
  <c r="G20" i="134"/>
  <c r="H20" i="134" s="1"/>
  <c r="G19" i="134"/>
  <c r="H19" i="134" s="1"/>
  <c r="G13" i="134"/>
  <c r="H13" i="134" s="1"/>
  <c r="G12" i="134"/>
  <c r="H12" i="134" s="1"/>
  <c r="G17" i="64"/>
  <c r="G11" i="134"/>
  <c r="H11" i="134" s="1"/>
  <c r="G16" i="64"/>
  <c r="G10" i="134"/>
  <c r="H10" i="134" s="1"/>
  <c r="G9" i="134"/>
  <c r="H9" i="134" s="1"/>
  <c r="H16" i="134"/>
  <c r="H17" i="134" s="1"/>
  <c r="H358" i="62" l="1"/>
  <c r="G379" i="62"/>
  <c r="H379" i="62" s="1"/>
  <c r="H359" i="62"/>
  <c r="G380" i="62"/>
  <c r="H380" i="62" s="1"/>
  <c r="H360" i="62"/>
  <c r="G381" i="62"/>
  <c r="H381" i="62" s="1"/>
  <c r="H21" i="134"/>
  <c r="Q45" i="133"/>
  <c r="L43" i="133"/>
  <c r="L45" i="133" s="1"/>
  <c r="L55" i="133" s="1"/>
  <c r="L56" i="133" s="1"/>
  <c r="Q40" i="133"/>
  <c r="Q37" i="133"/>
  <c r="L32" i="133"/>
  <c r="D23" i="133"/>
  <c r="D24" i="133" s="1"/>
  <c r="D25" i="133" s="1"/>
  <c r="D26" i="133" s="1"/>
  <c r="D27" i="133" s="1"/>
  <c r="AB22" i="133"/>
  <c r="L17" i="133"/>
  <c r="D17" i="133"/>
  <c r="D18" i="133" s="1"/>
  <c r="C17" i="133"/>
  <c r="B17" i="133"/>
  <c r="I17" i="95"/>
  <c r="I19" i="95"/>
  <c r="I20" i="95" s="1"/>
  <c r="O27" i="95"/>
  <c r="I21" i="95" s="1"/>
  <c r="I18" i="95" s="1"/>
  <c r="B2" i="95"/>
  <c r="C5" i="68"/>
  <c r="C4" i="68"/>
  <c r="C3" i="68"/>
  <c r="L47" i="133" l="1"/>
  <c r="L65" i="133"/>
  <c r="L63" i="133"/>
  <c r="L64" i="133"/>
  <c r="D12" i="130" l="1"/>
  <c r="B12" i="130"/>
  <c r="S664" i="131"/>
  <c r="D664" i="131"/>
  <c r="S663" i="131"/>
  <c r="D663" i="131"/>
  <c r="S662" i="131"/>
  <c r="D662" i="131"/>
  <c r="D661" i="131"/>
  <c r="S659" i="131"/>
  <c r="D659" i="131"/>
  <c r="S658" i="131"/>
  <c r="D658" i="131"/>
  <c r="S657" i="131"/>
  <c r="D657" i="131"/>
  <c r="S656" i="131"/>
  <c r="D656" i="131"/>
  <c r="D655" i="131"/>
  <c r="S653" i="131"/>
  <c r="D653" i="131"/>
  <c r="S652" i="131"/>
  <c r="D652" i="131"/>
  <c r="D651" i="131"/>
  <c r="S650" i="131"/>
  <c r="D650" i="131"/>
  <c r="D649" i="131"/>
  <c r="S647" i="131"/>
  <c r="D647" i="131"/>
  <c r="D646" i="131"/>
  <c r="C644" i="131"/>
  <c r="B644" i="131"/>
  <c r="W643" i="131"/>
  <c r="S640" i="131"/>
  <c r="D640" i="131"/>
  <c r="G639" i="131"/>
  <c r="Q639" i="131" s="1"/>
  <c r="D639" i="131"/>
  <c r="S638" i="131"/>
  <c r="D638" i="131"/>
  <c r="S637" i="131"/>
  <c r="D637" i="131"/>
  <c r="Q636" i="131"/>
  <c r="Q635" i="131"/>
  <c r="D634" i="131"/>
  <c r="W633" i="131"/>
  <c r="O633" i="131"/>
  <c r="W632" i="131"/>
  <c r="Q632" i="131"/>
  <c r="Q633" i="131" s="1"/>
  <c r="D631" i="131"/>
  <c r="O630" i="131"/>
  <c r="W629" i="131"/>
  <c r="Q629" i="131"/>
  <c r="S629" i="131" s="1"/>
  <c r="W628" i="131"/>
  <c r="D627" i="131"/>
  <c r="I626" i="131"/>
  <c r="S626" i="131" s="1"/>
  <c r="S625" i="131"/>
  <c r="D624" i="131"/>
  <c r="D623" i="131"/>
  <c r="E622" i="131"/>
  <c r="Q622" i="131" s="1"/>
  <c r="E621" i="131"/>
  <c r="Q621" i="131" s="1"/>
  <c r="D620" i="131"/>
  <c r="S619" i="131"/>
  <c r="S618" i="131"/>
  <c r="D617" i="131"/>
  <c r="D616" i="131"/>
  <c r="S614" i="131"/>
  <c r="D614" i="131"/>
  <c r="S613" i="131"/>
  <c r="D613" i="131"/>
  <c r="S612" i="131"/>
  <c r="D612" i="131"/>
  <c r="S610" i="131"/>
  <c r="D610" i="131"/>
  <c r="S609" i="131"/>
  <c r="D609" i="131"/>
  <c r="D608" i="131"/>
  <c r="S606" i="131"/>
  <c r="D606" i="131"/>
  <c r="S605" i="131"/>
  <c r="D605" i="131"/>
  <c r="D604" i="131"/>
  <c r="C601" i="131"/>
  <c r="B601" i="131"/>
  <c r="E597" i="131"/>
  <c r="Q597" i="131" s="1"/>
  <c r="E596" i="131"/>
  <c r="Q596" i="131" s="1"/>
  <c r="C592" i="131"/>
  <c r="B592" i="131"/>
  <c r="C585" i="131"/>
  <c r="B585" i="131"/>
  <c r="Q580" i="131"/>
  <c r="Q579" i="131"/>
  <c r="D579" i="131"/>
  <c r="Q578" i="131"/>
  <c r="I576" i="131"/>
  <c r="E576" i="131"/>
  <c r="E575" i="131"/>
  <c r="Q575" i="131" s="1"/>
  <c r="C573" i="131"/>
  <c r="B573" i="131"/>
  <c r="I569" i="131"/>
  <c r="I581" i="131" s="1"/>
  <c r="E569" i="131"/>
  <c r="E581" i="131" s="1"/>
  <c r="D569" i="131"/>
  <c r="D581" i="131" s="1"/>
  <c r="Q568" i="131"/>
  <c r="D568" i="131"/>
  <c r="D580" i="131" s="1"/>
  <c r="Q567" i="131"/>
  <c r="K566" i="131"/>
  <c r="Q566" i="131" s="1"/>
  <c r="D566" i="131"/>
  <c r="D578" i="131" s="1"/>
  <c r="I564" i="131"/>
  <c r="Q564" i="131" s="1"/>
  <c r="Q563" i="131"/>
  <c r="C561" i="131"/>
  <c r="B561" i="131"/>
  <c r="C560" i="131"/>
  <c r="B560" i="131"/>
  <c r="C554" i="131"/>
  <c r="B554" i="131"/>
  <c r="Q550" i="131"/>
  <c r="Q547" i="131"/>
  <c r="Q546" i="131"/>
  <c r="C544" i="131"/>
  <c r="D556" i="131" s="1"/>
  <c r="B544" i="131"/>
  <c r="C543" i="131"/>
  <c r="B543" i="131"/>
  <c r="K539" i="131"/>
  <c r="E539" i="131"/>
  <c r="C536" i="131"/>
  <c r="B536" i="131"/>
  <c r="Q532" i="131"/>
  <c r="Q534" i="131" s="1"/>
  <c r="C530" i="131"/>
  <c r="B530" i="131"/>
  <c r="E526" i="131"/>
  <c r="Q526" i="131" s="1"/>
  <c r="Q528" i="131" s="1"/>
  <c r="C524" i="131"/>
  <c r="B524" i="131"/>
  <c r="Q520" i="131"/>
  <c r="Q522" i="131" s="1"/>
  <c r="C518" i="131"/>
  <c r="Q514" i="131"/>
  <c r="Q513" i="131"/>
  <c r="Q512" i="131"/>
  <c r="Q509" i="131"/>
  <c r="M508" i="131"/>
  <c r="Q508" i="131" s="1"/>
  <c r="C506" i="131"/>
  <c r="B506" i="131"/>
  <c r="S502" i="131"/>
  <c r="S504" i="131" s="1"/>
  <c r="C500" i="131"/>
  <c r="Q498" i="131"/>
  <c r="S496" i="131"/>
  <c r="S498" i="131" s="1"/>
  <c r="D496" i="131"/>
  <c r="C494" i="131"/>
  <c r="S490" i="131"/>
  <c r="S492" i="131" s="1"/>
  <c r="C488" i="131"/>
  <c r="C487" i="131"/>
  <c r="B487" i="131"/>
  <c r="C486" i="131"/>
  <c r="B486" i="131"/>
  <c r="M482" i="131"/>
  <c r="S482" i="131" s="1"/>
  <c r="S484" i="131" s="1"/>
  <c r="C480" i="131"/>
  <c r="D482" i="131" s="1"/>
  <c r="B480" i="131"/>
  <c r="M476" i="131"/>
  <c r="S476" i="131" s="1"/>
  <c r="S478" i="131" s="1"/>
  <c r="C474" i="131"/>
  <c r="D476" i="131" s="1"/>
  <c r="B474" i="131"/>
  <c r="C472" i="131"/>
  <c r="B472" i="131"/>
  <c r="K469" i="131"/>
  <c r="D469" i="131"/>
  <c r="D468" i="131"/>
  <c r="D467" i="131"/>
  <c r="S466" i="131"/>
  <c r="D466" i="131"/>
  <c r="Q465" i="131"/>
  <c r="D465" i="131"/>
  <c r="E464" i="131"/>
  <c r="S464" i="131" s="1"/>
  <c r="D464" i="131"/>
  <c r="C462" i="131"/>
  <c r="B462" i="131"/>
  <c r="C461" i="131"/>
  <c r="B461" i="131"/>
  <c r="E457" i="131"/>
  <c r="S457" i="131" s="1"/>
  <c r="C454" i="131"/>
  <c r="B454" i="131"/>
  <c r="K450" i="131"/>
  <c r="E450" i="131"/>
  <c r="D450" i="131"/>
  <c r="K449" i="131"/>
  <c r="E449" i="131"/>
  <c r="D449" i="131"/>
  <c r="C447" i="131"/>
  <c r="B447" i="131"/>
  <c r="C438" i="131"/>
  <c r="B438" i="131"/>
  <c r="C432" i="131"/>
  <c r="B432" i="131"/>
  <c r="Q428" i="131"/>
  <c r="Q427" i="131"/>
  <c r="W426" i="131"/>
  <c r="Q426" i="131"/>
  <c r="Q425" i="131"/>
  <c r="Q424" i="131"/>
  <c r="Q423" i="131"/>
  <c r="Q421" i="131"/>
  <c r="E420" i="131"/>
  <c r="Q420" i="131" s="1"/>
  <c r="Q419" i="131"/>
  <c r="Q418" i="131"/>
  <c r="C415" i="131"/>
  <c r="B415" i="131"/>
  <c r="C414" i="131"/>
  <c r="B414" i="131"/>
  <c r="S409" i="131"/>
  <c r="Q407" i="131"/>
  <c r="S407" i="131" s="1"/>
  <c r="C405" i="131"/>
  <c r="W401" i="131"/>
  <c r="K401" i="131" s="1"/>
  <c r="Q401" i="131"/>
  <c r="M401" i="131"/>
  <c r="W399" i="131"/>
  <c r="K399" i="131" s="1"/>
  <c r="Q399" i="131"/>
  <c r="C395" i="131"/>
  <c r="O391" i="131"/>
  <c r="S389" i="131"/>
  <c r="Q387" i="131"/>
  <c r="S387" i="131" s="1"/>
  <c r="C385" i="131"/>
  <c r="C384" i="131"/>
  <c r="B384" i="131"/>
  <c r="M380" i="131"/>
  <c r="G380" i="131"/>
  <c r="D380" i="131"/>
  <c r="M379" i="131"/>
  <c r="K379" i="131"/>
  <c r="E379" i="131"/>
  <c r="G378" i="131"/>
  <c r="E378" i="131"/>
  <c r="G377" i="131"/>
  <c r="C375" i="131"/>
  <c r="I371" i="131"/>
  <c r="E371" i="131"/>
  <c r="W370" i="131"/>
  <c r="I370" i="131"/>
  <c r="I369" i="131"/>
  <c r="E369" i="131"/>
  <c r="W368" i="131"/>
  <c r="I368" i="131"/>
  <c r="W367" i="131"/>
  <c r="Q367" i="131"/>
  <c r="I367" i="131"/>
  <c r="W366" i="131"/>
  <c r="Q366" i="131"/>
  <c r="I366" i="131"/>
  <c r="C363" i="131"/>
  <c r="O359" i="131"/>
  <c r="I357" i="131"/>
  <c r="E357" i="131"/>
  <c r="E370" i="131" s="1"/>
  <c r="I356" i="131"/>
  <c r="M355" i="131"/>
  <c r="M356" i="131" s="1"/>
  <c r="M357" i="131" s="1"/>
  <c r="E355" i="131"/>
  <c r="E456" i="131" s="1"/>
  <c r="E594" i="131" s="1"/>
  <c r="Q594" i="131" s="1"/>
  <c r="I354" i="131"/>
  <c r="S354" i="131" s="1"/>
  <c r="C352" i="131"/>
  <c r="C351" i="131"/>
  <c r="D538" i="131" s="1"/>
  <c r="B351" i="131"/>
  <c r="M347" i="131"/>
  <c r="K347" i="131"/>
  <c r="M346" i="131"/>
  <c r="K346" i="131"/>
  <c r="M345" i="131"/>
  <c r="K345" i="131"/>
  <c r="C343" i="131"/>
  <c r="W339" i="131"/>
  <c r="K339" i="131" s="1"/>
  <c r="Q339" i="131"/>
  <c r="M339" i="131"/>
  <c r="E339" i="131"/>
  <c r="W338" i="131"/>
  <c r="K338" i="131" s="1"/>
  <c r="Q338" i="131"/>
  <c r="M338" i="131"/>
  <c r="E338" i="131"/>
  <c r="W337" i="131"/>
  <c r="K337" i="131" s="1"/>
  <c r="Q337" i="131"/>
  <c r="M337" i="131"/>
  <c r="E337" i="131"/>
  <c r="C335" i="131"/>
  <c r="Q331" i="131"/>
  <c r="M331" i="131"/>
  <c r="E331" i="131"/>
  <c r="Q330" i="131"/>
  <c r="E330" i="131"/>
  <c r="Q329" i="131"/>
  <c r="M329" i="131"/>
  <c r="M330" i="131" s="1"/>
  <c r="E329" i="131"/>
  <c r="Q326" i="131"/>
  <c r="Q325" i="131"/>
  <c r="M325" i="131"/>
  <c r="M326" i="131" s="1"/>
  <c r="E325" i="131"/>
  <c r="C322" i="131"/>
  <c r="O317" i="131"/>
  <c r="I313" i="131"/>
  <c r="E313" i="131"/>
  <c r="E347" i="131" s="1"/>
  <c r="W371" i="131" s="1"/>
  <c r="I312" i="131"/>
  <c r="E312" i="131"/>
  <c r="E346" i="131" s="1"/>
  <c r="I311" i="131"/>
  <c r="G345" i="131" s="1"/>
  <c r="G346" i="131" s="1"/>
  <c r="E311" i="131"/>
  <c r="C309" i="131"/>
  <c r="C308" i="131"/>
  <c r="B308" i="131"/>
  <c r="C300" i="131"/>
  <c r="W296" i="131"/>
  <c r="W295" i="131"/>
  <c r="K295" i="131" s="1"/>
  <c r="O295" i="131"/>
  <c r="O296" i="131" s="1"/>
  <c r="W294" i="131"/>
  <c r="K294" i="131" s="1"/>
  <c r="Q294" i="131"/>
  <c r="Q295" i="131" s="1"/>
  <c r="Q296" i="131" s="1"/>
  <c r="E294" i="131"/>
  <c r="E295" i="131" s="1"/>
  <c r="E296" i="131" s="1"/>
  <c r="C292" i="131"/>
  <c r="Q288" i="131"/>
  <c r="M288" i="131"/>
  <c r="M296" i="131" s="1"/>
  <c r="K304" i="131" s="1"/>
  <c r="E287" i="131"/>
  <c r="E286" i="131"/>
  <c r="Q285" i="131"/>
  <c r="Q286" i="131" s="1"/>
  <c r="Q287" i="131" s="1"/>
  <c r="M285" i="131"/>
  <c r="M295" i="131" s="1"/>
  <c r="K303" i="131" s="1"/>
  <c r="E283" i="131"/>
  <c r="E282" i="131"/>
  <c r="Q281" i="131"/>
  <c r="Q282" i="131" s="1"/>
  <c r="Q283" i="131" s="1"/>
  <c r="M281" i="131"/>
  <c r="C279" i="131"/>
  <c r="O274" i="131"/>
  <c r="E270" i="131"/>
  <c r="E288" i="131" s="1"/>
  <c r="E269" i="131"/>
  <c r="E303" i="131" s="1"/>
  <c r="I268" i="131"/>
  <c r="E268" i="131"/>
  <c r="E302" i="131" s="1"/>
  <c r="C266" i="131"/>
  <c r="C265" i="131"/>
  <c r="B265" i="131"/>
  <c r="K261" i="131"/>
  <c r="C259" i="131"/>
  <c r="Q255" i="131"/>
  <c r="E255" i="131"/>
  <c r="Q254" i="131"/>
  <c r="E254" i="131"/>
  <c r="C252" i="131"/>
  <c r="Q248" i="131"/>
  <c r="E248" i="131"/>
  <c r="Q247" i="131"/>
  <c r="E247" i="131"/>
  <c r="Q246" i="131"/>
  <c r="M246" i="131"/>
  <c r="M247" i="131" s="1"/>
  <c r="C244" i="131"/>
  <c r="O239" i="131"/>
  <c r="I236" i="131"/>
  <c r="G261" i="131" s="1"/>
  <c r="E236" i="131"/>
  <c r="W255" i="131" s="1"/>
  <c r="K255" i="131" s="1"/>
  <c r="C234" i="131"/>
  <c r="C233" i="131"/>
  <c r="B233" i="131"/>
  <c r="Q231" i="131"/>
  <c r="K231" i="131"/>
  <c r="S227" i="131"/>
  <c r="S225" i="131"/>
  <c r="C222" i="131"/>
  <c r="B222" i="131"/>
  <c r="Q218" i="131"/>
  <c r="K218" i="131"/>
  <c r="I216" i="131"/>
  <c r="S216" i="131" s="1"/>
  <c r="C214" i="131"/>
  <c r="B214" i="131"/>
  <c r="G210" i="131"/>
  <c r="C208" i="131"/>
  <c r="V204" i="131"/>
  <c r="W204" i="131" s="1"/>
  <c r="Q204" i="131"/>
  <c r="E204" i="131"/>
  <c r="V203" i="131"/>
  <c r="W203" i="131" s="1"/>
  <c r="K203" i="131" s="1"/>
  <c r="Q203" i="131"/>
  <c r="E203" i="131"/>
  <c r="C201" i="131"/>
  <c r="Q197" i="131"/>
  <c r="E197" i="131"/>
  <c r="C195" i="131"/>
  <c r="O190" i="131"/>
  <c r="O191" i="131" s="1"/>
  <c r="K188" i="131"/>
  <c r="M197" i="131" s="1"/>
  <c r="M203" i="131" s="1"/>
  <c r="M210" i="131" s="1"/>
  <c r="I188" i="131"/>
  <c r="I210" i="131" s="1"/>
  <c r="C186" i="131"/>
  <c r="C185" i="131"/>
  <c r="D188" i="131" s="1"/>
  <c r="B185" i="131"/>
  <c r="I181" i="131"/>
  <c r="I180" i="131"/>
  <c r="C178" i="131"/>
  <c r="V174" i="131"/>
  <c r="K174" i="131" s="1"/>
  <c r="O174" i="131"/>
  <c r="V173" i="131"/>
  <c r="K173" i="131" s="1"/>
  <c r="Q173" i="131"/>
  <c r="Q174" i="131" s="1"/>
  <c r="E173" i="131"/>
  <c r="E174" i="131" s="1"/>
  <c r="C171" i="131"/>
  <c r="E167" i="131"/>
  <c r="E166" i="131"/>
  <c r="M165" i="131"/>
  <c r="M166" i="131" s="1"/>
  <c r="E164" i="131"/>
  <c r="E163" i="131"/>
  <c r="Q162" i="131"/>
  <c r="Q164" i="131" s="1"/>
  <c r="Q165" i="131" s="1"/>
  <c r="M162" i="131"/>
  <c r="M164" i="131" s="1"/>
  <c r="C160" i="131"/>
  <c r="O155" i="131"/>
  <c r="O156" i="131" s="1"/>
  <c r="E153" i="131"/>
  <c r="S153" i="131" s="1"/>
  <c r="E152" i="131"/>
  <c r="S152" i="131" s="1"/>
  <c r="C150" i="131"/>
  <c r="C149" i="131"/>
  <c r="B149" i="131"/>
  <c r="I145" i="131"/>
  <c r="E145" i="131"/>
  <c r="C143" i="131"/>
  <c r="W139" i="131"/>
  <c r="V139" i="131"/>
  <c r="Q139" i="131"/>
  <c r="E139" i="131"/>
  <c r="V138" i="131"/>
  <c r="Q138" i="131"/>
  <c r="E138" i="131"/>
  <c r="C136" i="131"/>
  <c r="O132" i="131"/>
  <c r="C128" i="131"/>
  <c r="C127" i="131"/>
  <c r="D87" i="131" s="1"/>
  <c r="D94" i="131" s="1"/>
  <c r="D101" i="131" s="1"/>
  <c r="B127" i="131"/>
  <c r="I123" i="131"/>
  <c r="E123" i="131"/>
  <c r="C121" i="131"/>
  <c r="Q117" i="131"/>
  <c r="W116" i="131"/>
  <c r="Q116" i="131"/>
  <c r="E116" i="131"/>
  <c r="E117" i="131" s="1"/>
  <c r="W115" i="131"/>
  <c r="C114" i="131"/>
  <c r="O110" i="131"/>
  <c r="C106" i="131"/>
  <c r="C105" i="131"/>
  <c r="D86" i="131" s="1"/>
  <c r="B105" i="131"/>
  <c r="D98" i="131"/>
  <c r="C98" i="131"/>
  <c r="K94" i="131"/>
  <c r="K101" i="131" s="1"/>
  <c r="K93" i="131"/>
  <c r="K100" i="131" s="1"/>
  <c r="D91" i="131"/>
  <c r="C91" i="131"/>
  <c r="E87" i="131"/>
  <c r="E86" i="131"/>
  <c r="D84" i="131"/>
  <c r="C84" i="131"/>
  <c r="K80" i="131"/>
  <c r="K79" i="131"/>
  <c r="D77" i="131"/>
  <c r="C77" i="131"/>
  <c r="D75" i="131"/>
  <c r="C75" i="131"/>
  <c r="C74" i="131"/>
  <c r="B74" i="131"/>
  <c r="C73" i="131"/>
  <c r="B73" i="131"/>
  <c r="Q66" i="131"/>
  <c r="S66" i="131" s="1"/>
  <c r="Q65" i="131"/>
  <c r="S65" i="131" s="1"/>
  <c r="D63" i="131"/>
  <c r="D57" i="131"/>
  <c r="C56" i="131"/>
  <c r="B56" i="131"/>
  <c r="J52" i="131"/>
  <c r="H52" i="131"/>
  <c r="J51" i="131"/>
  <c r="H51" i="131"/>
  <c r="I49" i="131"/>
  <c r="G49" i="131"/>
  <c r="G52" i="131" s="1"/>
  <c r="F49" i="131"/>
  <c r="F52" i="131" s="1"/>
  <c r="E49" i="131"/>
  <c r="E52" i="131" s="1"/>
  <c r="G48" i="131"/>
  <c r="G51" i="131" s="1"/>
  <c r="F48" i="131"/>
  <c r="F51" i="131" s="1"/>
  <c r="E48" i="131"/>
  <c r="E51" i="131" s="1"/>
  <c r="C45" i="131"/>
  <c r="B45" i="131"/>
  <c r="C31" i="131"/>
  <c r="B31" i="131"/>
  <c r="K27" i="131"/>
  <c r="K130" i="131" s="1"/>
  <c r="K49" i="131" s="1"/>
  <c r="I27" i="131"/>
  <c r="K26" i="131"/>
  <c r="S26" i="131" s="1"/>
  <c r="C23" i="131"/>
  <c r="B23" i="131"/>
  <c r="C22" i="131"/>
  <c r="C20" i="131"/>
  <c r="B20" i="131"/>
  <c r="E17" i="131"/>
  <c r="S17" i="131" s="1"/>
  <c r="V16" i="131"/>
  <c r="E16" i="131" s="1"/>
  <c r="S16" i="131" s="1"/>
  <c r="C13" i="131"/>
  <c r="B13" i="131"/>
  <c r="E10" i="131"/>
  <c r="S10" i="131" s="1"/>
  <c r="E9" i="131"/>
  <c r="S9" i="131" s="1"/>
  <c r="D8" i="131"/>
  <c r="C6" i="131"/>
  <c r="B6" i="131"/>
  <c r="C4" i="131"/>
  <c r="B4" i="131"/>
  <c r="S399" i="131" l="1"/>
  <c r="D34" i="131"/>
  <c r="S367" i="131"/>
  <c r="S268" i="131"/>
  <c r="S313" i="131"/>
  <c r="Q634" i="131"/>
  <c r="S330" i="131"/>
  <c r="S281" i="131"/>
  <c r="S617" i="131"/>
  <c r="S624" i="131"/>
  <c r="S231" i="131"/>
  <c r="W254" i="131"/>
  <c r="K254" i="131" s="1"/>
  <c r="S254" i="131" s="1"/>
  <c r="Q630" i="131"/>
  <c r="S630" i="131" s="1"/>
  <c r="S339" i="131"/>
  <c r="S311" i="131"/>
  <c r="S218" i="131"/>
  <c r="E368" i="131"/>
  <c r="Q576" i="131"/>
  <c r="Q599" i="131"/>
  <c r="Q368" i="131"/>
  <c r="Q369" i="131" s="1"/>
  <c r="S369" i="131" s="1"/>
  <c r="S173" i="131"/>
  <c r="S357" i="131"/>
  <c r="S366" i="131"/>
  <c r="S449" i="131"/>
  <c r="S229" i="131"/>
  <c r="S355" i="131"/>
  <c r="Q210" i="131"/>
  <c r="Q212" i="131" s="1"/>
  <c r="Q441" i="131" s="1"/>
  <c r="S11" i="131"/>
  <c r="S188" i="131"/>
  <c r="M286" i="131"/>
  <c r="M287" i="131" s="1"/>
  <c r="S287" i="131" s="1"/>
  <c r="S337" i="131"/>
  <c r="E180" i="131"/>
  <c r="Q180" i="131" s="1"/>
  <c r="S255" i="131"/>
  <c r="S312" i="131"/>
  <c r="S325" i="131"/>
  <c r="S331" i="131"/>
  <c r="S450" i="131"/>
  <c r="Q539" i="131"/>
  <c r="Q541" i="131" s="1"/>
  <c r="Q552" i="131"/>
  <c r="Q587" i="131" s="1"/>
  <c r="S162" i="131"/>
  <c r="E377" i="131"/>
  <c r="S401" i="131"/>
  <c r="Q581" i="131"/>
  <c r="S197" i="131"/>
  <c r="S199" i="131" s="1"/>
  <c r="M282" i="131"/>
  <c r="M283" i="131" s="1"/>
  <c r="W369" i="131"/>
  <c r="I380" i="131"/>
  <c r="Q380" i="131" s="1"/>
  <c r="S633" i="131"/>
  <c r="M79" i="131"/>
  <c r="M86" i="131" s="1"/>
  <c r="M93" i="131" s="1"/>
  <c r="S93" i="131" s="1"/>
  <c r="K108" i="131"/>
  <c r="M163" i="131"/>
  <c r="S174" i="131"/>
  <c r="S176" i="131" s="1"/>
  <c r="E261" i="131"/>
  <c r="Q261" i="131" s="1"/>
  <c r="Q263" i="131" s="1"/>
  <c r="I269" i="131"/>
  <c r="S269" i="131" s="1"/>
  <c r="S329" i="131"/>
  <c r="S412" i="131"/>
  <c r="Q430" i="131"/>
  <c r="S285" i="131"/>
  <c r="Q379" i="131"/>
  <c r="D79" i="131"/>
  <c r="D93" i="131"/>
  <c r="D100" i="131" s="1"/>
  <c r="M248" i="131"/>
  <c r="S248" i="131" s="1"/>
  <c r="S247" i="131"/>
  <c r="S203" i="131"/>
  <c r="S338" i="131"/>
  <c r="Q556" i="131"/>
  <c r="Q558" i="131" s="1"/>
  <c r="Q620" i="131"/>
  <c r="S288" i="131"/>
  <c r="E304" i="131"/>
  <c r="Q370" i="131"/>
  <c r="Q371" i="131" s="1"/>
  <c r="S371" i="131" s="1"/>
  <c r="D48" i="131"/>
  <c r="D51" i="131" s="1"/>
  <c r="M80" i="131"/>
  <c r="M87" i="131" s="1"/>
  <c r="S87" i="131" s="1"/>
  <c r="Q163" i="131"/>
  <c r="M167" i="131"/>
  <c r="E181" i="131"/>
  <c r="Q181" i="131" s="1"/>
  <c r="S246" i="131"/>
  <c r="M377" i="131"/>
  <c r="S632" i="131"/>
  <c r="S18" i="131"/>
  <c r="S27" i="131"/>
  <c r="V26" i="131" s="1"/>
  <c r="S67" i="131"/>
  <c r="M294" i="131"/>
  <c r="K302" i="131" s="1"/>
  <c r="S164" i="131"/>
  <c r="D35" i="131"/>
  <c r="D49" i="131"/>
  <c r="D52" i="131" s="1"/>
  <c r="S236" i="131"/>
  <c r="Q569" i="131"/>
  <c r="Q571" i="131" s="1"/>
  <c r="S296" i="131"/>
  <c r="S326" i="131"/>
  <c r="E345" i="131"/>
  <c r="Q345" i="131" s="1"/>
  <c r="Q516" i="131"/>
  <c r="S403" i="131"/>
  <c r="S79" i="131"/>
  <c r="S283" i="131"/>
  <c r="Q166" i="131"/>
  <c r="S166" i="131" s="1"/>
  <c r="S165" i="131"/>
  <c r="Q167" i="131"/>
  <c r="M100" i="131"/>
  <c r="S100" i="131" s="1"/>
  <c r="G347" i="131"/>
  <c r="Q347" i="131" s="1"/>
  <c r="Q346" i="131"/>
  <c r="K434" i="131"/>
  <c r="Q434" i="131" s="1"/>
  <c r="Q436" i="131" s="1"/>
  <c r="K52" i="131"/>
  <c r="S52" i="131" s="1"/>
  <c r="S49" i="131"/>
  <c r="S356" i="131"/>
  <c r="M378" i="131"/>
  <c r="Q378" i="131" s="1"/>
  <c r="S456" i="131"/>
  <c r="S459" i="131" s="1"/>
  <c r="M145" i="131"/>
  <c r="Q145" i="131" s="1"/>
  <c r="Q147" i="131" s="1"/>
  <c r="S130" i="131"/>
  <c r="M138" i="131"/>
  <c r="M204" i="131"/>
  <c r="S204" i="131" s="1"/>
  <c r="S295" i="131"/>
  <c r="D80" i="131"/>
  <c r="S257" i="131" l="1"/>
  <c r="S167" i="131"/>
  <c r="S294" i="131"/>
  <c r="S298" i="131" s="1"/>
  <c r="K274" i="131" s="1"/>
  <c r="S274" i="131" s="1"/>
  <c r="S452" i="131"/>
  <c r="M94" i="131"/>
  <c r="M101" i="131" s="1"/>
  <c r="S101" i="131" s="1"/>
  <c r="S103" i="131" s="1"/>
  <c r="S341" i="131"/>
  <c r="K190" i="131"/>
  <c r="S190" i="131" s="1"/>
  <c r="Q583" i="131"/>
  <c r="V575" i="131" s="1"/>
  <c r="S370" i="131"/>
  <c r="S206" i="131"/>
  <c r="K191" i="131" s="1"/>
  <c r="S191" i="131" s="1"/>
  <c r="S86" i="131"/>
  <c r="S163" i="131"/>
  <c r="S169" i="131" s="1"/>
  <c r="K155" i="131" s="1"/>
  <c r="S155" i="131" s="1"/>
  <c r="S314" i="131"/>
  <c r="S368" i="131"/>
  <c r="K239" i="131"/>
  <c r="S239" i="131" s="1"/>
  <c r="G303" i="131"/>
  <c r="Q303" i="131" s="1"/>
  <c r="Q183" i="131"/>
  <c r="S282" i="131"/>
  <c r="S290" i="131" s="1"/>
  <c r="S108" i="131"/>
  <c r="S34" i="131" s="1"/>
  <c r="K48" i="131"/>
  <c r="K623" i="131"/>
  <c r="Q623" i="131" s="1"/>
  <c r="S627" i="131"/>
  <c r="Q377" i="131"/>
  <c r="K443" i="131" s="1"/>
  <c r="Q443" i="131" s="1"/>
  <c r="Q588" i="131" s="1"/>
  <c r="Q590" i="131" s="1"/>
  <c r="S286" i="131"/>
  <c r="S333" i="131"/>
  <c r="K316" i="131" s="1"/>
  <c r="S316" i="131" s="1"/>
  <c r="I270" i="131"/>
  <c r="S270" i="131" s="1"/>
  <c r="S271" i="131" s="1"/>
  <c r="M116" i="131"/>
  <c r="S29" i="131"/>
  <c r="K39" i="131" s="1"/>
  <c r="S39" i="131" s="1"/>
  <c r="K391" i="131"/>
  <c r="S391" i="131" s="1"/>
  <c r="S393" i="131" s="1"/>
  <c r="S250" i="131"/>
  <c r="S80" i="131"/>
  <c r="S82" i="131" s="1"/>
  <c r="S138" i="131"/>
  <c r="M139" i="131"/>
  <c r="S139" i="131" s="1"/>
  <c r="K156" i="131"/>
  <c r="S156" i="131" s="1"/>
  <c r="S35" i="131"/>
  <c r="Q349" i="131"/>
  <c r="S89" i="131"/>
  <c r="S193" i="131" l="1"/>
  <c r="Q382" i="131"/>
  <c r="S94" i="131"/>
  <c r="S96" i="131" s="1"/>
  <c r="S373" i="131"/>
  <c r="K359" i="131" s="1"/>
  <c r="S359" i="131" s="1"/>
  <c r="S361" i="131" s="1"/>
  <c r="K317" i="131"/>
  <c r="S317" i="131" s="1"/>
  <c r="S318" i="131" s="1"/>
  <c r="S320" i="131" s="1"/>
  <c r="G302" i="131"/>
  <c r="Q302" i="131" s="1"/>
  <c r="G304" i="131"/>
  <c r="Q304" i="131" s="1"/>
  <c r="W108" i="131"/>
  <c r="M117" i="131"/>
  <c r="S116" i="131"/>
  <c r="S48" i="131"/>
  <c r="K51" i="131"/>
  <c r="S51" i="131" s="1"/>
  <c r="K238" i="131"/>
  <c r="S238" i="131" s="1"/>
  <c r="S240" i="131" s="1"/>
  <c r="S242" i="131" s="1"/>
  <c r="Q445" i="131"/>
  <c r="K273" i="131"/>
  <c r="S273" i="131" s="1"/>
  <c r="S275" i="131" s="1"/>
  <c r="S277" i="131" s="1"/>
  <c r="S158" i="131"/>
  <c r="S141" i="131"/>
  <c r="Q306" i="131" l="1"/>
  <c r="S36" i="131"/>
  <c r="S38" i="131" s="1"/>
  <c r="S40" i="131" s="1"/>
  <c r="S54" i="131"/>
  <c r="S117" i="131"/>
  <c r="S119" i="131" s="1"/>
  <c r="M123" i="131"/>
  <c r="Q123" i="131" s="1"/>
  <c r="Q125" i="131" s="1"/>
  <c r="K132" i="131"/>
  <c r="S132" i="131" s="1"/>
  <c r="S134" i="131" s="1"/>
  <c r="K110" i="131" l="1"/>
  <c r="S110" i="131" s="1"/>
  <c r="S112" i="131" s="1"/>
  <c r="S59" i="131"/>
  <c r="S61" i="131" s="1"/>
  <c r="S41" i="131"/>
  <c r="S43" i="131" s="1"/>
  <c r="S68" i="131" l="1"/>
  <c r="S69" i="131" s="1"/>
  <c r="S71" i="131" s="1"/>
  <c r="C6" i="62"/>
  <c r="C5" i="62"/>
  <c r="C5" i="103"/>
  <c r="C4" i="103"/>
  <c r="D4" i="130"/>
  <c r="D5" i="130"/>
  <c r="D3" i="130"/>
  <c r="D11" i="130"/>
  <c r="B11" i="130"/>
  <c r="C30" i="68" l="1"/>
  <c r="B30" i="68"/>
  <c r="F10" i="64" l="1"/>
  <c r="F11" i="64"/>
  <c r="G69" i="134" s="1"/>
  <c r="F12" i="64"/>
  <c r="G68" i="134" s="1"/>
  <c r="G20" i="61"/>
  <c r="G18" i="61"/>
  <c r="G248" i="62" s="1"/>
  <c r="G230" i="62" s="1"/>
  <c r="H230" i="62" s="1"/>
  <c r="G8" i="134" l="1"/>
  <c r="H8" i="134" s="1"/>
  <c r="H14" i="134" s="1"/>
  <c r="H23" i="134" s="1"/>
  <c r="H24" i="134" s="1"/>
  <c r="H25" i="134" s="1"/>
  <c r="H26" i="134" s="1"/>
  <c r="H27" i="134" s="1"/>
  <c r="D67" i="68" s="1"/>
  <c r="G70" i="134"/>
  <c r="G34" i="134"/>
  <c r="H34" i="134" s="1"/>
  <c r="H35" i="134" s="1"/>
  <c r="H42" i="134" s="1"/>
  <c r="H43" i="134" s="1"/>
  <c r="H44" i="134" s="1"/>
  <c r="H45" i="134" s="1"/>
  <c r="D68" i="68" s="1"/>
  <c r="G51" i="134"/>
  <c r="H51" i="134" s="1"/>
  <c r="H52" i="134" s="1"/>
  <c r="H59" i="134" s="1"/>
  <c r="H60" i="134" s="1"/>
  <c r="H61" i="134" s="1"/>
  <c r="H62" i="134" s="1"/>
  <c r="D69" i="68" s="1"/>
  <c r="G46" i="61"/>
  <c r="I45" i="61"/>
  <c r="I34" i="61"/>
  <c r="K34" i="61" s="1"/>
  <c r="D9" i="130" l="1"/>
  <c r="B9" i="130"/>
  <c r="I55" i="95" l="1"/>
  <c r="I26" i="95" s="1"/>
  <c r="F255" i="62" l="1"/>
  <c r="G243" i="62"/>
  <c r="G242" i="62"/>
  <c r="G241" i="62"/>
  <c r="G240" i="62"/>
  <c r="H242" i="62" l="1"/>
  <c r="G224" i="62"/>
  <c r="H224" i="62" s="1"/>
  <c r="H240" i="62"/>
  <c r="G222" i="62"/>
  <c r="H222" i="62" s="1"/>
  <c r="H243" i="62"/>
  <c r="G225" i="62"/>
  <c r="H225" i="62" s="1"/>
  <c r="H241" i="62"/>
  <c r="G223" i="62"/>
  <c r="H223" i="62" s="1"/>
  <c r="H226" i="62" l="1"/>
  <c r="H244" i="62"/>
  <c r="G14" i="129"/>
  <c r="G114" i="81"/>
  <c r="B85" i="81"/>
  <c r="B42" i="137" l="1"/>
  <c r="I54" i="82" l="1"/>
  <c r="E419" i="81"/>
  <c r="E415" i="81"/>
  <c r="E414" i="81"/>
  <c r="E413" i="81"/>
  <c r="B241" i="81"/>
  <c r="B348" i="81"/>
  <c r="C6" i="127"/>
  <c r="B6" i="127"/>
  <c r="S759" i="127"/>
  <c r="T759" i="127" s="1"/>
  <c r="D759" i="127"/>
  <c r="S758" i="127"/>
  <c r="T758" i="127" s="1"/>
  <c r="D758" i="127"/>
  <c r="S757" i="127"/>
  <c r="T757" i="127" s="1"/>
  <c r="D757" i="127"/>
  <c r="D756" i="127"/>
  <c r="S754" i="127"/>
  <c r="T754" i="127" s="1"/>
  <c r="D754" i="127"/>
  <c r="S753" i="127"/>
  <c r="T753" i="127" s="1"/>
  <c r="D753" i="127"/>
  <c r="S752" i="127"/>
  <c r="T752" i="127" s="1"/>
  <c r="D752" i="127"/>
  <c r="S751" i="127"/>
  <c r="T751" i="127" s="1"/>
  <c r="D751" i="127"/>
  <c r="S750" i="127"/>
  <c r="T750" i="127" s="1"/>
  <c r="D750" i="127"/>
  <c r="S749" i="127"/>
  <c r="T749" i="127" s="1"/>
  <c r="D749" i="127"/>
  <c r="S748" i="127"/>
  <c r="T748" i="127" s="1"/>
  <c r="D748" i="127"/>
  <c r="S747" i="127"/>
  <c r="T747" i="127" s="1"/>
  <c r="D747" i="127"/>
  <c r="D746" i="127"/>
  <c r="S744" i="127"/>
  <c r="T744" i="127" s="1"/>
  <c r="D744" i="127"/>
  <c r="S743" i="127"/>
  <c r="T743" i="127" s="1"/>
  <c r="D743" i="127"/>
  <c r="D742" i="127"/>
  <c r="S740" i="127"/>
  <c r="T740" i="127" s="1"/>
  <c r="D740" i="127"/>
  <c r="S739" i="127"/>
  <c r="T739" i="127" s="1"/>
  <c r="D739" i="127"/>
  <c r="S738" i="127"/>
  <c r="T738" i="127" s="1"/>
  <c r="D738" i="127"/>
  <c r="S737" i="127"/>
  <c r="T737" i="127" s="1"/>
  <c r="D737" i="127"/>
  <c r="D736" i="127"/>
  <c r="S734" i="127"/>
  <c r="T734" i="127" s="1"/>
  <c r="D734" i="127"/>
  <c r="S733" i="127"/>
  <c r="T733" i="127" s="1"/>
  <c r="D733" i="127"/>
  <c r="S732" i="127"/>
  <c r="T732" i="127" s="1"/>
  <c r="D732" i="127"/>
  <c r="D731" i="127"/>
  <c r="S729" i="127"/>
  <c r="T729" i="127" s="1"/>
  <c r="D729" i="127"/>
  <c r="S728" i="127"/>
  <c r="T728" i="127" s="1"/>
  <c r="D728" i="127"/>
  <c r="S727" i="127"/>
  <c r="T727" i="127" s="1"/>
  <c r="D727" i="127"/>
  <c r="S726" i="127"/>
  <c r="T726" i="127" s="1"/>
  <c r="D726" i="127"/>
  <c r="D725" i="127"/>
  <c r="C723" i="127"/>
  <c r="B723" i="127"/>
  <c r="W722" i="127"/>
  <c r="D720" i="127"/>
  <c r="S719" i="127"/>
  <c r="T719" i="127" s="1"/>
  <c r="D719" i="127"/>
  <c r="O718" i="127"/>
  <c r="E718" i="127"/>
  <c r="W717" i="127" s="1"/>
  <c r="Q717" i="127"/>
  <c r="E717" i="127"/>
  <c r="W718" i="127" s="1"/>
  <c r="D716" i="127"/>
  <c r="S715" i="127"/>
  <c r="T715" i="127" s="1"/>
  <c r="D715" i="127"/>
  <c r="S714" i="127"/>
  <c r="T714" i="127" s="1"/>
  <c r="D714" i="127"/>
  <c r="S713" i="127"/>
  <c r="T713" i="127" s="1"/>
  <c r="D713" i="127"/>
  <c r="D712" i="127"/>
  <c r="S710" i="127"/>
  <c r="T710" i="127" s="1"/>
  <c r="D710" i="127"/>
  <c r="G709" i="127"/>
  <c r="Q709" i="127" s="1"/>
  <c r="T709" i="127" s="1"/>
  <c r="D709" i="127"/>
  <c r="S708" i="127"/>
  <c r="T708" i="127" s="1"/>
  <c r="D708" i="127"/>
  <c r="S707" i="127"/>
  <c r="T707" i="127" s="1"/>
  <c r="D707" i="127"/>
  <c r="Q706" i="127"/>
  <c r="Q705" i="127"/>
  <c r="D704" i="127"/>
  <c r="W703" i="127"/>
  <c r="O703" i="127"/>
  <c r="W702" i="127"/>
  <c r="Q702" i="127"/>
  <c r="Q703" i="127" s="1"/>
  <c r="D701" i="127"/>
  <c r="O700" i="127"/>
  <c r="W699" i="127"/>
  <c r="Q699" i="127"/>
  <c r="Q700" i="127" s="1"/>
  <c r="W698" i="127"/>
  <c r="D697" i="127"/>
  <c r="I696" i="127"/>
  <c r="S696" i="127" s="1"/>
  <c r="S695" i="127"/>
  <c r="D694" i="127"/>
  <c r="D693" i="127"/>
  <c r="E692" i="127"/>
  <c r="Q692" i="127" s="1"/>
  <c r="E691" i="127"/>
  <c r="Q691" i="127" s="1"/>
  <c r="D690" i="127"/>
  <c r="S689" i="127"/>
  <c r="S688" i="127"/>
  <c r="D687" i="127"/>
  <c r="D686" i="127"/>
  <c r="S684" i="127"/>
  <c r="T684" i="127" s="1"/>
  <c r="D684" i="127"/>
  <c r="S683" i="127"/>
  <c r="T683" i="127" s="1"/>
  <c r="D683" i="127"/>
  <c r="S682" i="127"/>
  <c r="T682" i="127" s="1"/>
  <c r="D682" i="127"/>
  <c r="S680" i="127"/>
  <c r="T680" i="127" s="1"/>
  <c r="D680" i="127"/>
  <c r="S679" i="127"/>
  <c r="T679" i="127" s="1"/>
  <c r="D679" i="127"/>
  <c r="T678" i="127"/>
  <c r="K678" i="127"/>
  <c r="D678" i="127"/>
  <c r="D677" i="127"/>
  <c r="S675" i="127"/>
  <c r="T675" i="127" s="1"/>
  <c r="D675" i="127"/>
  <c r="S674" i="127"/>
  <c r="T674" i="127" s="1"/>
  <c r="D674" i="127"/>
  <c r="D673" i="127"/>
  <c r="S671" i="127"/>
  <c r="T671" i="127" s="1"/>
  <c r="D671" i="127"/>
  <c r="S670" i="127"/>
  <c r="T670" i="127" s="1"/>
  <c r="D670" i="127"/>
  <c r="S669" i="127"/>
  <c r="T669" i="127" s="1"/>
  <c r="D669" i="127"/>
  <c r="S668" i="127"/>
  <c r="T668" i="127" s="1"/>
  <c r="D668" i="127"/>
  <c r="S667" i="127"/>
  <c r="T667" i="127" s="1"/>
  <c r="D667" i="127"/>
  <c r="S666" i="127"/>
  <c r="T666" i="127" s="1"/>
  <c r="D666" i="127"/>
  <c r="S665" i="127"/>
  <c r="T665" i="127" s="1"/>
  <c r="D665" i="127"/>
  <c r="S664" i="127"/>
  <c r="T664" i="127" s="1"/>
  <c r="D664" i="127"/>
  <c r="S663" i="127"/>
  <c r="T663" i="127" s="1"/>
  <c r="D663" i="127"/>
  <c r="S662" i="127"/>
  <c r="T662" i="127" s="1"/>
  <c r="D662" i="127"/>
  <c r="S660" i="127"/>
  <c r="T660" i="127" s="1"/>
  <c r="D660" i="127"/>
  <c r="C658" i="127"/>
  <c r="B658" i="127"/>
  <c r="E654" i="127"/>
  <c r="Q654" i="127" s="1"/>
  <c r="E653" i="127"/>
  <c r="Q653" i="127" s="1"/>
  <c r="C649" i="127"/>
  <c r="B649" i="127"/>
  <c r="C642" i="127"/>
  <c r="B642" i="127"/>
  <c r="C636" i="127"/>
  <c r="B636" i="127"/>
  <c r="Q632" i="127"/>
  <c r="D632" i="127"/>
  <c r="Q631" i="127"/>
  <c r="K631" i="127"/>
  <c r="D631" i="127"/>
  <c r="Q630" i="127"/>
  <c r="D630" i="127"/>
  <c r="Q629" i="127"/>
  <c r="D629" i="127"/>
  <c r="Q627" i="127"/>
  <c r="Q626" i="127"/>
  <c r="Q634" i="127" s="1"/>
  <c r="T624" i="127" s="1"/>
  <c r="E359" i="81" s="1"/>
  <c r="C624" i="127"/>
  <c r="B624" i="127"/>
  <c r="C623" i="127"/>
  <c r="B623" i="127"/>
  <c r="C617" i="127"/>
  <c r="B617" i="127"/>
  <c r="Q613" i="127"/>
  <c r="Q611" i="127"/>
  <c r="Q610" i="127"/>
  <c r="Q609" i="127"/>
  <c r="C607" i="127"/>
  <c r="D619" i="127" s="1"/>
  <c r="B607" i="127"/>
  <c r="C606" i="127"/>
  <c r="B606" i="127"/>
  <c r="K602" i="127"/>
  <c r="E602" i="127"/>
  <c r="C599" i="127"/>
  <c r="Q597" i="127"/>
  <c r="T593" i="127" s="1"/>
  <c r="E349" i="81" s="1"/>
  <c r="Q595" i="127"/>
  <c r="C593" i="127"/>
  <c r="Q589" i="127"/>
  <c r="Q591" i="127" s="1"/>
  <c r="T587" i="127" s="1"/>
  <c r="E348" i="81" s="1"/>
  <c r="C587" i="127"/>
  <c r="E583" i="127"/>
  <c r="Q583" i="127" s="1"/>
  <c r="Q582" i="127"/>
  <c r="C580" i="127"/>
  <c r="Q576" i="127"/>
  <c r="Q574" i="127"/>
  <c r="Q573" i="127"/>
  <c r="Q572" i="127"/>
  <c r="Q570" i="127"/>
  <c r="Q569" i="127"/>
  <c r="Q568" i="127"/>
  <c r="C566" i="127"/>
  <c r="B566" i="127"/>
  <c r="C560" i="127"/>
  <c r="Q556" i="127"/>
  <c r="S556" i="127" s="1"/>
  <c r="D555" i="127"/>
  <c r="C553" i="127"/>
  <c r="S549" i="127"/>
  <c r="D546" i="127"/>
  <c r="C545" i="127"/>
  <c r="B545" i="127"/>
  <c r="C544" i="127"/>
  <c r="B544" i="127"/>
  <c r="S541" i="127"/>
  <c r="M540" i="127"/>
  <c r="S540" i="127" s="1"/>
  <c r="C538" i="127"/>
  <c r="D540" i="127" s="1"/>
  <c r="S535" i="127"/>
  <c r="C532" i="127"/>
  <c r="D534" i="127" s="1"/>
  <c r="D528" i="127"/>
  <c r="D527" i="127"/>
  <c r="D526" i="127"/>
  <c r="D525" i="127"/>
  <c r="D524" i="127"/>
  <c r="D523" i="127"/>
  <c r="D522" i="127"/>
  <c r="D521" i="127"/>
  <c r="K520" i="127"/>
  <c r="K521" i="127" s="1"/>
  <c r="Q521" i="127" s="1"/>
  <c r="T521" i="127" s="1"/>
  <c r="D520" i="127"/>
  <c r="E519" i="127"/>
  <c r="S519" i="127" s="1"/>
  <c r="T519" i="127" s="1"/>
  <c r="D519" i="127"/>
  <c r="C517" i="127"/>
  <c r="D653" i="127" s="1"/>
  <c r="Q513" i="127"/>
  <c r="K513" i="127"/>
  <c r="S513" i="127" s="1"/>
  <c r="S515" i="127" s="1"/>
  <c r="T511" i="127" s="1"/>
  <c r="C511" i="127"/>
  <c r="B511" i="127"/>
  <c r="C510" i="127"/>
  <c r="B510" i="127"/>
  <c r="E506" i="127"/>
  <c r="S506" i="127" s="1"/>
  <c r="C503" i="127"/>
  <c r="K499" i="127"/>
  <c r="E499" i="127"/>
  <c r="D499" i="127"/>
  <c r="E498" i="127"/>
  <c r="D498" i="127"/>
  <c r="C496" i="127"/>
  <c r="C487" i="127"/>
  <c r="C481" i="127"/>
  <c r="Q477" i="127"/>
  <c r="Q476" i="127"/>
  <c r="Q474" i="127"/>
  <c r="Q473" i="127"/>
  <c r="Q471" i="127"/>
  <c r="Q470" i="127"/>
  <c r="C467" i="127"/>
  <c r="W463" i="127"/>
  <c r="Q463" i="127"/>
  <c r="K462" i="127"/>
  <c r="Q462" i="127" s="1"/>
  <c r="Q461" i="127"/>
  <c r="Q460" i="127"/>
  <c r="Q459" i="127"/>
  <c r="Q457" i="127"/>
  <c r="E456" i="127"/>
  <c r="Q456" i="127" s="1"/>
  <c r="C453" i="127"/>
  <c r="B453" i="127"/>
  <c r="Q449" i="127"/>
  <c r="E448" i="127"/>
  <c r="Q448" i="127" s="1"/>
  <c r="C445" i="127"/>
  <c r="B445" i="127"/>
  <c r="C444" i="127"/>
  <c r="B444" i="127"/>
  <c r="W439" i="127"/>
  <c r="Q439" i="127"/>
  <c r="S439" i="127" s="1"/>
  <c r="W437" i="127"/>
  <c r="Q437" i="127"/>
  <c r="E437" i="127"/>
  <c r="C433" i="127"/>
  <c r="O429" i="127"/>
  <c r="K427" i="127"/>
  <c r="Q427" i="127" s="1"/>
  <c r="S425" i="127"/>
  <c r="C423" i="127"/>
  <c r="C422" i="127"/>
  <c r="G418" i="127"/>
  <c r="D418" i="127"/>
  <c r="M417" i="127"/>
  <c r="K417" i="127"/>
  <c r="E417" i="127"/>
  <c r="M416" i="127"/>
  <c r="G416" i="127"/>
  <c r="E416" i="127"/>
  <c r="M415" i="127"/>
  <c r="G415" i="127"/>
  <c r="C413" i="127"/>
  <c r="I409" i="127"/>
  <c r="E409" i="127"/>
  <c r="W408" i="127"/>
  <c r="I408" i="127"/>
  <c r="I407" i="127"/>
  <c r="E407" i="127"/>
  <c r="W406" i="127"/>
  <c r="I406" i="127"/>
  <c r="W405" i="127"/>
  <c r="Q405" i="127"/>
  <c r="Q406" i="127" s="1"/>
  <c r="Q407" i="127" s="1"/>
  <c r="I405" i="127"/>
  <c r="W404" i="127"/>
  <c r="Q404" i="127"/>
  <c r="I404" i="127"/>
  <c r="C401" i="127"/>
  <c r="O397" i="127"/>
  <c r="I395" i="127"/>
  <c r="E395" i="127"/>
  <c r="E408" i="127" s="1"/>
  <c r="S394" i="127"/>
  <c r="E393" i="127"/>
  <c r="E406" i="127" s="1"/>
  <c r="I392" i="127"/>
  <c r="S392" i="127" s="1"/>
  <c r="C390" i="127"/>
  <c r="C389" i="127"/>
  <c r="D601" i="127" s="1"/>
  <c r="M385" i="127"/>
  <c r="K385" i="127"/>
  <c r="M384" i="127"/>
  <c r="K384" i="127"/>
  <c r="M383" i="127"/>
  <c r="K383" i="127"/>
  <c r="C381" i="127"/>
  <c r="W377" i="127"/>
  <c r="K377" i="127" s="1"/>
  <c r="Q377" i="127"/>
  <c r="M377" i="127"/>
  <c r="E377" i="127"/>
  <c r="W376" i="127"/>
  <c r="K376" i="127" s="1"/>
  <c r="Q376" i="127"/>
  <c r="M376" i="127"/>
  <c r="E376" i="127"/>
  <c r="W375" i="127"/>
  <c r="K375" i="127" s="1"/>
  <c r="Q375" i="127"/>
  <c r="M375" i="127"/>
  <c r="E375" i="127"/>
  <c r="C373" i="127"/>
  <c r="Q369" i="127"/>
  <c r="M369" i="127"/>
  <c r="E369" i="127"/>
  <c r="Q368" i="127"/>
  <c r="E368" i="127"/>
  <c r="Q367" i="127"/>
  <c r="M367" i="127"/>
  <c r="M368" i="127" s="1"/>
  <c r="E367" i="127"/>
  <c r="Q364" i="127"/>
  <c r="M364" i="127"/>
  <c r="Q363" i="127"/>
  <c r="M363" i="127"/>
  <c r="E363" i="127"/>
  <c r="C360" i="127"/>
  <c r="O355" i="127"/>
  <c r="I351" i="127"/>
  <c r="G385" i="127" s="1"/>
  <c r="Q385" i="127" s="1"/>
  <c r="E351" i="127"/>
  <c r="E385" i="127" s="1"/>
  <c r="W409" i="127" s="1"/>
  <c r="I350" i="127"/>
  <c r="E350" i="127"/>
  <c r="E384" i="127" s="1"/>
  <c r="I349" i="127"/>
  <c r="G383" i="127" s="1"/>
  <c r="E349" i="127"/>
  <c r="E383" i="127" s="1"/>
  <c r="C347" i="127"/>
  <c r="C346" i="127"/>
  <c r="C338" i="127"/>
  <c r="W334" i="127"/>
  <c r="W333" i="127"/>
  <c r="O333" i="127"/>
  <c r="O334" i="127" s="1"/>
  <c r="K333" i="127"/>
  <c r="W332" i="127"/>
  <c r="K332" i="127" s="1"/>
  <c r="Q332" i="127"/>
  <c r="Q333" i="127" s="1"/>
  <c r="Q334" i="127" s="1"/>
  <c r="E332" i="127"/>
  <c r="E333" i="127" s="1"/>
  <c r="C330" i="127"/>
  <c r="M328" i="127"/>
  <c r="E328" i="127"/>
  <c r="E327" i="127"/>
  <c r="Q323" i="127"/>
  <c r="M323" i="127"/>
  <c r="M334" i="127" s="1"/>
  <c r="K342" i="127" s="1"/>
  <c r="E322" i="127"/>
  <c r="Q321" i="127"/>
  <c r="Q322" i="127" s="1"/>
  <c r="E321" i="127"/>
  <c r="Q320" i="127"/>
  <c r="M320" i="127"/>
  <c r="M321" i="127" s="1"/>
  <c r="M322" i="127" s="1"/>
  <c r="E319" i="127"/>
  <c r="E318" i="127"/>
  <c r="Q317" i="127"/>
  <c r="Q318" i="127" s="1"/>
  <c r="Q319" i="127" s="1"/>
  <c r="M317" i="127"/>
  <c r="M318" i="127" s="1"/>
  <c r="M319" i="127" s="1"/>
  <c r="E315" i="127"/>
  <c r="E314" i="127"/>
  <c r="Q313" i="127"/>
  <c r="Q314" i="127" s="1"/>
  <c r="Q315" i="127" s="1"/>
  <c r="M313" i="127"/>
  <c r="M314" i="127" s="1"/>
  <c r="E312" i="127"/>
  <c r="E311" i="127"/>
  <c r="Q310" i="127"/>
  <c r="Q311" i="127" s="1"/>
  <c r="Q312" i="127" s="1"/>
  <c r="M310" i="127"/>
  <c r="M311" i="127" s="1"/>
  <c r="E309" i="127"/>
  <c r="E308" i="127"/>
  <c r="Q307" i="127"/>
  <c r="Q308" i="127" s="1"/>
  <c r="Q309" i="127" s="1"/>
  <c r="M307" i="127"/>
  <c r="C305" i="127"/>
  <c r="O300" i="127"/>
  <c r="E296" i="127"/>
  <c r="E323" i="127" s="1"/>
  <c r="E342" i="127" s="1"/>
  <c r="E295" i="127"/>
  <c r="E294" i="127"/>
  <c r="E341" i="127" s="1"/>
  <c r="E293" i="127"/>
  <c r="E292" i="127"/>
  <c r="I291" i="127"/>
  <c r="I292" i="127" s="1"/>
  <c r="E291" i="127"/>
  <c r="E340" i="127" s="1"/>
  <c r="C289" i="127"/>
  <c r="C288" i="127"/>
  <c r="K284" i="127"/>
  <c r="C282" i="127"/>
  <c r="Q278" i="127"/>
  <c r="E278" i="127"/>
  <c r="Q277" i="127"/>
  <c r="E277" i="127"/>
  <c r="C275" i="127"/>
  <c r="Q271" i="127"/>
  <c r="E271" i="127"/>
  <c r="Q270" i="127"/>
  <c r="E270" i="127"/>
  <c r="Q269" i="127"/>
  <c r="M269" i="127"/>
  <c r="M270" i="127" s="1"/>
  <c r="C267" i="127"/>
  <c r="O262" i="127"/>
  <c r="I259" i="127"/>
  <c r="G284" i="127" s="1"/>
  <c r="E259" i="127"/>
  <c r="W277" i="127" s="1"/>
  <c r="K277" i="127" s="1"/>
  <c r="C257" i="127"/>
  <c r="C256" i="127"/>
  <c r="Q254" i="127"/>
  <c r="S254" i="127" s="1"/>
  <c r="T254" i="127" s="1"/>
  <c r="K254" i="127"/>
  <c r="S250" i="127"/>
  <c r="S248" i="127"/>
  <c r="C245" i="127"/>
  <c r="Q241" i="127"/>
  <c r="K241" i="127"/>
  <c r="I239" i="127"/>
  <c r="S239" i="127" s="1"/>
  <c r="T237" i="127" s="1"/>
  <c r="E298" i="81" s="1"/>
  <c r="C237" i="127"/>
  <c r="G233" i="127"/>
  <c r="C231" i="127"/>
  <c r="V227" i="127"/>
  <c r="W227" i="127" s="1"/>
  <c r="Q227" i="127"/>
  <c r="E227" i="127"/>
  <c r="V226" i="127"/>
  <c r="W226" i="127" s="1"/>
  <c r="K226" i="127" s="1"/>
  <c r="Q226" i="127"/>
  <c r="E226" i="127"/>
  <c r="C224" i="127"/>
  <c r="Q220" i="127"/>
  <c r="E220" i="127"/>
  <c r="C218" i="127"/>
  <c r="O213" i="127"/>
  <c r="O214" i="127" s="1"/>
  <c r="K211" i="127"/>
  <c r="I211" i="127"/>
  <c r="I233" i="127" s="1"/>
  <c r="C209" i="127"/>
  <c r="C208" i="127"/>
  <c r="D211" i="127" s="1"/>
  <c r="B208" i="127"/>
  <c r="C207" i="127"/>
  <c r="B207" i="127"/>
  <c r="I203" i="127"/>
  <c r="I202" i="127"/>
  <c r="C200" i="127"/>
  <c r="V196" i="127"/>
  <c r="K196" i="127" s="1"/>
  <c r="O196" i="127"/>
  <c r="M196" i="127"/>
  <c r="V195" i="127"/>
  <c r="K195" i="127" s="1"/>
  <c r="Q195" i="127"/>
  <c r="Q196" i="127" s="1"/>
  <c r="M195" i="127"/>
  <c r="E195" i="127"/>
  <c r="E196" i="127" s="1"/>
  <c r="C193" i="127"/>
  <c r="M189" i="127"/>
  <c r="E189" i="127"/>
  <c r="M188" i="127"/>
  <c r="E188" i="127"/>
  <c r="M186" i="127"/>
  <c r="E186" i="127"/>
  <c r="M185" i="127"/>
  <c r="E185" i="127"/>
  <c r="Q184" i="127"/>
  <c r="Q185" i="127" s="1"/>
  <c r="C182" i="127"/>
  <c r="O177" i="127"/>
  <c r="O178" i="127" s="1"/>
  <c r="E175" i="127"/>
  <c r="E203" i="127" s="1"/>
  <c r="E174" i="127"/>
  <c r="E202" i="127" s="1"/>
  <c r="C172" i="127"/>
  <c r="C171" i="127"/>
  <c r="I167" i="127"/>
  <c r="E167" i="127"/>
  <c r="C165" i="127"/>
  <c r="W161" i="127"/>
  <c r="V161" i="127"/>
  <c r="Q161" i="127"/>
  <c r="E161" i="127"/>
  <c r="V160" i="127"/>
  <c r="Q160" i="127"/>
  <c r="E160" i="127"/>
  <c r="C158" i="127"/>
  <c r="O154" i="127"/>
  <c r="C150" i="127"/>
  <c r="C149" i="127"/>
  <c r="D103" i="127" s="1"/>
  <c r="I145" i="127"/>
  <c r="E145" i="127"/>
  <c r="C143" i="127"/>
  <c r="Q139" i="127"/>
  <c r="Q138" i="127"/>
  <c r="E138" i="127"/>
  <c r="E139" i="127" s="1"/>
  <c r="W137" i="127"/>
  <c r="C136" i="127"/>
  <c r="O132" i="127"/>
  <c r="C128" i="127"/>
  <c r="C127" i="127"/>
  <c r="D102" i="127" s="1"/>
  <c r="E123" i="127"/>
  <c r="S123" i="127" s="1"/>
  <c r="S125" i="127" s="1"/>
  <c r="C121" i="127"/>
  <c r="B121" i="127"/>
  <c r="D114" i="127"/>
  <c r="C114" i="127"/>
  <c r="K110" i="127"/>
  <c r="K117" i="127" s="1"/>
  <c r="K109" i="127"/>
  <c r="K116" i="127" s="1"/>
  <c r="D107" i="127"/>
  <c r="C107" i="127"/>
  <c r="E103" i="127"/>
  <c r="E102" i="127"/>
  <c r="D100" i="127"/>
  <c r="C100" i="127"/>
  <c r="K96" i="127"/>
  <c r="K95" i="127"/>
  <c r="D93" i="127"/>
  <c r="C93" i="127"/>
  <c r="D91" i="127"/>
  <c r="C91" i="127"/>
  <c r="C90" i="127"/>
  <c r="B90" i="127"/>
  <c r="C89" i="127"/>
  <c r="B89" i="127"/>
  <c r="Q82" i="127"/>
  <c r="S82" i="127" s="1"/>
  <c r="Q81" i="127"/>
  <c r="Q548" i="127" s="1"/>
  <c r="D79" i="127"/>
  <c r="D73" i="127"/>
  <c r="C72" i="127"/>
  <c r="B72" i="127"/>
  <c r="J68" i="127"/>
  <c r="H68" i="127"/>
  <c r="G68" i="127"/>
  <c r="J67" i="127"/>
  <c r="H67" i="127"/>
  <c r="I65" i="127"/>
  <c r="G65" i="127"/>
  <c r="F65" i="127"/>
  <c r="F68" i="127" s="1"/>
  <c r="E65" i="127"/>
  <c r="E68" i="127" s="1"/>
  <c r="G64" i="127"/>
  <c r="G67" i="127" s="1"/>
  <c r="F64" i="127"/>
  <c r="F67" i="127" s="1"/>
  <c r="E64" i="127"/>
  <c r="E67" i="127" s="1"/>
  <c r="C61" i="127"/>
  <c r="C47" i="127"/>
  <c r="K43" i="127"/>
  <c r="K152" i="127" s="1"/>
  <c r="I43" i="127"/>
  <c r="K42" i="127"/>
  <c r="S42" i="127" s="1"/>
  <c r="C39" i="127"/>
  <c r="B39" i="127"/>
  <c r="Q35" i="127"/>
  <c r="S35" i="127" s="1"/>
  <c r="Q34" i="127"/>
  <c r="S34" i="127" s="1"/>
  <c r="Q33" i="127"/>
  <c r="S33" i="127" s="1"/>
  <c r="Q31" i="127"/>
  <c r="S31" i="127" s="1"/>
  <c r="Q30" i="127"/>
  <c r="S30" i="127" s="1"/>
  <c r="Q29" i="127"/>
  <c r="S29" i="127" s="1"/>
  <c r="C26" i="127"/>
  <c r="B26" i="127"/>
  <c r="C25" i="127"/>
  <c r="B25" i="127"/>
  <c r="C24" i="127"/>
  <c r="B24" i="127"/>
  <c r="C22" i="127"/>
  <c r="S19" i="127"/>
  <c r="S18" i="127"/>
  <c r="C15" i="127"/>
  <c r="E12" i="127"/>
  <c r="S12" i="127" s="1"/>
  <c r="E11" i="127"/>
  <c r="S11" i="127" s="1"/>
  <c r="D10" i="127"/>
  <c r="C8" i="127"/>
  <c r="B8" i="127"/>
  <c r="D3" i="127"/>
  <c r="B3" i="127"/>
  <c r="D2" i="127"/>
  <c r="B2" i="127"/>
  <c r="D1" i="127"/>
  <c r="B1" i="127"/>
  <c r="D521" i="126"/>
  <c r="B208" i="126"/>
  <c r="C207" i="126"/>
  <c r="B207" i="126"/>
  <c r="C6" i="126"/>
  <c r="B6" i="126"/>
  <c r="B342" i="81"/>
  <c r="B298" i="81"/>
  <c r="B235" i="81"/>
  <c r="B192" i="81"/>
  <c r="I30" i="61"/>
  <c r="H107" i="81"/>
  <c r="W106" i="81"/>
  <c r="W107" i="81" s="1"/>
  <c r="M526" i="80"/>
  <c r="G526" i="80"/>
  <c r="E526" i="80"/>
  <c r="G520" i="80"/>
  <c r="E520" i="80"/>
  <c r="S759" i="126"/>
  <c r="T759" i="126" s="1"/>
  <c r="D759" i="126"/>
  <c r="S758" i="126"/>
  <c r="T758" i="126" s="1"/>
  <c r="D758" i="126"/>
  <c r="S757" i="126"/>
  <c r="T757" i="126" s="1"/>
  <c r="D757" i="126"/>
  <c r="D756" i="126"/>
  <c r="S754" i="126"/>
  <c r="T754" i="126" s="1"/>
  <c r="D754" i="126"/>
  <c r="S753" i="126"/>
  <c r="T753" i="126" s="1"/>
  <c r="D753" i="126"/>
  <c r="S752" i="126"/>
  <c r="T752" i="126" s="1"/>
  <c r="D752" i="126"/>
  <c r="S751" i="126"/>
  <c r="T751" i="126" s="1"/>
  <c r="D751" i="126"/>
  <c r="S750" i="126"/>
  <c r="T750" i="126" s="1"/>
  <c r="D750" i="126"/>
  <c r="S749" i="126"/>
  <c r="T749" i="126" s="1"/>
  <c r="D749" i="126"/>
  <c r="S748" i="126"/>
  <c r="T748" i="126" s="1"/>
  <c r="D748" i="126"/>
  <c r="S747" i="126"/>
  <c r="T747" i="126" s="1"/>
  <c r="D747" i="126"/>
  <c r="D746" i="126"/>
  <c r="S744" i="126"/>
  <c r="T744" i="126" s="1"/>
  <c r="D744" i="126"/>
  <c r="S743" i="126"/>
  <c r="T743" i="126" s="1"/>
  <c r="D743" i="126"/>
  <c r="D742" i="126"/>
  <c r="S740" i="126"/>
  <c r="T740" i="126" s="1"/>
  <c r="D740" i="126"/>
  <c r="S739" i="126"/>
  <c r="T739" i="126" s="1"/>
  <c r="D739" i="126"/>
  <c r="S738" i="126"/>
  <c r="T738" i="126" s="1"/>
  <c r="D738" i="126"/>
  <c r="S737" i="126"/>
  <c r="T737" i="126" s="1"/>
  <c r="D737" i="126"/>
  <c r="D736" i="126"/>
  <c r="S734" i="126"/>
  <c r="T734" i="126" s="1"/>
  <c r="D734" i="126"/>
  <c r="S733" i="126"/>
  <c r="T733" i="126" s="1"/>
  <c r="D733" i="126"/>
  <c r="S732" i="126"/>
  <c r="T732" i="126" s="1"/>
  <c r="D732" i="126"/>
  <c r="D731" i="126"/>
  <c r="S729" i="126"/>
  <c r="T729" i="126" s="1"/>
  <c r="D729" i="126"/>
  <c r="S728" i="126"/>
  <c r="T728" i="126" s="1"/>
  <c r="D728" i="126"/>
  <c r="S727" i="126"/>
  <c r="T727" i="126" s="1"/>
  <c r="D727" i="126"/>
  <c r="S726" i="126"/>
  <c r="T726" i="126" s="1"/>
  <c r="D726" i="126"/>
  <c r="D725" i="126"/>
  <c r="C723" i="126"/>
  <c r="B723" i="126"/>
  <c r="W722" i="126"/>
  <c r="D720" i="126"/>
  <c r="S719" i="126"/>
  <c r="T719" i="126" s="1"/>
  <c r="D719" i="126"/>
  <c r="O718" i="126"/>
  <c r="E718" i="126"/>
  <c r="W717" i="126" s="1"/>
  <c r="Q717" i="126"/>
  <c r="Q718" i="126" s="1"/>
  <c r="E717" i="126"/>
  <c r="W718" i="126" s="1"/>
  <c r="D716" i="126"/>
  <c r="S715" i="126"/>
  <c r="T715" i="126" s="1"/>
  <c r="D715" i="126"/>
  <c r="S714" i="126"/>
  <c r="T714" i="126" s="1"/>
  <c r="D714" i="126"/>
  <c r="S713" i="126"/>
  <c r="T713" i="126" s="1"/>
  <c r="D713" i="126"/>
  <c r="D712" i="126"/>
  <c r="S710" i="126"/>
  <c r="T710" i="126" s="1"/>
  <c r="D710" i="126"/>
  <c r="G709" i="126"/>
  <c r="Q709" i="126" s="1"/>
  <c r="T709" i="126" s="1"/>
  <c r="D709" i="126"/>
  <c r="S708" i="126"/>
  <c r="T708" i="126" s="1"/>
  <c r="D708" i="126"/>
  <c r="S707" i="126"/>
  <c r="T707" i="126" s="1"/>
  <c r="D707" i="126"/>
  <c r="Q706" i="126"/>
  <c r="Q705" i="126"/>
  <c r="D704" i="126"/>
  <c r="W703" i="126"/>
  <c r="O703" i="126"/>
  <c r="W702" i="126"/>
  <c r="Q702" i="126"/>
  <c r="Q703" i="126" s="1"/>
  <c r="D701" i="126"/>
  <c r="O700" i="126"/>
  <c r="W699" i="126"/>
  <c r="Q699" i="126"/>
  <c r="Q700" i="126" s="1"/>
  <c r="W698" i="126"/>
  <c r="D697" i="126"/>
  <c r="I696" i="126"/>
  <c r="S696" i="126" s="1"/>
  <c r="S695" i="126"/>
  <c r="D694" i="126"/>
  <c r="D693" i="126"/>
  <c r="E692" i="126"/>
  <c r="Q692" i="126" s="1"/>
  <c r="E691" i="126"/>
  <c r="Q691" i="126" s="1"/>
  <c r="D690" i="126"/>
  <c r="S689" i="126"/>
  <c r="S688" i="126"/>
  <c r="D687" i="126"/>
  <c r="D686" i="126"/>
  <c r="S684" i="126"/>
  <c r="T684" i="126" s="1"/>
  <c r="D684" i="126"/>
  <c r="S683" i="126"/>
  <c r="T683" i="126" s="1"/>
  <c r="D683" i="126"/>
  <c r="S682" i="126"/>
  <c r="T682" i="126" s="1"/>
  <c r="D682" i="126"/>
  <c r="S680" i="126"/>
  <c r="T680" i="126" s="1"/>
  <c r="D680" i="126"/>
  <c r="S679" i="126"/>
  <c r="T679" i="126" s="1"/>
  <c r="D679" i="126"/>
  <c r="T678" i="126"/>
  <c r="K678" i="126"/>
  <c r="D678" i="126"/>
  <c r="D677" i="126"/>
  <c r="S675" i="126"/>
  <c r="T675" i="126" s="1"/>
  <c r="D675" i="126"/>
  <c r="S674" i="126"/>
  <c r="T674" i="126" s="1"/>
  <c r="D674" i="126"/>
  <c r="D673" i="126"/>
  <c r="S671" i="126"/>
  <c r="T671" i="126" s="1"/>
  <c r="D671" i="126"/>
  <c r="S670" i="126"/>
  <c r="T670" i="126" s="1"/>
  <c r="D670" i="126"/>
  <c r="S669" i="126"/>
  <c r="T669" i="126" s="1"/>
  <c r="D669" i="126"/>
  <c r="S668" i="126"/>
  <c r="T668" i="126" s="1"/>
  <c r="D668" i="126"/>
  <c r="S667" i="126"/>
  <c r="T667" i="126" s="1"/>
  <c r="D667" i="126"/>
  <c r="S666" i="126"/>
  <c r="T666" i="126" s="1"/>
  <c r="D666" i="126"/>
  <c r="S665" i="126"/>
  <c r="T665" i="126" s="1"/>
  <c r="D665" i="126"/>
  <c r="S664" i="126"/>
  <c r="T664" i="126" s="1"/>
  <c r="D664" i="126"/>
  <c r="S663" i="126"/>
  <c r="T663" i="126" s="1"/>
  <c r="D663" i="126"/>
  <c r="S662" i="126"/>
  <c r="T662" i="126" s="1"/>
  <c r="D662" i="126"/>
  <c r="S660" i="126"/>
  <c r="T660" i="126" s="1"/>
  <c r="D660" i="126"/>
  <c r="C658" i="126"/>
  <c r="B658" i="126"/>
  <c r="E654" i="126"/>
  <c r="Q654" i="126" s="1"/>
  <c r="E653" i="126"/>
  <c r="Q653" i="126" s="1"/>
  <c r="C649" i="126"/>
  <c r="B649" i="126"/>
  <c r="C642" i="126"/>
  <c r="B642" i="126"/>
  <c r="C636" i="126"/>
  <c r="B636" i="126"/>
  <c r="Q632" i="126"/>
  <c r="D632" i="126"/>
  <c r="K631" i="126"/>
  <c r="Q631" i="126" s="1"/>
  <c r="D631" i="126"/>
  <c r="Q630" i="126"/>
  <c r="D630" i="126"/>
  <c r="Q629" i="126"/>
  <c r="D629" i="126"/>
  <c r="Q627" i="126"/>
  <c r="Q626" i="126"/>
  <c r="C624" i="126"/>
  <c r="B624" i="126"/>
  <c r="C623" i="126"/>
  <c r="B623" i="126"/>
  <c r="C617" i="126"/>
  <c r="B617" i="126"/>
  <c r="Q613" i="126"/>
  <c r="Q611" i="126"/>
  <c r="Q610" i="126"/>
  <c r="Q609" i="126"/>
  <c r="C607" i="126"/>
  <c r="D619" i="126" s="1"/>
  <c r="B607" i="126"/>
  <c r="C606" i="126"/>
  <c r="B606" i="126"/>
  <c r="K602" i="126"/>
  <c r="E602" i="126"/>
  <c r="C599" i="126"/>
  <c r="Q595" i="126"/>
  <c r="Q597" i="126" s="1"/>
  <c r="T593" i="126" s="1"/>
  <c r="C593" i="126"/>
  <c r="Q589" i="126"/>
  <c r="Q591" i="126" s="1"/>
  <c r="T587" i="126" s="1"/>
  <c r="C587" i="126"/>
  <c r="E583" i="126"/>
  <c r="Q583" i="126" s="1"/>
  <c r="Q582" i="126"/>
  <c r="C580" i="126"/>
  <c r="Q576" i="126"/>
  <c r="Q574" i="126"/>
  <c r="Q573" i="126"/>
  <c r="Q572" i="126"/>
  <c r="Q570" i="126"/>
  <c r="Q569" i="126"/>
  <c r="Q568" i="126"/>
  <c r="C566" i="126"/>
  <c r="C560" i="126"/>
  <c r="Q556" i="126"/>
  <c r="S556" i="126" s="1"/>
  <c r="D555" i="126"/>
  <c r="C553" i="126"/>
  <c r="S549" i="126"/>
  <c r="D546" i="126"/>
  <c r="C545" i="126"/>
  <c r="B545" i="126"/>
  <c r="C544" i="126"/>
  <c r="B544" i="126"/>
  <c r="S541" i="126"/>
  <c r="M540" i="126"/>
  <c r="S540" i="126" s="1"/>
  <c r="C538" i="126"/>
  <c r="D540" i="126" s="1"/>
  <c r="S535" i="126"/>
  <c r="C532" i="126"/>
  <c r="D534" i="126" s="1"/>
  <c r="D528" i="126"/>
  <c r="D527" i="126"/>
  <c r="D526" i="126"/>
  <c r="D525" i="126"/>
  <c r="D524" i="126"/>
  <c r="D523" i="126"/>
  <c r="D522" i="126"/>
  <c r="D520" i="126"/>
  <c r="K520" i="126"/>
  <c r="Q520" i="126" s="1"/>
  <c r="T520" i="126" s="1"/>
  <c r="E519" i="126"/>
  <c r="D519" i="126"/>
  <c r="C517" i="126"/>
  <c r="D653" i="126" s="1"/>
  <c r="Q513" i="126"/>
  <c r="K513" i="126"/>
  <c r="S513" i="126" s="1"/>
  <c r="S515" i="126" s="1"/>
  <c r="T511" i="126" s="1"/>
  <c r="C511" i="126"/>
  <c r="B511" i="126"/>
  <c r="C510" i="126"/>
  <c r="B510" i="126"/>
  <c r="E506" i="126"/>
  <c r="S506" i="126" s="1"/>
  <c r="C503" i="126"/>
  <c r="K499" i="126"/>
  <c r="E499" i="126"/>
  <c r="D499" i="126"/>
  <c r="E498" i="126"/>
  <c r="D498" i="126"/>
  <c r="C496" i="126"/>
  <c r="C487" i="126"/>
  <c r="C481" i="126"/>
  <c r="Q477" i="126"/>
  <c r="Q476" i="126"/>
  <c r="Q474" i="126"/>
  <c r="Q473" i="126"/>
  <c r="Q471" i="126"/>
  <c r="Q470" i="126"/>
  <c r="C467" i="126"/>
  <c r="W463" i="126"/>
  <c r="Q463" i="126"/>
  <c r="K462" i="126"/>
  <c r="M534" i="126" s="1"/>
  <c r="S534" i="126" s="1"/>
  <c r="Q461" i="126"/>
  <c r="Q460" i="126"/>
  <c r="Q459" i="126"/>
  <c r="Q457" i="126"/>
  <c r="E456" i="126"/>
  <c r="Q456" i="126" s="1"/>
  <c r="C453" i="126"/>
  <c r="Q449" i="126"/>
  <c r="E448" i="126"/>
  <c r="Q448" i="126" s="1"/>
  <c r="C445" i="126"/>
  <c r="B445" i="126"/>
  <c r="C444" i="126"/>
  <c r="B444" i="126"/>
  <c r="W439" i="126"/>
  <c r="Q439" i="126"/>
  <c r="S439" i="126" s="1"/>
  <c r="W437" i="126"/>
  <c r="Q437" i="126"/>
  <c r="E437" i="126"/>
  <c r="C433" i="126"/>
  <c r="O429" i="126"/>
  <c r="K427" i="126"/>
  <c r="S427" i="126" s="1"/>
  <c r="S425" i="126"/>
  <c r="C423" i="126"/>
  <c r="C422" i="126"/>
  <c r="G418" i="126"/>
  <c r="D418" i="126"/>
  <c r="M417" i="126"/>
  <c r="K417" i="126"/>
  <c r="E417" i="126"/>
  <c r="M416" i="126"/>
  <c r="G416" i="126"/>
  <c r="E416" i="126"/>
  <c r="M415" i="126"/>
  <c r="G415" i="126"/>
  <c r="C413" i="126"/>
  <c r="I409" i="126"/>
  <c r="E409" i="126"/>
  <c r="W408" i="126"/>
  <c r="I408" i="126"/>
  <c r="I407" i="126"/>
  <c r="E407" i="126"/>
  <c r="W406" i="126"/>
  <c r="I406" i="126"/>
  <c r="W405" i="126"/>
  <c r="Q405" i="126"/>
  <c r="I405" i="126"/>
  <c r="W404" i="126"/>
  <c r="Q404" i="126"/>
  <c r="I404" i="126"/>
  <c r="C401" i="126"/>
  <c r="O397" i="126"/>
  <c r="I395" i="126"/>
  <c r="E395" i="126"/>
  <c r="I418" i="126" s="1"/>
  <c r="S394" i="126"/>
  <c r="E393" i="126"/>
  <c r="E415" i="126" s="1"/>
  <c r="I392" i="126"/>
  <c r="S392" i="126" s="1"/>
  <c r="C390" i="126"/>
  <c r="C389" i="126"/>
  <c r="D601" i="126" s="1"/>
  <c r="M385" i="126"/>
  <c r="K385" i="126"/>
  <c r="M384" i="126"/>
  <c r="K384" i="126"/>
  <c r="M383" i="126"/>
  <c r="K383" i="126"/>
  <c r="C381" i="126"/>
  <c r="W377" i="126"/>
  <c r="K377" i="126" s="1"/>
  <c r="Q377" i="126"/>
  <c r="M377" i="126"/>
  <c r="E377" i="126"/>
  <c r="W376" i="126"/>
  <c r="K376" i="126" s="1"/>
  <c r="Q376" i="126"/>
  <c r="M376" i="126"/>
  <c r="E376" i="126"/>
  <c r="W375" i="126"/>
  <c r="K375" i="126" s="1"/>
  <c r="Q375" i="126"/>
  <c r="M375" i="126"/>
  <c r="E375" i="126"/>
  <c r="C373" i="126"/>
  <c r="Q369" i="126"/>
  <c r="M369" i="126"/>
  <c r="E369" i="126"/>
  <c r="Q368" i="126"/>
  <c r="E368" i="126"/>
  <c r="Q367" i="126"/>
  <c r="M367" i="126"/>
  <c r="M368" i="126" s="1"/>
  <c r="E367" i="126"/>
  <c r="Q364" i="126"/>
  <c r="M364" i="126"/>
  <c r="Q363" i="126"/>
  <c r="M363" i="126"/>
  <c r="E363" i="126"/>
  <c r="C360" i="126"/>
  <c r="O355" i="126"/>
  <c r="I351" i="126"/>
  <c r="G385" i="126" s="1"/>
  <c r="E351" i="126"/>
  <c r="E385" i="126" s="1"/>
  <c r="W409" i="126" s="1"/>
  <c r="I350" i="126"/>
  <c r="G384" i="126" s="1"/>
  <c r="E350" i="126"/>
  <c r="E384" i="126" s="1"/>
  <c r="I349" i="126"/>
  <c r="G383" i="126" s="1"/>
  <c r="E349" i="126"/>
  <c r="C347" i="126"/>
  <c r="C346" i="126"/>
  <c r="C338" i="126"/>
  <c r="W334" i="126"/>
  <c r="W333" i="126"/>
  <c r="K333" i="126" s="1"/>
  <c r="O333" i="126"/>
  <c r="O334" i="126" s="1"/>
  <c r="W332" i="126"/>
  <c r="K332" i="126" s="1"/>
  <c r="Q332" i="126"/>
  <c r="Q333" i="126" s="1"/>
  <c r="Q334" i="126" s="1"/>
  <c r="E332" i="126"/>
  <c r="E333" i="126" s="1"/>
  <c r="E334" i="126" s="1"/>
  <c r="C330" i="126"/>
  <c r="M328" i="126"/>
  <c r="E328" i="126"/>
  <c r="E327" i="126"/>
  <c r="Q323" i="126"/>
  <c r="M323" i="126"/>
  <c r="M334" i="126" s="1"/>
  <c r="K342" i="126" s="1"/>
  <c r="E322" i="126"/>
  <c r="E321" i="126"/>
  <c r="Q320" i="126"/>
  <c r="Q321" i="126" s="1"/>
  <c r="Q322" i="126" s="1"/>
  <c r="M320" i="126"/>
  <c r="E319" i="126"/>
  <c r="E318" i="126"/>
  <c r="Q317" i="126"/>
  <c r="Q318" i="126" s="1"/>
  <c r="Q319" i="126" s="1"/>
  <c r="M317" i="126"/>
  <c r="E315" i="126"/>
  <c r="E314" i="126"/>
  <c r="Q313" i="126"/>
  <c r="Q314" i="126" s="1"/>
  <c r="Q315" i="126" s="1"/>
  <c r="M313" i="126"/>
  <c r="M314" i="126" s="1"/>
  <c r="M315" i="126" s="1"/>
  <c r="E312" i="126"/>
  <c r="E311" i="126"/>
  <c r="Q310" i="126"/>
  <c r="Q311" i="126" s="1"/>
  <c r="Q312" i="126" s="1"/>
  <c r="M310" i="126"/>
  <c r="M311" i="126" s="1"/>
  <c r="E309" i="126"/>
  <c r="E308" i="126"/>
  <c r="Q307" i="126"/>
  <c r="Q308" i="126" s="1"/>
  <c r="M307" i="126"/>
  <c r="M308" i="126" s="1"/>
  <c r="C305" i="126"/>
  <c r="O300" i="126"/>
  <c r="E296" i="126"/>
  <c r="E323" i="126" s="1"/>
  <c r="E295" i="126"/>
  <c r="E294" i="126"/>
  <c r="E341" i="126" s="1"/>
  <c r="E293" i="126"/>
  <c r="E292" i="126"/>
  <c r="I291" i="126"/>
  <c r="I292" i="126" s="1"/>
  <c r="I293" i="126" s="1"/>
  <c r="I294" i="126" s="1"/>
  <c r="E291" i="126"/>
  <c r="E340" i="126" s="1"/>
  <c r="C289" i="126"/>
  <c r="C288" i="126"/>
  <c r="K284" i="126"/>
  <c r="C282" i="126"/>
  <c r="Q278" i="126"/>
  <c r="E278" i="126"/>
  <c r="Q277" i="126"/>
  <c r="E277" i="126"/>
  <c r="C275" i="126"/>
  <c r="Q271" i="126"/>
  <c r="E271" i="126"/>
  <c r="Q270" i="126"/>
  <c r="E270" i="126"/>
  <c r="Q269" i="126"/>
  <c r="M269" i="126"/>
  <c r="M270" i="126" s="1"/>
  <c r="C267" i="126"/>
  <c r="O262" i="126"/>
  <c r="I259" i="126"/>
  <c r="G284" i="126" s="1"/>
  <c r="E259" i="126"/>
  <c r="W277" i="126" s="1"/>
  <c r="K277" i="126" s="1"/>
  <c r="C257" i="126"/>
  <c r="C256" i="126"/>
  <c r="Q254" i="126"/>
  <c r="K254" i="126"/>
  <c r="S250" i="126"/>
  <c r="S248" i="126"/>
  <c r="C245" i="126"/>
  <c r="Q241" i="126"/>
  <c r="K241" i="126"/>
  <c r="I239" i="126"/>
  <c r="S239" i="126" s="1"/>
  <c r="T237" i="126" s="1"/>
  <c r="E192" i="81" s="1"/>
  <c r="C237" i="126"/>
  <c r="G233" i="126"/>
  <c r="C231" i="126"/>
  <c r="V227" i="126"/>
  <c r="W227" i="126" s="1"/>
  <c r="Q227" i="126"/>
  <c r="E227" i="126"/>
  <c r="V226" i="126"/>
  <c r="W226" i="126" s="1"/>
  <c r="K226" i="126" s="1"/>
  <c r="Q226" i="126"/>
  <c r="E226" i="126"/>
  <c r="C224" i="126"/>
  <c r="Q220" i="126"/>
  <c r="E220" i="126"/>
  <c r="C218" i="126"/>
  <c r="O213" i="126"/>
  <c r="O214" i="126" s="1"/>
  <c r="K211" i="126"/>
  <c r="M220" i="126" s="1"/>
  <c r="I211" i="126"/>
  <c r="I233" i="126" s="1"/>
  <c r="C209" i="126"/>
  <c r="C208" i="126"/>
  <c r="D211" i="126" s="1"/>
  <c r="I203" i="126"/>
  <c r="I202" i="126"/>
  <c r="C200" i="126"/>
  <c r="V196" i="126"/>
  <c r="K196" i="126" s="1"/>
  <c r="O196" i="126"/>
  <c r="M196" i="126"/>
  <c r="V195" i="126"/>
  <c r="K195" i="126" s="1"/>
  <c r="Q195" i="126"/>
  <c r="Q196" i="126" s="1"/>
  <c r="M195" i="126"/>
  <c r="E195" i="126"/>
  <c r="E196" i="126" s="1"/>
  <c r="C193" i="126"/>
  <c r="M189" i="126"/>
  <c r="E189" i="126"/>
  <c r="M188" i="126"/>
  <c r="E188" i="126"/>
  <c r="M186" i="126"/>
  <c r="E186" i="126"/>
  <c r="M185" i="126"/>
  <c r="E185" i="126"/>
  <c r="Q184" i="126"/>
  <c r="Q186" i="126" s="1"/>
  <c r="Q187" i="126" s="1"/>
  <c r="C182" i="126"/>
  <c r="O177" i="126"/>
  <c r="O178" i="126" s="1"/>
  <c r="E175" i="126"/>
  <c r="E203" i="126" s="1"/>
  <c r="E174" i="126"/>
  <c r="S174" i="126" s="1"/>
  <c r="C172" i="126"/>
  <c r="C171" i="126"/>
  <c r="I167" i="126"/>
  <c r="E167" i="126"/>
  <c r="C165" i="126"/>
  <c r="W161" i="126"/>
  <c r="V161" i="126"/>
  <c r="Q161" i="126"/>
  <c r="E161" i="126"/>
  <c r="V160" i="126"/>
  <c r="Q160" i="126"/>
  <c r="E160" i="126"/>
  <c r="C158" i="126"/>
  <c r="O154" i="126"/>
  <c r="C150" i="126"/>
  <c r="C149" i="126"/>
  <c r="D103" i="126" s="1"/>
  <c r="I145" i="126"/>
  <c r="E145" i="126"/>
  <c r="C143" i="126"/>
  <c r="Q139" i="126"/>
  <c r="Q138" i="126"/>
  <c r="E138" i="126"/>
  <c r="E139" i="126" s="1"/>
  <c r="W137" i="126"/>
  <c r="C136" i="126"/>
  <c r="O132" i="126"/>
  <c r="C128" i="126"/>
  <c r="C127" i="126"/>
  <c r="D50" i="126" s="1"/>
  <c r="E123" i="126"/>
  <c r="S123" i="126" s="1"/>
  <c r="S125" i="126" s="1"/>
  <c r="C121" i="126"/>
  <c r="B121" i="126"/>
  <c r="D114" i="126"/>
  <c r="C114" i="126"/>
  <c r="K110" i="126"/>
  <c r="K117" i="126" s="1"/>
  <c r="K109" i="126"/>
  <c r="K116" i="126" s="1"/>
  <c r="D107" i="126"/>
  <c r="C107" i="126"/>
  <c r="E103" i="126"/>
  <c r="E102" i="126"/>
  <c r="D100" i="126"/>
  <c r="C100" i="126"/>
  <c r="K96" i="126"/>
  <c r="K95" i="126"/>
  <c r="D93" i="126"/>
  <c r="C93" i="126"/>
  <c r="D91" i="126"/>
  <c r="C91" i="126"/>
  <c r="C90" i="126"/>
  <c r="B90" i="126"/>
  <c r="C89" i="126"/>
  <c r="B89" i="126"/>
  <c r="Q82" i="126"/>
  <c r="S82" i="126" s="1"/>
  <c r="Q81" i="126"/>
  <c r="Q548" i="126" s="1"/>
  <c r="D79" i="126"/>
  <c r="D73" i="126"/>
  <c r="C72" i="126"/>
  <c r="B72" i="126"/>
  <c r="J68" i="126"/>
  <c r="H68" i="126"/>
  <c r="J67" i="126"/>
  <c r="H67" i="126"/>
  <c r="I65" i="126"/>
  <c r="G65" i="126"/>
  <c r="G68" i="126" s="1"/>
  <c r="F65" i="126"/>
  <c r="F68" i="126" s="1"/>
  <c r="E65" i="126"/>
  <c r="E68" i="126" s="1"/>
  <c r="G64" i="126"/>
  <c r="G67" i="126" s="1"/>
  <c r="F64" i="126"/>
  <c r="F67" i="126" s="1"/>
  <c r="E64" i="126"/>
  <c r="E67" i="126" s="1"/>
  <c r="C61" i="126"/>
  <c r="C47" i="126"/>
  <c r="K43" i="126"/>
  <c r="K152" i="126" s="1"/>
  <c r="M167" i="126" s="1"/>
  <c r="I43" i="126"/>
  <c r="K42" i="126"/>
  <c r="K130" i="126" s="1"/>
  <c r="C39" i="126"/>
  <c r="Q35" i="126"/>
  <c r="S35" i="126" s="1"/>
  <c r="Q34" i="126"/>
  <c r="S34" i="126" s="1"/>
  <c r="Q33" i="126"/>
  <c r="S33" i="126" s="1"/>
  <c r="Q31" i="126"/>
  <c r="S31" i="126" s="1"/>
  <c r="Q30" i="126"/>
  <c r="S30" i="126" s="1"/>
  <c r="Q29" i="126"/>
  <c r="S29" i="126" s="1"/>
  <c r="C26" i="126"/>
  <c r="B26" i="126"/>
  <c r="C25" i="126"/>
  <c r="B25" i="126"/>
  <c r="C24" i="126"/>
  <c r="B24" i="126"/>
  <c r="C22" i="126"/>
  <c r="S19" i="126"/>
  <c r="S18" i="126"/>
  <c r="C15" i="126"/>
  <c r="E12" i="126"/>
  <c r="S12" i="126" s="1"/>
  <c r="E11" i="126"/>
  <c r="S11" i="126" s="1"/>
  <c r="D10" i="126"/>
  <c r="C8" i="126"/>
  <c r="B8" i="126"/>
  <c r="D3" i="126"/>
  <c r="B3" i="126"/>
  <c r="D2" i="126"/>
  <c r="B2" i="126"/>
  <c r="D1" i="126"/>
  <c r="B1" i="126"/>
  <c r="E640" i="80"/>
  <c r="Q640" i="80" s="1"/>
  <c r="E639" i="80"/>
  <c r="Q618" i="80"/>
  <c r="K617" i="80"/>
  <c r="Q617" i="80" s="1"/>
  <c r="Q616" i="80"/>
  <c r="Q615" i="80"/>
  <c r="D618" i="80"/>
  <c r="D617" i="80"/>
  <c r="D616" i="80"/>
  <c r="D615" i="80"/>
  <c r="Q613" i="80"/>
  <c r="Q596" i="80"/>
  <c r="Q597" i="80"/>
  <c r="Q595" i="80"/>
  <c r="Q599" i="80"/>
  <c r="C579" i="80"/>
  <c r="Q581" i="80"/>
  <c r="Q583" i="80" s="1"/>
  <c r="T579" i="80" s="1"/>
  <c r="E114" i="81" s="1"/>
  <c r="Q575" i="80"/>
  <c r="E569" i="80"/>
  <c r="Q560" i="80"/>
  <c r="Q558" i="80"/>
  <c r="Q556" i="80"/>
  <c r="Q555" i="80"/>
  <c r="Q554" i="80"/>
  <c r="K499" i="80"/>
  <c r="S499" i="80" s="1"/>
  <c r="Q499" i="80"/>
  <c r="E492" i="80"/>
  <c r="E484" i="80"/>
  <c r="K448" i="80"/>
  <c r="K484" i="80" s="1"/>
  <c r="Q443" i="80"/>
  <c r="E442" i="80"/>
  <c r="Q442" i="80" s="1"/>
  <c r="E434" i="80"/>
  <c r="W423" i="80"/>
  <c r="W425" i="80"/>
  <c r="E423" i="80"/>
  <c r="K413" i="80"/>
  <c r="G404" i="80"/>
  <c r="M403" i="80"/>
  <c r="K403" i="80"/>
  <c r="E403" i="80"/>
  <c r="M401" i="80"/>
  <c r="M402" i="80"/>
  <c r="E395" i="80"/>
  <c r="I395" i="80"/>
  <c r="W394" i="80"/>
  <c r="I394" i="80"/>
  <c r="E393" i="80"/>
  <c r="I393" i="80"/>
  <c r="W392" i="80"/>
  <c r="Q391" i="80"/>
  <c r="Q392" i="80" s="1"/>
  <c r="Q393" i="80" s="1"/>
  <c r="Q390" i="80"/>
  <c r="W390" i="80"/>
  <c r="I390" i="80"/>
  <c r="I381" i="80"/>
  <c r="E379" i="80"/>
  <c r="E491" i="80" s="1"/>
  <c r="M371" i="80"/>
  <c r="K371" i="80"/>
  <c r="M370" i="80"/>
  <c r="K370" i="80"/>
  <c r="M369" i="80"/>
  <c r="K369" i="80"/>
  <c r="W363" i="80"/>
  <c r="K363" i="80" s="1"/>
  <c r="Q363" i="80"/>
  <c r="M363" i="80"/>
  <c r="E363" i="80"/>
  <c r="W362" i="80"/>
  <c r="K362" i="80" s="1"/>
  <c r="Q362" i="80"/>
  <c r="M362" i="80"/>
  <c r="E362" i="80"/>
  <c r="M361" i="80"/>
  <c r="W361" i="80"/>
  <c r="K361" i="80" s="1"/>
  <c r="E361" i="80"/>
  <c r="M355" i="80"/>
  <c r="Q355" i="80"/>
  <c r="E355" i="80"/>
  <c r="E354" i="80"/>
  <c r="E353" i="80"/>
  <c r="M353" i="80"/>
  <c r="M354" i="80" s="1"/>
  <c r="Q354" i="80"/>
  <c r="Q353" i="80"/>
  <c r="E314" i="80"/>
  <c r="E313" i="80"/>
  <c r="M314" i="80"/>
  <c r="E349" i="80"/>
  <c r="Q350" i="80"/>
  <c r="M350" i="80"/>
  <c r="Q349" i="80"/>
  <c r="M349" i="80"/>
  <c r="E337" i="80"/>
  <c r="I337" i="80"/>
  <c r="G371" i="80" s="1"/>
  <c r="I336" i="80"/>
  <c r="G370" i="80" s="1"/>
  <c r="E336" i="80"/>
  <c r="E370" i="80" s="1"/>
  <c r="I335" i="80"/>
  <c r="G369" i="80" s="1"/>
  <c r="E335" i="80"/>
  <c r="W320" i="80"/>
  <c r="E282" i="80"/>
  <c r="I277" i="80"/>
  <c r="I278" i="80" s="1"/>
  <c r="I279" i="80" s="1"/>
  <c r="I280" i="80" s="1"/>
  <c r="G327" i="80" s="1"/>
  <c r="G326" i="80" s="1"/>
  <c r="W319" i="80"/>
  <c r="K319" i="80" s="1"/>
  <c r="W318" i="80"/>
  <c r="K318" i="80" s="1"/>
  <c r="E318" i="80"/>
  <c r="E294" i="80"/>
  <c r="M309" i="80"/>
  <c r="M320" i="80" s="1"/>
  <c r="K328" i="80" s="1"/>
  <c r="M306" i="80"/>
  <c r="M307" i="80" s="1"/>
  <c r="M308" i="80" s="1"/>
  <c r="Q309" i="80"/>
  <c r="E308" i="80"/>
  <c r="E307" i="80"/>
  <c r="Q306" i="80"/>
  <c r="Q307" i="80" s="1"/>
  <c r="Q308" i="80" s="1"/>
  <c r="M303" i="80"/>
  <c r="E305" i="80"/>
  <c r="E304" i="80"/>
  <c r="Q303" i="80"/>
  <c r="Q304" i="80" s="1"/>
  <c r="Q305" i="80" s="1"/>
  <c r="M299" i="80"/>
  <c r="M300" i="80" s="1"/>
  <c r="M301" i="80" s="1"/>
  <c r="E301" i="80"/>
  <c r="E300" i="80"/>
  <c r="Q299" i="80"/>
  <c r="Q300" i="80" s="1"/>
  <c r="Q301" i="80" s="1"/>
  <c r="M296" i="80"/>
  <c r="M293" i="80"/>
  <c r="E298" i="80"/>
  <c r="E297" i="80"/>
  <c r="Q296" i="80"/>
  <c r="Q297" i="80" s="1"/>
  <c r="Q298" i="80" s="1"/>
  <c r="Q293" i="80"/>
  <c r="Q294" i="80" s="1"/>
  <c r="Q295" i="80" s="1"/>
  <c r="E295" i="80"/>
  <c r="E281" i="80"/>
  <c r="E280" i="80"/>
  <c r="E279" i="80"/>
  <c r="E278" i="80"/>
  <c r="E277" i="80"/>
  <c r="E326" i="80" s="1"/>
  <c r="M255" i="80"/>
  <c r="M256" i="80" s="1"/>
  <c r="M257" i="80" s="1"/>
  <c r="K270" i="80"/>
  <c r="Q264" i="80"/>
  <c r="E264" i="80"/>
  <c r="E263" i="80"/>
  <c r="Q257" i="80"/>
  <c r="E257" i="80"/>
  <c r="E256" i="80"/>
  <c r="E172" i="80"/>
  <c r="Q255" i="80"/>
  <c r="E245" i="80"/>
  <c r="W264" i="80" s="1"/>
  <c r="K264" i="80" s="1"/>
  <c r="K240" i="80"/>
  <c r="S234" i="80"/>
  <c r="I225" i="80"/>
  <c r="V213" i="80"/>
  <c r="W213" i="80" s="1"/>
  <c r="Q213" i="80"/>
  <c r="E213" i="80"/>
  <c r="V212" i="80"/>
  <c r="G219" i="80"/>
  <c r="S252" i="127" l="1"/>
  <c r="T245" i="127" s="1"/>
  <c r="E299" i="81" s="1"/>
  <c r="Q202" i="127"/>
  <c r="Q205" i="127" s="1"/>
  <c r="T200" i="127" s="1"/>
  <c r="S185" i="127"/>
  <c r="S375" i="127"/>
  <c r="Q417" i="127"/>
  <c r="S437" i="127"/>
  <c r="S441" i="127" s="1"/>
  <c r="K429" i="127" s="1"/>
  <c r="S429" i="127" s="1"/>
  <c r="S431" i="127" s="1"/>
  <c r="T423" i="127" s="1"/>
  <c r="E320" i="81" s="1"/>
  <c r="E407" i="81" s="1"/>
  <c r="S43" i="126"/>
  <c r="S45" i="126" s="1"/>
  <c r="S367" i="127"/>
  <c r="S376" i="127"/>
  <c r="Q451" i="127"/>
  <c r="Q479" i="127"/>
  <c r="W278" i="126"/>
  <c r="K278" i="126" s="1"/>
  <c r="S368" i="126"/>
  <c r="S703" i="126"/>
  <c r="S270" i="127"/>
  <c r="Q585" i="127"/>
  <c r="T580" i="127" s="1"/>
  <c r="Q602" i="127"/>
  <c r="Q604" i="127" s="1"/>
  <c r="T599" i="127" s="1"/>
  <c r="E350" i="81" s="1"/>
  <c r="S307" i="127"/>
  <c r="S363" i="127"/>
  <c r="S542" i="127"/>
  <c r="T538" i="127" s="1"/>
  <c r="S377" i="127"/>
  <c r="E415" i="127"/>
  <c r="Q415" i="127" s="1"/>
  <c r="K492" i="127" s="1"/>
  <c r="Q492" i="127" s="1"/>
  <c r="Q645" i="127" s="1"/>
  <c r="S703" i="127"/>
  <c r="S700" i="126"/>
  <c r="Q203" i="127"/>
  <c r="S350" i="127"/>
  <c r="S687" i="127"/>
  <c r="T687" i="127" s="1"/>
  <c r="S310" i="127"/>
  <c r="K498" i="127"/>
  <c r="S498" i="127" s="1"/>
  <c r="Q704" i="127"/>
  <c r="T704" i="127" s="1"/>
  <c r="S349" i="126"/>
  <c r="Q418" i="126"/>
  <c r="Q704" i="126"/>
  <c r="T704" i="126" s="1"/>
  <c r="S321" i="127"/>
  <c r="S694" i="127"/>
  <c r="T694" i="127" s="1"/>
  <c r="S20" i="126"/>
  <c r="T15" i="126" s="1"/>
  <c r="S241" i="127"/>
  <c r="T241" i="127" s="1"/>
  <c r="S277" i="127"/>
  <c r="S292" i="127"/>
  <c r="S311" i="127"/>
  <c r="S368" i="127"/>
  <c r="S404" i="127"/>
  <c r="S427" i="127"/>
  <c r="Q520" i="127"/>
  <c r="T520" i="127" s="1"/>
  <c r="Q615" i="127"/>
  <c r="Q619" i="127" s="1"/>
  <c r="Q621" i="127" s="1"/>
  <c r="T617" i="127" s="1"/>
  <c r="E355" i="81" s="1"/>
  <c r="S393" i="127"/>
  <c r="W407" i="127"/>
  <c r="S499" i="127"/>
  <c r="S702" i="127"/>
  <c r="Q167" i="126"/>
  <c r="Q169" i="126" s="1"/>
  <c r="T165" i="126" s="1"/>
  <c r="S364" i="126"/>
  <c r="S20" i="127"/>
  <c r="T15" i="127" s="1"/>
  <c r="S196" i="127"/>
  <c r="S259" i="127"/>
  <c r="M308" i="127"/>
  <c r="S308" i="127" s="1"/>
  <c r="S211" i="127"/>
  <c r="S364" i="127"/>
  <c r="S369" i="127"/>
  <c r="S717" i="127"/>
  <c r="S720" i="127"/>
  <c r="T720" i="127" s="1"/>
  <c r="S404" i="126"/>
  <c r="Q462" i="126"/>
  <c r="Q465" i="126" s="1"/>
  <c r="Q186" i="127"/>
  <c r="S186" i="127" s="1"/>
  <c r="M332" i="127"/>
  <c r="K340" i="127" s="1"/>
  <c r="Q416" i="127"/>
  <c r="Q578" i="127"/>
  <c r="T566" i="127" s="1"/>
  <c r="E347" i="81" s="1"/>
  <c r="S700" i="127"/>
  <c r="S332" i="127"/>
  <c r="S37" i="127"/>
  <c r="Q555" i="127"/>
  <c r="S555" i="127" s="1"/>
  <c r="S558" i="127" s="1"/>
  <c r="S548" i="127"/>
  <c r="S551" i="127" s="1"/>
  <c r="S13" i="127"/>
  <c r="T10" i="127" s="1"/>
  <c r="Q383" i="127"/>
  <c r="S379" i="127"/>
  <c r="T373" i="127" s="1"/>
  <c r="E313" i="81" s="1"/>
  <c r="M160" i="127"/>
  <c r="M161" i="127" s="1"/>
  <c r="S161" i="127" s="1"/>
  <c r="K65" i="127"/>
  <c r="S65" i="127" s="1"/>
  <c r="Q465" i="127"/>
  <c r="T453" i="127" s="1"/>
  <c r="E326" i="81" s="1"/>
  <c r="S318" i="127"/>
  <c r="S314" i="127"/>
  <c r="M315" i="127"/>
  <c r="Q690" i="127"/>
  <c r="T690" i="127" s="1"/>
  <c r="S42" i="126"/>
  <c r="M96" i="126"/>
  <c r="M103" i="126" s="1"/>
  <c r="Q415" i="126"/>
  <c r="S699" i="126"/>
  <c r="S81" i="127"/>
  <c r="S83" i="127" s="1"/>
  <c r="M96" i="127"/>
  <c r="I418" i="127"/>
  <c r="Q418" i="127" s="1"/>
  <c r="Q420" i="127" s="1"/>
  <c r="T413" i="127" s="1"/>
  <c r="E318" i="81" s="1"/>
  <c r="M534" i="127"/>
  <c r="S534" i="127" s="1"/>
  <c r="S536" i="127" s="1"/>
  <c r="T532" i="127" s="1"/>
  <c r="S184" i="127"/>
  <c r="S195" i="127"/>
  <c r="M333" i="127"/>
  <c r="K341" i="127" s="1"/>
  <c r="S351" i="127"/>
  <c r="G384" i="127"/>
  <c r="Q384" i="127" s="1"/>
  <c r="S395" i="127"/>
  <c r="S43" i="127"/>
  <c r="S45" i="127" s="1"/>
  <c r="K130" i="127"/>
  <c r="S174" i="127"/>
  <c r="W278" i="127"/>
  <c r="K278" i="127" s="1"/>
  <c r="S278" i="127" s="1"/>
  <c r="S280" i="127" s="1"/>
  <c r="S405" i="127"/>
  <c r="Q718" i="127"/>
  <c r="S718" i="127" s="1"/>
  <c r="Q427" i="126"/>
  <c r="M220" i="127"/>
  <c r="S291" i="127"/>
  <c r="S349" i="127"/>
  <c r="E505" i="127"/>
  <c r="S699" i="127"/>
  <c r="S291" i="126"/>
  <c r="S320" i="126"/>
  <c r="S175" i="127"/>
  <c r="S269" i="127"/>
  <c r="E284" i="127"/>
  <c r="Q284" i="127" s="1"/>
  <c r="Q286" i="127" s="1"/>
  <c r="T282" i="127" s="1"/>
  <c r="E304" i="81" s="1"/>
  <c r="S313" i="127"/>
  <c r="S317" i="127"/>
  <c r="S320" i="127"/>
  <c r="M95" i="127"/>
  <c r="E334" i="127"/>
  <c r="S334" i="127" s="1"/>
  <c r="S501" i="127"/>
  <c r="T496" i="127" s="1"/>
  <c r="E329" i="81" s="1"/>
  <c r="S526" i="80"/>
  <c r="D64" i="127"/>
  <c r="D67" i="127" s="1"/>
  <c r="D50" i="127"/>
  <c r="D51" i="127"/>
  <c r="D65" i="127"/>
  <c r="D68" i="127" s="1"/>
  <c r="D109" i="127"/>
  <c r="D116" i="127" s="1"/>
  <c r="D95" i="127"/>
  <c r="D110" i="127"/>
  <c r="D117" i="127" s="1"/>
  <c r="D96" i="127"/>
  <c r="S319" i="127"/>
  <c r="S315" i="127"/>
  <c r="S160" i="127"/>
  <c r="Q408" i="127"/>
  <c r="Q409" i="127" s="1"/>
  <c r="S409" i="127" s="1"/>
  <c r="S407" i="127"/>
  <c r="S322" i="127"/>
  <c r="M271" i="127"/>
  <c r="S271" i="127" s="1"/>
  <c r="M312" i="127"/>
  <c r="S312" i="127" s="1"/>
  <c r="I293" i="127"/>
  <c r="S323" i="127"/>
  <c r="Q327" i="127"/>
  <c r="Q644" i="127"/>
  <c r="K68" i="127"/>
  <c r="S68" i="127" s="1"/>
  <c r="M167" i="127"/>
  <c r="Q167" i="127" s="1"/>
  <c r="Q169" i="127" s="1"/>
  <c r="T165" i="127" s="1"/>
  <c r="K522" i="127"/>
  <c r="T607" i="127"/>
  <c r="E354" i="81" s="1"/>
  <c r="S152" i="127"/>
  <c r="S406" i="127"/>
  <c r="K521" i="126"/>
  <c r="Q521" i="126" s="1"/>
  <c r="T521" i="126" s="1"/>
  <c r="Q585" i="126"/>
  <c r="T580" i="126" s="1"/>
  <c r="S269" i="126"/>
  <c r="S313" i="126"/>
  <c r="S351" i="126"/>
  <c r="S405" i="126"/>
  <c r="S437" i="126"/>
  <c r="S441" i="126" s="1"/>
  <c r="K429" i="126" s="1"/>
  <c r="S429" i="126" s="1"/>
  <c r="S431" i="126" s="1"/>
  <c r="T423" i="126" s="1"/>
  <c r="E214" i="81" s="1"/>
  <c r="S369" i="126"/>
  <c r="Q416" i="126"/>
  <c r="S259" i="126"/>
  <c r="S310" i="126"/>
  <c r="S499" i="126"/>
  <c r="M332" i="126"/>
  <c r="K340" i="126" s="1"/>
  <c r="Q406" i="126"/>
  <c r="Q407" i="126" s="1"/>
  <c r="Q408" i="126" s="1"/>
  <c r="Q409" i="126" s="1"/>
  <c r="S409" i="126" s="1"/>
  <c r="M333" i="126"/>
  <c r="S333" i="126" s="1"/>
  <c r="Q602" i="126"/>
  <c r="Q604" i="126" s="1"/>
  <c r="T599" i="126" s="1"/>
  <c r="S254" i="126"/>
  <c r="T254" i="126" s="1"/>
  <c r="S270" i="126"/>
  <c r="S277" i="126"/>
  <c r="E284" i="126"/>
  <c r="S307" i="126"/>
  <c r="S315" i="126"/>
  <c r="S363" i="126"/>
  <c r="S376" i="126"/>
  <c r="S536" i="126"/>
  <c r="T532" i="126" s="1"/>
  <c r="E505" i="126"/>
  <c r="S505" i="126" s="1"/>
  <c r="S508" i="126" s="1"/>
  <c r="T503" i="126" s="1"/>
  <c r="E224" i="81" s="1"/>
  <c r="S687" i="126"/>
  <c r="T687" i="126" s="1"/>
  <c r="S694" i="126"/>
  <c r="T694" i="126" s="1"/>
  <c r="S720" i="126"/>
  <c r="T720" i="126" s="1"/>
  <c r="S252" i="126"/>
  <c r="T245" i="126" s="1"/>
  <c r="E193" i="81" s="1"/>
  <c r="S367" i="126"/>
  <c r="S377" i="126"/>
  <c r="Q417" i="126"/>
  <c r="Q578" i="126"/>
  <c r="T566" i="126" s="1"/>
  <c r="Q634" i="126"/>
  <c r="T624" i="126" s="1"/>
  <c r="S175" i="126"/>
  <c r="S241" i="126"/>
  <c r="T241" i="126" s="1"/>
  <c r="S292" i="126"/>
  <c r="S311" i="126"/>
  <c r="S314" i="126"/>
  <c r="S317" i="126"/>
  <c r="S375" i="126"/>
  <c r="S393" i="126"/>
  <c r="Q451" i="126"/>
  <c r="Q479" i="126"/>
  <c r="Q615" i="126"/>
  <c r="Q619" i="126" s="1"/>
  <c r="Q621" i="126" s="1"/>
  <c r="T617" i="126" s="1"/>
  <c r="Q690" i="126"/>
  <c r="T690" i="126" s="1"/>
  <c r="S702" i="126"/>
  <c r="S718" i="126"/>
  <c r="D51" i="126"/>
  <c r="Q327" i="126"/>
  <c r="S327" i="126" s="1"/>
  <c r="Q309" i="126"/>
  <c r="T433" i="126"/>
  <c r="E215" i="81" s="1"/>
  <c r="S334" i="126"/>
  <c r="Q384" i="126"/>
  <c r="S323" i="126"/>
  <c r="E342" i="126"/>
  <c r="M138" i="126"/>
  <c r="S138" i="126" s="1"/>
  <c r="S130" i="126"/>
  <c r="M226" i="126"/>
  <c r="M233" i="126" s="1"/>
  <c r="Q233" i="126" s="1"/>
  <c r="Q235" i="126" s="1"/>
  <c r="S220" i="126"/>
  <c r="S222" i="126" s="1"/>
  <c r="T218" i="126" s="1"/>
  <c r="E189" i="81" s="1"/>
  <c r="S308" i="126"/>
  <c r="Q385" i="126"/>
  <c r="Q284" i="126"/>
  <c r="Q286" i="126" s="1"/>
  <c r="T282" i="126" s="1"/>
  <c r="E198" i="81" s="1"/>
  <c r="M95" i="126"/>
  <c r="S96" i="126"/>
  <c r="S152" i="126"/>
  <c r="S51" i="126" s="1"/>
  <c r="M160" i="126"/>
  <c r="M161" i="126" s="1"/>
  <c r="S161" i="126" s="1"/>
  <c r="S184" i="126"/>
  <c r="E202" i="126"/>
  <c r="Q202" i="126" s="1"/>
  <c r="S211" i="126"/>
  <c r="M318" i="126"/>
  <c r="M319" i="126" s="1"/>
  <c r="S319" i="126" s="1"/>
  <c r="S350" i="126"/>
  <c r="S352" i="126" s="1"/>
  <c r="E383" i="126"/>
  <c r="Q383" i="126" s="1"/>
  <c r="E406" i="126"/>
  <c r="W407" i="126"/>
  <c r="K498" i="126"/>
  <c r="S498" i="126" s="1"/>
  <c r="S501" i="126" s="1"/>
  <c r="T496" i="126" s="1"/>
  <c r="E223" i="81" s="1"/>
  <c r="S519" i="126"/>
  <c r="T519" i="126" s="1"/>
  <c r="S717" i="126"/>
  <c r="Q185" i="126"/>
  <c r="S185" i="126" s="1"/>
  <c r="M321" i="126"/>
  <c r="M322" i="126" s="1"/>
  <c r="S322" i="126" s="1"/>
  <c r="S13" i="126"/>
  <c r="T10" i="126" s="1"/>
  <c r="S81" i="126"/>
  <c r="S83" i="126" s="1"/>
  <c r="S278" i="126"/>
  <c r="S395" i="126"/>
  <c r="E408" i="126"/>
  <c r="S542" i="126"/>
  <c r="T538" i="126" s="1"/>
  <c r="Q203" i="126"/>
  <c r="S186" i="126"/>
  <c r="K65" i="126"/>
  <c r="K68" i="126" s="1"/>
  <c r="S68" i="126" s="1"/>
  <c r="S195" i="126"/>
  <c r="Q189" i="126"/>
  <c r="S189" i="126" s="1"/>
  <c r="S187" i="126"/>
  <c r="Q555" i="126"/>
  <c r="S555" i="126" s="1"/>
  <c r="S558" i="126" s="1"/>
  <c r="S548" i="126"/>
  <c r="S551" i="126" s="1"/>
  <c r="S196" i="126"/>
  <c r="S37" i="126"/>
  <c r="K64" i="126"/>
  <c r="K67" i="126" s="1"/>
  <c r="S67" i="126" s="1"/>
  <c r="W108" i="81"/>
  <c r="T106" i="81"/>
  <c r="D96" i="126"/>
  <c r="D110" i="126"/>
  <c r="D117" i="126" s="1"/>
  <c r="D65" i="126"/>
  <c r="D68" i="126" s="1"/>
  <c r="D102" i="126"/>
  <c r="D109" i="126" s="1"/>
  <c r="D116" i="126" s="1"/>
  <c r="D64" i="126"/>
  <c r="D67" i="126" s="1"/>
  <c r="S103" i="126"/>
  <c r="M110" i="126"/>
  <c r="G341" i="126"/>
  <c r="G340" i="126" s="1"/>
  <c r="Q340" i="126" s="1"/>
  <c r="S294" i="126"/>
  <c r="I295" i="126"/>
  <c r="Q188" i="126"/>
  <c r="S188" i="126" s="1"/>
  <c r="M271" i="126"/>
  <c r="S271" i="126" s="1"/>
  <c r="S293" i="126"/>
  <c r="M309" i="126"/>
  <c r="M312" i="126"/>
  <c r="S312" i="126" s="1"/>
  <c r="S50" i="126"/>
  <c r="Q601" i="80"/>
  <c r="Q630" i="80" s="1"/>
  <c r="M318" i="80"/>
  <c r="K326" i="80" s="1"/>
  <c r="Q403" i="80"/>
  <c r="S335" i="80"/>
  <c r="E392" i="80"/>
  <c r="W393" i="80"/>
  <c r="Q394" i="80"/>
  <c r="Q395" i="80" s="1"/>
  <c r="S395" i="80" s="1"/>
  <c r="S393" i="80"/>
  <c r="Q370" i="80"/>
  <c r="E369" i="80"/>
  <c r="Q369" i="80" s="1"/>
  <c r="S354" i="80"/>
  <c r="S337" i="80"/>
  <c r="Q313" i="80"/>
  <c r="Q314" i="80" s="1"/>
  <c r="S314" i="80" s="1"/>
  <c r="E371" i="80"/>
  <c r="S363" i="80"/>
  <c r="S362" i="80"/>
  <c r="S336" i="80"/>
  <c r="S350" i="80"/>
  <c r="S353" i="80"/>
  <c r="S355" i="80"/>
  <c r="S349" i="80"/>
  <c r="M319" i="80"/>
  <c r="K327" i="80" s="1"/>
  <c r="I281" i="80"/>
  <c r="S280" i="80"/>
  <c r="S279" i="80"/>
  <c r="S278" i="80"/>
  <c r="S277" i="80"/>
  <c r="E309" i="80"/>
  <c r="E270" i="80"/>
  <c r="S299" i="80"/>
  <c r="S306" i="80"/>
  <c r="S296" i="80"/>
  <c r="S293" i="80"/>
  <c r="S303" i="80"/>
  <c r="M294" i="80"/>
  <c r="M295" i="80" s="1"/>
  <c r="S295" i="80" s="1"/>
  <c r="S307" i="80"/>
  <c r="S308" i="80"/>
  <c r="M304" i="80"/>
  <c r="M305" i="80" s="1"/>
  <c r="S305" i="80" s="1"/>
  <c r="S301" i="80"/>
  <c r="S300" i="80"/>
  <c r="M297" i="80"/>
  <c r="M298" i="80" s="1"/>
  <c r="S298" i="80" s="1"/>
  <c r="S255" i="80"/>
  <c r="S257" i="80"/>
  <c r="W263" i="80"/>
  <c r="S264" i="80"/>
  <c r="W212" i="80"/>
  <c r="K212" i="80" s="1"/>
  <c r="E212" i="80"/>
  <c r="Q206" i="80"/>
  <c r="E206" i="80"/>
  <c r="K197" i="80"/>
  <c r="I197" i="80"/>
  <c r="I219" i="80" s="1"/>
  <c r="I190" i="80"/>
  <c r="M183" i="80"/>
  <c r="M182" i="80"/>
  <c r="V183" i="80"/>
  <c r="K183" i="80" s="1"/>
  <c r="E182" i="80"/>
  <c r="V182" i="80"/>
  <c r="K182" i="80" s="1"/>
  <c r="E175" i="80"/>
  <c r="M176" i="80"/>
  <c r="E176" i="80"/>
  <c r="M175" i="80"/>
  <c r="E173" i="80"/>
  <c r="M173" i="80"/>
  <c r="M172" i="80"/>
  <c r="Q171" i="80"/>
  <c r="K483" i="126" l="1"/>
  <c r="Q483" i="126" s="1"/>
  <c r="Q485" i="126" s="1"/>
  <c r="T481" i="126" s="1"/>
  <c r="E221" i="81" s="1"/>
  <c r="T453" i="126"/>
  <c r="E220" i="81" s="1"/>
  <c r="Q187" i="127"/>
  <c r="S187" i="127" s="1"/>
  <c r="M309" i="127"/>
  <c r="S309" i="127" s="1"/>
  <c r="T309" i="127" s="1"/>
  <c r="Q558" i="127"/>
  <c r="Q562" i="127" s="1"/>
  <c r="S562" i="127" s="1"/>
  <c r="S564" i="127" s="1"/>
  <c r="S352" i="127"/>
  <c r="V42" i="126"/>
  <c r="K693" i="127"/>
  <c r="Q693" i="127" s="1"/>
  <c r="T693" i="127" s="1"/>
  <c r="S697" i="127"/>
  <c r="T697" i="127" s="1"/>
  <c r="S697" i="126"/>
  <c r="T697" i="126" s="1"/>
  <c r="Q387" i="127"/>
  <c r="T381" i="127" s="1"/>
  <c r="E314" i="81" s="1"/>
  <c r="S371" i="127"/>
  <c r="T360" i="127" s="1"/>
  <c r="E312" i="81" s="1"/>
  <c r="T433" i="127"/>
  <c r="E321" i="81" s="1"/>
  <c r="E408" i="81" s="1"/>
  <c r="S198" i="127"/>
  <c r="Q644" i="126"/>
  <c r="S226" i="126"/>
  <c r="Q647" i="127"/>
  <c r="T642" i="127" s="1"/>
  <c r="E361" i="81" s="1"/>
  <c r="S273" i="127"/>
  <c r="K354" i="127"/>
  <c r="S354" i="127" s="1"/>
  <c r="K492" i="126"/>
  <c r="Q492" i="126" s="1"/>
  <c r="Q645" i="126" s="1"/>
  <c r="S163" i="127"/>
  <c r="K154" i="127" s="1"/>
  <c r="S154" i="127" s="1"/>
  <c r="S156" i="127" s="1"/>
  <c r="T150" i="127" s="1"/>
  <c r="S333" i="127"/>
  <c r="S336" i="127" s="1"/>
  <c r="S716" i="127"/>
  <c r="T716" i="127" s="1"/>
  <c r="T275" i="127"/>
  <c r="E303" i="81" s="1"/>
  <c r="K262" i="127"/>
  <c r="S262" i="127" s="1"/>
  <c r="K55" i="127"/>
  <c r="S55" i="127" s="1"/>
  <c r="T39" i="127"/>
  <c r="T193" i="127"/>
  <c r="K178" i="127"/>
  <c r="S178" i="127" s="1"/>
  <c r="S130" i="127"/>
  <c r="S50" i="127" s="1"/>
  <c r="K64" i="127"/>
  <c r="M138" i="127"/>
  <c r="V42" i="127"/>
  <c r="Q647" i="126"/>
  <c r="T642" i="126" s="1"/>
  <c r="M226" i="127"/>
  <c r="S220" i="127"/>
  <c r="S222" i="127" s="1"/>
  <c r="S318" i="126"/>
  <c r="K355" i="127"/>
  <c r="S355" i="127" s="1"/>
  <c r="K483" i="127"/>
  <c r="Q483" i="127" s="1"/>
  <c r="Q485" i="127" s="1"/>
  <c r="T481" i="127" s="1"/>
  <c r="E327" i="81" s="1"/>
  <c r="K638" i="127"/>
  <c r="Q638" i="127" s="1"/>
  <c r="Q640" i="127" s="1"/>
  <c r="T636" i="127" s="1"/>
  <c r="M103" i="127"/>
  <c r="S96" i="127"/>
  <c r="Q420" i="126"/>
  <c r="T413" i="126" s="1"/>
  <c r="E212" i="81" s="1"/>
  <c r="M102" i="127"/>
  <c r="S95" i="127"/>
  <c r="S505" i="127"/>
  <c r="S508" i="127" s="1"/>
  <c r="T503" i="127" s="1"/>
  <c r="E330" i="81" s="1"/>
  <c r="E651" i="127"/>
  <c r="Q651" i="127" s="1"/>
  <c r="Q656" i="127" s="1"/>
  <c r="T649" i="127" s="1"/>
  <c r="E362" i="81" s="1"/>
  <c r="T267" i="127"/>
  <c r="E302" i="81" s="1"/>
  <c r="K261" i="127"/>
  <c r="S261" i="127" s="1"/>
  <c r="S263" i="127" s="1"/>
  <c r="S265" i="127" s="1"/>
  <c r="T257" i="127" s="1"/>
  <c r="E301" i="81" s="1"/>
  <c r="K300" i="127"/>
  <c r="S300" i="127" s="1"/>
  <c r="T330" i="127"/>
  <c r="E308" i="81" s="1"/>
  <c r="S522" i="127"/>
  <c r="T522" i="127" s="1"/>
  <c r="K523" i="127"/>
  <c r="I294" i="127"/>
  <c r="S293" i="127"/>
  <c r="S408" i="127"/>
  <c r="S411" i="127" s="1"/>
  <c r="Q189" i="127"/>
  <c r="S189" i="127" s="1"/>
  <c r="Q188" i="127"/>
  <c r="S188" i="127" s="1"/>
  <c r="S51" i="127"/>
  <c r="S327" i="127"/>
  <c r="Q328" i="127"/>
  <c r="S328" i="127" s="1"/>
  <c r="S273" i="126"/>
  <c r="T267" i="126" s="1"/>
  <c r="E196" i="81" s="1"/>
  <c r="S407" i="126"/>
  <c r="S716" i="126"/>
  <c r="T716" i="126" s="1"/>
  <c r="S406" i="126"/>
  <c r="S371" i="126"/>
  <c r="K354" i="126" s="1"/>
  <c r="S354" i="126" s="1"/>
  <c r="S379" i="126"/>
  <c r="T373" i="126" s="1"/>
  <c r="E207" i="81" s="1"/>
  <c r="T607" i="126"/>
  <c r="M139" i="126"/>
  <c r="K341" i="126"/>
  <c r="Q341" i="126" s="1"/>
  <c r="E651" i="126"/>
  <c r="Q651" i="126" s="1"/>
  <c r="Q656" i="126" s="1"/>
  <c r="T649" i="126" s="1"/>
  <c r="S280" i="126"/>
  <c r="T275" i="126" s="1"/>
  <c r="E197" i="81" s="1"/>
  <c r="Q328" i="126"/>
  <c r="S328" i="126" s="1"/>
  <c r="S329" i="126" s="1"/>
  <c r="K638" i="126"/>
  <c r="Q638" i="126" s="1"/>
  <c r="Q640" i="126" s="1"/>
  <c r="T636" i="126" s="1"/>
  <c r="V638" i="126" s="1"/>
  <c r="S309" i="126"/>
  <c r="T309" i="126" s="1"/>
  <c r="S64" i="126"/>
  <c r="S160" i="126"/>
  <c r="S163" i="126" s="1"/>
  <c r="K154" i="126" s="1"/>
  <c r="S154" i="126" s="1"/>
  <c r="S156" i="126" s="1"/>
  <c r="T150" i="126" s="1"/>
  <c r="S332" i="126"/>
  <c r="S336" i="126" s="1"/>
  <c r="S198" i="126"/>
  <c r="T193" i="126" s="1"/>
  <c r="W130" i="126"/>
  <c r="K693" i="126"/>
  <c r="Q693" i="126" s="1"/>
  <c r="T693" i="126" s="1"/>
  <c r="S408" i="126"/>
  <c r="Q387" i="126"/>
  <c r="T381" i="126" s="1"/>
  <c r="E208" i="81" s="1"/>
  <c r="K262" i="126"/>
  <c r="S262" i="126" s="1"/>
  <c r="M102" i="126"/>
  <c r="S95" i="126"/>
  <c r="S98" i="126" s="1"/>
  <c r="T93" i="126" s="1"/>
  <c r="Q205" i="126"/>
  <c r="T200" i="126" s="1"/>
  <c r="K213" i="126"/>
  <c r="S213" i="126" s="1"/>
  <c r="M227" i="126"/>
  <c r="S227" i="126" s="1"/>
  <c r="Q558" i="126"/>
  <c r="Q562" i="126" s="1"/>
  <c r="S562" i="126" s="1"/>
  <c r="S564" i="126" s="1"/>
  <c r="S321" i="126"/>
  <c r="S65" i="126"/>
  <c r="S191" i="126"/>
  <c r="T182" i="126" s="1"/>
  <c r="D95" i="126"/>
  <c r="T158" i="126"/>
  <c r="K522" i="126"/>
  <c r="M117" i="126"/>
  <c r="S117" i="126" s="1"/>
  <c r="S110" i="126"/>
  <c r="T39" i="126"/>
  <c r="K55" i="126"/>
  <c r="S55" i="126" s="1"/>
  <c r="K261" i="126"/>
  <c r="S261" i="126" s="1"/>
  <c r="G342" i="126"/>
  <c r="Q342" i="126" s="1"/>
  <c r="S295" i="126"/>
  <c r="I296" i="126"/>
  <c r="S296" i="126" s="1"/>
  <c r="T231" i="126"/>
  <c r="E191" i="81" s="1"/>
  <c r="Q490" i="126"/>
  <c r="Q494" i="126" s="1"/>
  <c r="T487" i="126" s="1"/>
  <c r="E222" i="81" s="1"/>
  <c r="M145" i="126"/>
  <c r="Q145" i="126" s="1"/>
  <c r="Q147" i="126" s="1"/>
  <c r="T143" i="126" s="1"/>
  <c r="S139" i="126"/>
  <c r="S141" i="126" s="1"/>
  <c r="S357" i="80"/>
  <c r="S338" i="80"/>
  <c r="S313" i="80"/>
  <c r="S315" i="80" s="1"/>
  <c r="Q371" i="80"/>
  <c r="Q373" i="80" s="1"/>
  <c r="W395" i="80"/>
  <c r="S294" i="80"/>
  <c r="T295" i="80" s="1"/>
  <c r="I282" i="80"/>
  <c r="S282" i="80" s="1"/>
  <c r="G328" i="80"/>
  <c r="S281" i="80"/>
  <c r="S309" i="80"/>
  <c r="E328" i="80"/>
  <c r="S304" i="80"/>
  <c r="S297" i="80"/>
  <c r="Q172" i="80"/>
  <c r="S172" i="80" s="1"/>
  <c r="S171" i="80"/>
  <c r="Q173" i="80"/>
  <c r="Q174" i="80" s="1"/>
  <c r="S174" i="80" s="1"/>
  <c r="W130" i="127" l="1"/>
  <c r="S229" i="126"/>
  <c r="K214" i="126" s="1"/>
  <c r="S214" i="126" s="1"/>
  <c r="S216" i="126" s="1"/>
  <c r="T209" i="126" s="1"/>
  <c r="E188" i="81" s="1"/>
  <c r="S325" i="127"/>
  <c r="K299" i="127" s="1"/>
  <c r="S299" i="127" s="1"/>
  <c r="S301" i="127" s="1"/>
  <c r="S356" i="127"/>
  <c r="S358" i="127" s="1"/>
  <c r="T347" i="127" s="1"/>
  <c r="E311" i="81" s="1"/>
  <c r="T360" i="126"/>
  <c r="E206" i="81" s="1"/>
  <c r="S98" i="127"/>
  <c r="T93" i="127" s="1"/>
  <c r="T158" i="127"/>
  <c r="S329" i="127"/>
  <c r="S64" i="127"/>
  <c r="K67" i="127"/>
  <c r="S67" i="127" s="1"/>
  <c r="K177" i="126"/>
  <c r="S177" i="126" s="1"/>
  <c r="M109" i="127"/>
  <c r="S102" i="127"/>
  <c r="T218" i="127"/>
  <c r="E295" i="81" s="1"/>
  <c r="K213" i="127"/>
  <c r="S213" i="127" s="1"/>
  <c r="S226" i="127"/>
  <c r="M233" i="127"/>
  <c r="Q233" i="127" s="1"/>
  <c r="Q235" i="127" s="1"/>
  <c r="M227" i="127"/>
  <c r="S227" i="127" s="1"/>
  <c r="S52" i="126"/>
  <c r="S54" i="126" s="1"/>
  <c r="S56" i="126" s="1"/>
  <c r="S75" i="126" s="1"/>
  <c r="S77" i="126" s="1"/>
  <c r="S84" i="126" s="1"/>
  <c r="S85" i="126" s="1"/>
  <c r="S87" i="126" s="1"/>
  <c r="T79" i="126" s="1"/>
  <c r="M110" i="127"/>
  <c r="S103" i="127"/>
  <c r="E360" i="81"/>
  <c r="V638" i="127"/>
  <c r="M139" i="127"/>
  <c r="S138" i="127"/>
  <c r="S523" i="127"/>
  <c r="T523" i="127" s="1"/>
  <c r="K524" i="127"/>
  <c r="T401" i="127"/>
  <c r="E317" i="81" s="1"/>
  <c r="K397" i="127"/>
  <c r="S397" i="127" s="1"/>
  <c r="S399" i="127" s="1"/>
  <c r="T390" i="127" s="1"/>
  <c r="E316" i="81" s="1"/>
  <c r="I295" i="127"/>
  <c r="G341" i="127"/>
  <c r="S294" i="127"/>
  <c r="S191" i="127"/>
  <c r="Q344" i="126"/>
  <c r="T338" i="126" s="1"/>
  <c r="E203" i="81" s="1"/>
  <c r="K355" i="126"/>
  <c r="S355" i="126" s="1"/>
  <c r="S356" i="126" s="1"/>
  <c r="S358" i="126" s="1"/>
  <c r="T347" i="126" s="1"/>
  <c r="E205" i="81" s="1"/>
  <c r="S411" i="126"/>
  <c r="K397" i="126" s="1"/>
  <c r="S397" i="126" s="1"/>
  <c r="S399" i="126" s="1"/>
  <c r="T390" i="126" s="1"/>
  <c r="E210" i="81" s="1"/>
  <c r="S263" i="126"/>
  <c r="S265" i="126" s="1"/>
  <c r="T257" i="126" s="1"/>
  <c r="E195" i="81" s="1"/>
  <c r="K178" i="126"/>
  <c r="S178" i="126" s="1"/>
  <c r="T330" i="126"/>
  <c r="E202" i="81" s="1"/>
  <c r="K300" i="126"/>
  <c r="S300" i="126" s="1"/>
  <c r="S325" i="126"/>
  <c r="T305" i="126" s="1"/>
  <c r="E201" i="81" s="1"/>
  <c r="M109" i="126"/>
  <c r="S102" i="126"/>
  <c r="S105" i="126" s="1"/>
  <c r="T100" i="126" s="1"/>
  <c r="S297" i="126"/>
  <c r="S70" i="126"/>
  <c r="T61" i="126" s="1"/>
  <c r="K132" i="126"/>
  <c r="S132" i="126" s="1"/>
  <c r="S134" i="126" s="1"/>
  <c r="T128" i="126" s="1"/>
  <c r="T136" i="126"/>
  <c r="S522" i="126"/>
  <c r="T522" i="126" s="1"/>
  <c r="K523" i="126"/>
  <c r="S283" i="80"/>
  <c r="Q328" i="80"/>
  <c r="S311" i="80"/>
  <c r="S173" i="80"/>
  <c r="Q175" i="80"/>
  <c r="S175" i="80" s="1"/>
  <c r="Q176" i="80"/>
  <c r="S176" i="80" s="1"/>
  <c r="T305" i="127" l="1"/>
  <c r="E307" i="81" s="1"/>
  <c r="T224" i="126"/>
  <c r="E190" i="81" s="1"/>
  <c r="S180" i="126"/>
  <c r="T172" i="126" s="1"/>
  <c r="S57" i="126"/>
  <c r="S59" i="126" s="1"/>
  <c r="T47" i="126" s="1"/>
  <c r="T72" i="126"/>
  <c r="S229" i="127"/>
  <c r="M117" i="127"/>
  <c r="S117" i="127" s="1"/>
  <c r="S110" i="127"/>
  <c r="S105" i="127"/>
  <c r="T100" i="127" s="1"/>
  <c r="T401" i="126"/>
  <c r="E211" i="81" s="1"/>
  <c r="S109" i="127"/>
  <c r="M116" i="127"/>
  <c r="S116" i="127" s="1"/>
  <c r="S119" i="127" s="1"/>
  <c r="T114" i="127" s="1"/>
  <c r="S139" i="127"/>
  <c r="S141" i="127" s="1"/>
  <c r="M145" i="127"/>
  <c r="Q145" i="127" s="1"/>
  <c r="Q147" i="127" s="1"/>
  <c r="T143" i="127" s="1"/>
  <c r="T231" i="127"/>
  <c r="E297" i="81" s="1"/>
  <c r="Q490" i="127"/>
  <c r="Q494" i="127" s="1"/>
  <c r="T487" i="127" s="1"/>
  <c r="E328" i="81" s="1"/>
  <c r="S52" i="127"/>
  <c r="S54" i="127" s="1"/>
  <c r="S56" i="127" s="1"/>
  <c r="S70" i="127"/>
  <c r="T61" i="127" s="1"/>
  <c r="I296" i="127"/>
  <c r="S296" i="127" s="1"/>
  <c r="G342" i="127"/>
  <c r="Q342" i="127" s="1"/>
  <c r="S295" i="127"/>
  <c r="T524" i="127"/>
  <c r="K525" i="127"/>
  <c r="K177" i="127"/>
  <c r="S177" i="127" s="1"/>
  <c r="S180" i="127" s="1"/>
  <c r="T172" i="127" s="1"/>
  <c r="T182" i="127"/>
  <c r="G340" i="127"/>
  <c r="Q340" i="127" s="1"/>
  <c r="Q341" i="127"/>
  <c r="K299" i="126"/>
  <c r="S299" i="126" s="1"/>
  <c r="S301" i="126" s="1"/>
  <c r="S303" i="126" s="1"/>
  <c r="T289" i="126" s="1"/>
  <c r="E200" i="81" s="1"/>
  <c r="M116" i="126"/>
  <c r="S116" i="126" s="1"/>
  <c r="S119" i="126" s="1"/>
  <c r="T114" i="126" s="1"/>
  <c r="S109" i="126"/>
  <c r="S112" i="126" s="1"/>
  <c r="T107" i="126" s="1"/>
  <c r="S523" i="126"/>
  <c r="T523" i="126" s="1"/>
  <c r="K524" i="126"/>
  <c r="S178" i="80"/>
  <c r="E162" i="80"/>
  <c r="E161" i="80"/>
  <c r="Q68" i="80"/>
  <c r="Q69" i="80"/>
  <c r="S69" i="80" s="1"/>
  <c r="S297" i="127" l="1"/>
  <c r="S303" i="127" s="1"/>
  <c r="T289" i="127" s="1"/>
  <c r="E306" i="81" s="1"/>
  <c r="S112" i="127"/>
  <c r="T107" i="127" s="1"/>
  <c r="T224" i="127"/>
  <c r="E296" i="81" s="1"/>
  <c r="K214" i="127"/>
  <c r="S214" i="127" s="1"/>
  <c r="S216" i="127" s="1"/>
  <c r="T209" i="127" s="1"/>
  <c r="E294" i="81" s="1"/>
  <c r="K132" i="127"/>
  <c r="S132" i="127" s="1"/>
  <c r="S134" i="127" s="1"/>
  <c r="T128" i="127" s="1"/>
  <c r="T136" i="127"/>
  <c r="Q344" i="127"/>
  <c r="T338" i="127" s="1"/>
  <c r="E309" i="81" s="1"/>
  <c r="S75" i="127"/>
  <c r="S77" i="127" s="1"/>
  <c r="S57" i="127"/>
  <c r="S59" i="127" s="1"/>
  <c r="T47" i="127" s="1"/>
  <c r="K526" i="127"/>
  <c r="T525" i="127"/>
  <c r="T524" i="126"/>
  <c r="K525" i="126"/>
  <c r="S68" i="80"/>
  <c r="S70" i="80" s="1"/>
  <c r="Q534" i="80"/>
  <c r="S162" i="80"/>
  <c r="E190" i="80"/>
  <c r="Q190" i="80" s="1"/>
  <c r="S161" i="80"/>
  <c r="E189" i="80"/>
  <c r="E154" i="80"/>
  <c r="W148" i="80"/>
  <c r="E132" i="80"/>
  <c r="B108" i="80"/>
  <c r="C108" i="80"/>
  <c r="E110" i="80"/>
  <c r="S110" i="80" s="1"/>
  <c r="S112" i="80" s="1"/>
  <c r="B39" i="81"/>
  <c r="K30" i="80"/>
  <c r="K139" i="80" s="1"/>
  <c r="K29" i="80"/>
  <c r="S84" i="127" l="1"/>
  <c r="S85" i="127" s="1"/>
  <c r="S87" i="127" s="1"/>
  <c r="T79" i="127" s="1"/>
  <c r="T72" i="127"/>
  <c r="B127" i="126"/>
  <c r="B127" i="127"/>
  <c r="K527" i="127"/>
  <c r="T526" i="127"/>
  <c r="K526" i="126"/>
  <c r="T525" i="126"/>
  <c r="E12" i="80"/>
  <c r="E11" i="80"/>
  <c r="K528" i="127" l="1"/>
  <c r="T528" i="127" s="1"/>
  <c r="T527" i="127"/>
  <c r="K527" i="126"/>
  <c r="T526" i="126"/>
  <c r="T527" i="126" l="1"/>
  <c r="K528" i="126"/>
  <c r="T528" i="126" s="1"/>
  <c r="G346" i="103" l="1"/>
  <c r="H346" i="103" s="1"/>
  <c r="B142" i="122"/>
  <c r="B143" i="122" s="1"/>
  <c r="B144" i="122" s="1"/>
  <c r="B145" i="122" s="1"/>
  <c r="B146" i="122" s="1"/>
  <c r="B147" i="122" s="1"/>
  <c r="B148" i="122" s="1"/>
  <c r="B149" i="122" s="1"/>
  <c r="G344" i="103"/>
  <c r="H344" i="103" s="1"/>
  <c r="G345" i="103"/>
  <c r="H345" i="103" s="1"/>
  <c r="G347" i="103"/>
  <c r="H347" i="103" s="1"/>
  <c r="H167" i="81"/>
  <c r="G353" i="103"/>
  <c r="G341" i="103"/>
  <c r="H341" i="103" s="1"/>
  <c r="G340" i="103"/>
  <c r="H340" i="103" s="1"/>
  <c r="G339" i="103"/>
  <c r="H339" i="103" s="1"/>
  <c r="G338" i="103"/>
  <c r="H338" i="103" s="1"/>
  <c r="G23" i="61"/>
  <c r="G247" i="62" s="1"/>
  <c r="G229" i="62" s="1"/>
  <c r="H229" i="62" s="1"/>
  <c r="H232" i="62" s="1"/>
  <c r="H233" i="62" s="1"/>
  <c r="H133" i="85"/>
  <c r="B155" i="85"/>
  <c r="B156" i="85" s="1"/>
  <c r="B157" i="85" s="1"/>
  <c r="B158" i="85" s="1"/>
  <c r="B148" i="85"/>
  <c r="B149" i="85" s="1"/>
  <c r="B150" i="85" s="1"/>
  <c r="B151" i="85" s="1"/>
  <c r="B140" i="85"/>
  <c r="B141" i="85" s="1"/>
  <c r="B142" i="85" s="1"/>
  <c r="B143" i="85" s="1"/>
  <c r="B144" i="85" s="1"/>
  <c r="B136" i="85"/>
  <c r="B131" i="85"/>
  <c r="B132" i="85" s="1"/>
  <c r="B109" i="85"/>
  <c r="B110" i="85" s="1"/>
  <c r="B111" i="85" s="1"/>
  <c r="B112" i="85" s="1"/>
  <c r="B113" i="85" s="1"/>
  <c r="B114" i="85" s="1"/>
  <c r="B115" i="85" s="1"/>
  <c r="B116" i="85" s="1"/>
  <c r="B117" i="85" s="1"/>
  <c r="B118" i="85" s="1"/>
  <c r="B119" i="85" s="1"/>
  <c r="B120" i="85" s="1"/>
  <c r="B121" i="85" s="1"/>
  <c r="B99" i="85"/>
  <c r="B100" i="85" s="1"/>
  <c r="B102" i="85" s="1"/>
  <c r="B103" i="85" s="1"/>
  <c r="B104" i="85" s="1"/>
  <c r="B105" i="85" s="1"/>
  <c r="B94" i="85"/>
  <c r="B95" i="85" s="1"/>
  <c r="H234" i="62" l="1"/>
  <c r="H235" i="62" s="1"/>
  <c r="D29" i="68" s="1"/>
  <c r="G168" i="81"/>
  <c r="H348" i="103"/>
  <c r="H342" i="103"/>
  <c r="G324" i="103"/>
  <c r="G325" i="103" s="1"/>
  <c r="G331" i="103"/>
  <c r="G321" i="103"/>
  <c r="H321" i="103" s="1"/>
  <c r="G320" i="103"/>
  <c r="H320" i="103" s="1"/>
  <c r="G319" i="103"/>
  <c r="H319" i="103" s="1"/>
  <c r="G318" i="103"/>
  <c r="H318" i="103" s="1"/>
  <c r="G311" i="103"/>
  <c r="G289" i="103"/>
  <c r="H289" i="103" s="1"/>
  <c r="G288" i="103"/>
  <c r="H288" i="103" s="1"/>
  <c r="G287" i="103"/>
  <c r="H287" i="103" s="1"/>
  <c r="G286" i="103"/>
  <c r="H286" i="103" s="1"/>
  <c r="G384" i="81"/>
  <c r="G279" i="103"/>
  <c r="G257" i="103"/>
  <c r="H257" i="103" s="1"/>
  <c r="G256" i="103"/>
  <c r="H256" i="103" s="1"/>
  <c r="G255" i="103"/>
  <c r="H255" i="103" s="1"/>
  <c r="G254" i="103"/>
  <c r="H254" i="103" s="1"/>
  <c r="G247" i="103"/>
  <c r="G225" i="103"/>
  <c r="H225" i="103" s="1"/>
  <c r="G224" i="103"/>
  <c r="H224" i="103" s="1"/>
  <c r="G223" i="103"/>
  <c r="H223" i="103" s="1"/>
  <c r="G222" i="103"/>
  <c r="H222" i="103" s="1"/>
  <c r="G209" i="103"/>
  <c r="G204" i="103"/>
  <c r="G202" i="103"/>
  <c r="G201" i="103"/>
  <c r="G198" i="103"/>
  <c r="H198" i="103" s="1"/>
  <c r="G215" i="103"/>
  <c r="G195" i="103"/>
  <c r="H195" i="103" s="1"/>
  <c r="G194" i="103"/>
  <c r="H194" i="103" s="1"/>
  <c r="G193" i="103"/>
  <c r="H193" i="103" s="1"/>
  <c r="G192" i="103"/>
  <c r="H192" i="103" s="1"/>
  <c r="G168" i="103"/>
  <c r="G230" i="103" s="1"/>
  <c r="G166" i="103"/>
  <c r="H166" i="103" s="1"/>
  <c r="G185" i="103"/>
  <c r="G163" i="103"/>
  <c r="H163" i="103" s="1"/>
  <c r="G162" i="103"/>
  <c r="H162" i="103" s="1"/>
  <c r="G161" i="103"/>
  <c r="H161" i="103" s="1"/>
  <c r="G160" i="103"/>
  <c r="H160" i="103" s="1"/>
  <c r="G161" i="81"/>
  <c r="G147" i="103"/>
  <c r="H147" i="103" s="1"/>
  <c r="G146" i="103"/>
  <c r="H146" i="103" s="1"/>
  <c r="G145" i="103"/>
  <c r="G178" i="103" s="1"/>
  <c r="G207" i="103" s="1"/>
  <c r="G137" i="103"/>
  <c r="G170" i="103" s="1"/>
  <c r="G232" i="103" s="1"/>
  <c r="G264" i="103" s="1"/>
  <c r="G296" i="103" s="1"/>
  <c r="G138" i="103"/>
  <c r="H138" i="103" s="1"/>
  <c r="G139" i="103"/>
  <c r="H139" i="103" s="1"/>
  <c r="G140" i="103"/>
  <c r="H140" i="103" s="1"/>
  <c r="G141" i="103"/>
  <c r="H141" i="103" s="1"/>
  <c r="G142" i="103"/>
  <c r="H142" i="103" s="1"/>
  <c r="G143" i="103"/>
  <c r="H143" i="103" s="1"/>
  <c r="G144" i="103"/>
  <c r="H144" i="103" s="1"/>
  <c r="G136" i="103"/>
  <c r="H136" i="103" s="1"/>
  <c r="G135" i="103"/>
  <c r="H135" i="103" s="1"/>
  <c r="G131" i="103"/>
  <c r="H131" i="103" s="1"/>
  <c r="G132" i="103"/>
  <c r="H132" i="103" s="1"/>
  <c r="G133" i="103"/>
  <c r="H133" i="103" s="1"/>
  <c r="G134" i="103"/>
  <c r="H134" i="103" s="1"/>
  <c r="G130" i="103"/>
  <c r="H130" i="103" s="1"/>
  <c r="G129" i="103"/>
  <c r="H129" i="103" s="1"/>
  <c r="B66" i="122"/>
  <c r="B67" i="122" s="1"/>
  <c r="B68" i="122" s="1"/>
  <c r="B69" i="122" s="1"/>
  <c r="B70" i="122" s="1"/>
  <c r="B71" i="122" s="1"/>
  <c r="B72" i="122" s="1"/>
  <c r="G153" i="103"/>
  <c r="G126" i="103"/>
  <c r="H126" i="103" s="1"/>
  <c r="G125" i="103"/>
  <c r="H125" i="103" s="1"/>
  <c r="G124" i="103"/>
  <c r="H124" i="103" s="1"/>
  <c r="G123" i="103"/>
  <c r="H123" i="103" s="1"/>
  <c r="H22" i="103"/>
  <c r="G162" i="81" l="1"/>
  <c r="G276" i="81"/>
  <c r="H352" i="103"/>
  <c r="H353" i="103" s="1"/>
  <c r="H354" i="103" s="1"/>
  <c r="H355" i="103" s="1"/>
  <c r="H322" i="103"/>
  <c r="H296" i="103"/>
  <c r="H290" i="103"/>
  <c r="G262" i="103"/>
  <c r="G294" i="103" s="1"/>
  <c r="H230" i="103"/>
  <c r="H168" i="103"/>
  <c r="H258" i="103"/>
  <c r="H226" i="103"/>
  <c r="G199" i="103"/>
  <c r="G228" i="103"/>
  <c r="G240" i="103"/>
  <c r="G272" i="103" s="1"/>
  <c r="H264" i="103"/>
  <c r="H201" i="103"/>
  <c r="B73" i="122"/>
  <c r="B74" i="122" s="1"/>
  <c r="B75" i="122" s="1"/>
  <c r="B76" i="122" s="1"/>
  <c r="B77" i="122" s="1"/>
  <c r="B78" i="122" s="1"/>
  <c r="B79" i="122" s="1"/>
  <c r="B80" i="122" s="1"/>
  <c r="B81" i="122" s="1"/>
  <c r="B82" i="122" s="1"/>
  <c r="B83" i="122" s="1"/>
  <c r="B84" i="122" s="1"/>
  <c r="B85" i="122" s="1"/>
  <c r="B86" i="122" s="1"/>
  <c r="B87" i="122" s="1"/>
  <c r="B88" i="122" s="1"/>
  <c r="B89" i="122" s="1"/>
  <c r="B90" i="122" s="1"/>
  <c r="B91" i="122" s="1"/>
  <c r="B92" i="122" s="1"/>
  <c r="B93" i="122" s="1"/>
  <c r="G171" i="103"/>
  <c r="G200" i="103"/>
  <c r="H145" i="103"/>
  <c r="G175" i="103"/>
  <c r="G237" i="103" s="1"/>
  <c r="G179" i="103"/>
  <c r="G241" i="103" s="1"/>
  <c r="G273" i="103" s="1"/>
  <c r="H196" i="103"/>
  <c r="H170" i="103"/>
  <c r="H178" i="103"/>
  <c r="H137" i="103"/>
  <c r="G172" i="103"/>
  <c r="G176" i="103"/>
  <c r="G238" i="103" s="1"/>
  <c r="G270" i="103" s="1"/>
  <c r="G302" i="103" s="1"/>
  <c r="G169" i="103"/>
  <c r="G231" i="103" s="1"/>
  <c r="G173" i="103"/>
  <c r="G235" i="103" s="1"/>
  <c r="G177" i="103"/>
  <c r="G239" i="103" s="1"/>
  <c r="G271" i="103" s="1"/>
  <c r="G174" i="103"/>
  <c r="G236" i="103" s="1"/>
  <c r="G268" i="103" s="1"/>
  <c r="G300" i="103" s="1"/>
  <c r="G167" i="103"/>
  <c r="H164" i="103"/>
  <c r="H127" i="103"/>
  <c r="H262" i="103" l="1"/>
  <c r="H168" i="81"/>
  <c r="H300" i="103"/>
  <c r="H302" i="103"/>
  <c r="H294" i="103"/>
  <c r="H271" i="103"/>
  <c r="G303" i="103"/>
  <c r="H240" i="103"/>
  <c r="H228" i="103"/>
  <c r="G260" i="103"/>
  <c r="G292" i="103" s="1"/>
  <c r="H324" i="103" s="1"/>
  <c r="H235" i="103"/>
  <c r="G267" i="103"/>
  <c r="G299" i="103" s="1"/>
  <c r="G305" i="103"/>
  <c r="H273" i="103"/>
  <c r="H272" i="103"/>
  <c r="G304" i="103"/>
  <c r="H231" i="103"/>
  <c r="G263" i="103"/>
  <c r="H237" i="103"/>
  <c r="G269" i="103"/>
  <c r="H232" i="103"/>
  <c r="H199" i="103"/>
  <c r="G203" i="103"/>
  <c r="G234" i="103"/>
  <c r="H171" i="103"/>
  <c r="G233" i="103"/>
  <c r="H167" i="103"/>
  <c r="G229" i="103"/>
  <c r="H175" i="103"/>
  <c r="H148" i="103"/>
  <c r="H152" i="103" s="1"/>
  <c r="H153" i="103" s="1"/>
  <c r="H154" i="103" s="1"/>
  <c r="H155" i="103" s="1"/>
  <c r="H161" i="81" s="1"/>
  <c r="H200" i="103"/>
  <c r="H179" i="103"/>
  <c r="G208" i="103"/>
  <c r="G206" i="103"/>
  <c r="H206" i="103" s="1"/>
  <c r="H204" i="103"/>
  <c r="G205" i="103"/>
  <c r="H202" i="103"/>
  <c r="H169" i="103"/>
  <c r="H207" i="103"/>
  <c r="H174" i="103"/>
  <c r="H176" i="103"/>
  <c r="H209" i="103"/>
  <c r="H177" i="103"/>
  <c r="H172" i="103"/>
  <c r="H173" i="103"/>
  <c r="G311" i="62"/>
  <c r="G333" i="62" s="1"/>
  <c r="Q240" i="80"/>
  <c r="Q227" i="80"/>
  <c r="K227" i="80"/>
  <c r="H17" i="81"/>
  <c r="K30" i="61"/>
  <c r="M169" i="95"/>
  <c r="M172" i="95" s="1"/>
  <c r="J30" i="61"/>
  <c r="O78" i="95"/>
  <c r="I77" i="95" s="1"/>
  <c r="K92" i="61"/>
  <c r="H333" i="62" l="1"/>
  <c r="G355" i="62"/>
  <c r="O21" i="95"/>
  <c r="O23" i="95" s="1"/>
  <c r="S227" i="80"/>
  <c r="T227" i="80" s="1"/>
  <c r="H305" i="103"/>
  <c r="H304" i="103"/>
  <c r="H299" i="103"/>
  <c r="H303" i="103"/>
  <c r="H233" i="103"/>
  <c r="G265" i="103"/>
  <c r="G297" i="103" s="1"/>
  <c r="G301" i="103"/>
  <c r="H269" i="103"/>
  <c r="H229" i="103"/>
  <c r="G261" i="103"/>
  <c r="H234" i="103"/>
  <c r="G266" i="103"/>
  <c r="H263" i="103"/>
  <c r="G295" i="103"/>
  <c r="H292" i="103"/>
  <c r="H260" i="103"/>
  <c r="H238" i="103"/>
  <c r="H267" i="103"/>
  <c r="H241" i="103"/>
  <c r="H270" i="103"/>
  <c r="H239" i="103"/>
  <c r="H268" i="103"/>
  <c r="H205" i="103"/>
  <c r="H208" i="103"/>
  <c r="H236" i="103"/>
  <c r="H203" i="103"/>
  <c r="H180" i="103"/>
  <c r="H184" i="103" s="1"/>
  <c r="H185" i="103" s="1"/>
  <c r="H186" i="103" s="1"/>
  <c r="H187" i="103" s="1"/>
  <c r="H400" i="62"/>
  <c r="H397" i="62"/>
  <c r="S240" i="80"/>
  <c r="T240" i="80" s="1"/>
  <c r="L30" i="61"/>
  <c r="M30" i="61" s="1"/>
  <c r="H157" i="81"/>
  <c r="H158" i="81"/>
  <c r="H159" i="81"/>
  <c r="H156" i="81"/>
  <c r="B97" i="122"/>
  <c r="B98" i="122" s="1"/>
  <c r="B99" i="122" s="1"/>
  <c r="B100" i="122" s="1"/>
  <c r="B101" i="122" s="1"/>
  <c r="B102" i="122" s="1"/>
  <c r="B103" i="122" s="1"/>
  <c r="B104" i="122" s="1"/>
  <c r="B105" i="122" s="1"/>
  <c r="B106" i="122" s="1"/>
  <c r="B107" i="122" s="1"/>
  <c r="B108" i="122" s="1"/>
  <c r="B109" i="122" s="1"/>
  <c r="B110" i="122" s="1"/>
  <c r="B111" i="122" s="1"/>
  <c r="B112" i="122" s="1"/>
  <c r="B113" i="122" s="1"/>
  <c r="B114" i="122" s="1"/>
  <c r="B115" i="122" s="1"/>
  <c r="G137" i="81"/>
  <c r="G743" i="123"/>
  <c r="G724" i="123"/>
  <c r="G725" i="123" s="1"/>
  <c r="H725" i="123" s="1"/>
  <c r="D758" i="123"/>
  <c r="D759" i="123"/>
  <c r="D760" i="123"/>
  <c r="D761" i="123"/>
  <c r="G764" i="123"/>
  <c r="H764" i="123" s="1"/>
  <c r="D780" i="123"/>
  <c r="D781" i="123"/>
  <c r="D782" i="123"/>
  <c r="D783" i="123"/>
  <c r="G786" i="123"/>
  <c r="H786" i="123" s="1"/>
  <c r="H788" i="123" s="1"/>
  <c r="H791" i="123"/>
  <c r="D802" i="123"/>
  <c r="D803" i="123"/>
  <c r="D804" i="123"/>
  <c r="D805" i="123"/>
  <c r="G808" i="123"/>
  <c r="G809" i="123" s="1"/>
  <c r="H809" i="123" s="1"/>
  <c r="H811" i="123"/>
  <c r="H812" i="123"/>
  <c r="D824" i="123"/>
  <c r="D825" i="123"/>
  <c r="D826" i="123"/>
  <c r="D827" i="123"/>
  <c r="G830" i="123"/>
  <c r="H830" i="123" s="1"/>
  <c r="D846" i="123"/>
  <c r="D847" i="123"/>
  <c r="D848" i="123"/>
  <c r="D849" i="123"/>
  <c r="G852" i="123"/>
  <c r="H852" i="123" s="1"/>
  <c r="D868" i="123"/>
  <c r="D869" i="123"/>
  <c r="D870" i="123"/>
  <c r="D871" i="123"/>
  <c r="G874" i="123"/>
  <c r="H874" i="123" s="1"/>
  <c r="H876" i="123" s="1"/>
  <c r="D890" i="123"/>
  <c r="D891" i="123"/>
  <c r="D892" i="123"/>
  <c r="D893" i="123"/>
  <c r="G896" i="123"/>
  <c r="H896" i="123" s="1"/>
  <c r="H898" i="123" s="1"/>
  <c r="D912" i="123"/>
  <c r="D913" i="123"/>
  <c r="D914" i="123"/>
  <c r="D915" i="123"/>
  <c r="G918" i="123"/>
  <c r="H918" i="123" s="1"/>
  <c r="H920" i="123" s="1"/>
  <c r="K919" i="123"/>
  <c r="G940" i="123"/>
  <c r="H940" i="123" s="1"/>
  <c r="H941" i="123"/>
  <c r="D956" i="123"/>
  <c r="D957" i="123"/>
  <c r="D958" i="123"/>
  <c r="D959" i="123"/>
  <c r="G962" i="123"/>
  <c r="H962" i="123" s="1"/>
  <c r="H963" i="123"/>
  <c r="G705" i="123"/>
  <c r="G686" i="123"/>
  <c r="G687" i="123" s="1"/>
  <c r="H687" i="123" s="1"/>
  <c r="G667" i="123"/>
  <c r="G668" i="123" s="1"/>
  <c r="H668" i="123" s="1"/>
  <c r="G647" i="123"/>
  <c r="G628" i="123"/>
  <c r="H628" i="123" s="1"/>
  <c r="G609" i="123"/>
  <c r="G590" i="123"/>
  <c r="H590" i="123" s="1"/>
  <c r="G571" i="123"/>
  <c r="G572" i="123" s="1"/>
  <c r="H572" i="123" s="1"/>
  <c r="G552" i="123"/>
  <c r="G553" i="123" s="1"/>
  <c r="H553" i="123" s="1"/>
  <c r="G533" i="123"/>
  <c r="G534" i="123" s="1"/>
  <c r="H534" i="123" s="1"/>
  <c r="G514" i="123"/>
  <c r="G515" i="123" s="1"/>
  <c r="H515" i="123" s="1"/>
  <c r="G262" i="81"/>
  <c r="G369" i="81" s="1"/>
  <c r="G495" i="123"/>
  <c r="G496" i="123" s="1"/>
  <c r="H496" i="123" s="1"/>
  <c r="G476" i="123"/>
  <c r="G477" i="123" s="1"/>
  <c r="H477" i="123" s="1"/>
  <c r="G456" i="123"/>
  <c r="G437" i="123"/>
  <c r="G417" i="123"/>
  <c r="G398" i="123"/>
  <c r="G379" i="123"/>
  <c r="G360" i="123"/>
  <c r="G341" i="123"/>
  <c r="G322" i="123"/>
  <c r="G303" i="123"/>
  <c r="G284" i="123"/>
  <c r="G265" i="123"/>
  <c r="G246" i="123"/>
  <c r="G227" i="123"/>
  <c r="G208" i="123"/>
  <c r="G189" i="123"/>
  <c r="G170" i="123"/>
  <c r="G151" i="123"/>
  <c r="G132" i="123"/>
  <c r="G114" i="123"/>
  <c r="G133" i="123" s="1"/>
  <c r="H133" i="123" s="1"/>
  <c r="G113" i="123"/>
  <c r="G93" i="123"/>
  <c r="G94" i="123" s="1"/>
  <c r="H94" i="123" s="1"/>
  <c r="G74" i="123"/>
  <c r="G75" i="123" s="1"/>
  <c r="H75" i="123" s="1"/>
  <c r="G54" i="123"/>
  <c r="G55" i="123" s="1"/>
  <c r="H55" i="123" s="1"/>
  <c r="G35" i="123"/>
  <c r="G36" i="123" s="1"/>
  <c r="H36" i="123" s="1"/>
  <c r="G16" i="123"/>
  <c r="H16" i="123" s="1"/>
  <c r="G13" i="123"/>
  <c r="G32" i="123" s="1"/>
  <c r="G11" i="123"/>
  <c r="G30" i="123" s="1"/>
  <c r="G12" i="123"/>
  <c r="G31" i="123" s="1"/>
  <c r="G10" i="123"/>
  <c r="G29" i="123" s="1"/>
  <c r="D740" i="123"/>
  <c r="D739" i="123"/>
  <c r="D738" i="123"/>
  <c r="D737" i="123"/>
  <c r="D721" i="123"/>
  <c r="D720" i="123"/>
  <c r="D719" i="123"/>
  <c r="D718" i="123"/>
  <c r="F702" i="123"/>
  <c r="F701" i="123"/>
  <c r="F700" i="123"/>
  <c r="F699" i="123"/>
  <c r="F683" i="123"/>
  <c r="G137" i="121"/>
  <c r="H137" i="121" s="1"/>
  <c r="G136" i="121"/>
  <c r="H136" i="121" s="1"/>
  <c r="G156" i="121"/>
  <c r="H156" i="121" s="1"/>
  <c r="G157" i="121"/>
  <c r="H157" i="121" s="1"/>
  <c r="G177" i="121"/>
  <c r="H177" i="121" s="1"/>
  <c r="G176" i="121"/>
  <c r="G197" i="121"/>
  <c r="H197" i="121" s="1"/>
  <c r="G196" i="121"/>
  <c r="H196" i="121" s="1"/>
  <c r="G216" i="121"/>
  <c r="H216" i="121" s="1"/>
  <c r="G11" i="121"/>
  <c r="G211" i="121" s="1"/>
  <c r="G12" i="121"/>
  <c r="G212" i="121" s="1"/>
  <c r="G13" i="121"/>
  <c r="G193" i="121" s="1"/>
  <c r="G235" i="121"/>
  <c r="G255" i="121"/>
  <c r="H255" i="121" s="1"/>
  <c r="G274" i="121"/>
  <c r="G293" i="121"/>
  <c r="H293" i="121" s="1"/>
  <c r="G312" i="121"/>
  <c r="G331" i="121"/>
  <c r="G351" i="121"/>
  <c r="H351" i="121" s="1"/>
  <c r="G372" i="121"/>
  <c r="G391" i="121"/>
  <c r="H391" i="121" s="1"/>
  <c r="G410" i="121"/>
  <c r="G429" i="121"/>
  <c r="G178" i="81"/>
  <c r="G448" i="121"/>
  <c r="G467" i="121"/>
  <c r="H467" i="121" s="1"/>
  <c r="G486" i="121"/>
  <c r="G506" i="121"/>
  <c r="H506" i="121" s="1"/>
  <c r="G526" i="121"/>
  <c r="H526" i="121" s="1"/>
  <c r="G176" i="81"/>
  <c r="G547" i="121"/>
  <c r="H547" i="121" s="1"/>
  <c r="G546" i="121"/>
  <c r="H546" i="121" s="1"/>
  <c r="G548" i="121"/>
  <c r="G117" i="121"/>
  <c r="H117" i="121" s="1"/>
  <c r="G116" i="121"/>
  <c r="H116" i="121" s="1"/>
  <c r="G164" i="81"/>
  <c r="G97" i="121"/>
  <c r="G98" i="121" s="1"/>
  <c r="H98" i="121" s="1"/>
  <c r="D70" i="121"/>
  <c r="N75" i="121"/>
  <c r="G56" i="121"/>
  <c r="G76" i="121" s="1"/>
  <c r="H76" i="121" s="1"/>
  <c r="G18" i="121"/>
  <c r="G38" i="121" s="1"/>
  <c r="H38" i="121" s="1"/>
  <c r="G17" i="121"/>
  <c r="G37" i="121" s="1"/>
  <c r="G57" i="121" s="1"/>
  <c r="G77" i="121" s="1"/>
  <c r="H77" i="121" s="1"/>
  <c r="G16" i="121"/>
  <c r="G36" i="121" s="1"/>
  <c r="B5" i="122"/>
  <c r="B6" i="122"/>
  <c r="B4" i="122"/>
  <c r="G10" i="121"/>
  <c r="G540" i="121" s="1"/>
  <c r="B4" i="121"/>
  <c r="B4" i="123" s="1"/>
  <c r="B5" i="121"/>
  <c r="B5" i="123" s="1"/>
  <c r="B3" i="121"/>
  <c r="B3" i="123" s="1"/>
  <c r="D407" i="121"/>
  <c r="D426" i="121" s="1"/>
  <c r="D464" i="121" s="1"/>
  <c r="D406" i="121"/>
  <c r="D425" i="121" s="1"/>
  <c r="D463" i="121" s="1"/>
  <c r="D405" i="121"/>
  <c r="D424" i="121" s="1"/>
  <c r="D443" i="121" s="1"/>
  <c r="D481" i="121" s="1"/>
  <c r="D404" i="121"/>
  <c r="D423" i="121" s="1"/>
  <c r="D442" i="121" s="1"/>
  <c r="D480" i="121" s="1"/>
  <c r="D13" i="121"/>
  <c r="D53" i="121" s="1"/>
  <c r="D12" i="121"/>
  <c r="D11" i="121"/>
  <c r="D51" i="121" s="1"/>
  <c r="D72" i="121" s="1"/>
  <c r="D10" i="121"/>
  <c r="D30" i="121" s="1"/>
  <c r="G379" i="81"/>
  <c r="G52" i="62"/>
  <c r="I49" i="61"/>
  <c r="I27" i="61"/>
  <c r="I16" i="61"/>
  <c r="I17" i="61"/>
  <c r="H355" i="62" l="1"/>
  <c r="G376" i="62"/>
  <c r="H376" i="62" s="1"/>
  <c r="H265" i="103"/>
  <c r="G135" i="81"/>
  <c r="G266" i="81" s="1"/>
  <c r="G373" i="81" s="1"/>
  <c r="G133" i="81"/>
  <c r="G182" i="81"/>
  <c r="G288" i="81" s="1"/>
  <c r="G399" i="81" s="1"/>
  <c r="G177" i="81"/>
  <c r="G283" i="81" s="1"/>
  <c r="G393" i="81" s="1"/>
  <c r="G278" i="81"/>
  <c r="G387" i="81" s="1"/>
  <c r="G132" i="81"/>
  <c r="G260" i="81" s="1"/>
  <c r="G367" i="81" s="1"/>
  <c r="G174" i="81"/>
  <c r="G280" i="81" s="1"/>
  <c r="G390" i="81" s="1"/>
  <c r="G181" i="81"/>
  <c r="G287" i="81" s="1"/>
  <c r="G398" i="81" s="1"/>
  <c r="G180" i="81"/>
  <c r="G286" i="81" s="1"/>
  <c r="G397" i="81" s="1"/>
  <c r="G175" i="81"/>
  <c r="G281" i="81" s="1"/>
  <c r="G391" i="81" s="1"/>
  <c r="H162" i="81"/>
  <c r="G268" i="81"/>
  <c r="G375" i="81" s="1"/>
  <c r="B116" i="122"/>
  <c r="B117" i="122" s="1"/>
  <c r="B118" i="122" s="1"/>
  <c r="B119" i="122" s="1"/>
  <c r="B120" i="122" s="1"/>
  <c r="B121" i="122" s="1"/>
  <c r="B122" i="122" s="1"/>
  <c r="B123" i="122" s="1"/>
  <c r="H242" i="103"/>
  <c r="H246" i="103" s="1"/>
  <c r="H247" i="103" s="1"/>
  <c r="H248" i="103" s="1"/>
  <c r="H249" i="103" s="1"/>
  <c r="H295" i="103"/>
  <c r="H297" i="103"/>
  <c r="H301" i="103"/>
  <c r="G298" i="103"/>
  <c r="H266" i="103"/>
  <c r="H210" i="103"/>
  <c r="H214" i="103" s="1"/>
  <c r="H215" i="103" s="1"/>
  <c r="H216" i="103" s="1"/>
  <c r="H217" i="103" s="1"/>
  <c r="G293" i="103"/>
  <c r="H261" i="103"/>
  <c r="G261" i="81"/>
  <c r="G368" i="81" s="1"/>
  <c r="G263" i="81"/>
  <c r="G370" i="81" s="1"/>
  <c r="G284" i="81"/>
  <c r="G394" i="81" s="1"/>
  <c r="G264" i="81"/>
  <c r="G371" i="81" s="1"/>
  <c r="G282" i="81"/>
  <c r="G392" i="81" s="1"/>
  <c r="G165" i="81"/>
  <c r="H813" i="123"/>
  <c r="G897" i="123"/>
  <c r="H897" i="123" s="1"/>
  <c r="G853" i="123"/>
  <c r="H853" i="123" s="1"/>
  <c r="H854" i="123" s="1"/>
  <c r="H808" i="123"/>
  <c r="H810" i="123" s="1"/>
  <c r="G765" i="123"/>
  <c r="H765" i="123" s="1"/>
  <c r="H766" i="123" s="1"/>
  <c r="H964" i="123"/>
  <c r="H942" i="123"/>
  <c r="G919" i="123"/>
  <c r="H919" i="123" s="1"/>
  <c r="G875" i="123"/>
  <c r="H875" i="123" s="1"/>
  <c r="G831" i="123"/>
  <c r="H831" i="123" s="1"/>
  <c r="H832" i="123" s="1"/>
  <c r="G787" i="123"/>
  <c r="H787" i="123" s="1"/>
  <c r="G138" i="121"/>
  <c r="H138" i="121" s="1"/>
  <c r="H139" i="121" s="1"/>
  <c r="H114" i="123"/>
  <c r="G152" i="123"/>
  <c r="H10" i="123"/>
  <c r="H265" i="123"/>
  <c r="H13" i="123"/>
  <c r="G591" i="123"/>
  <c r="H591" i="123" s="1"/>
  <c r="H592" i="123" s="1"/>
  <c r="H54" i="123"/>
  <c r="H56" i="123" s="1"/>
  <c r="H189" i="123"/>
  <c r="H284" i="123"/>
  <c r="H552" i="123"/>
  <c r="H554" i="123" s="1"/>
  <c r="G17" i="123"/>
  <c r="H17" i="123" s="1"/>
  <c r="H18" i="123" s="1"/>
  <c r="H170" i="123"/>
  <c r="H208" i="123"/>
  <c r="H360" i="123"/>
  <c r="H398" i="123"/>
  <c r="H437" i="123"/>
  <c r="H476" i="123"/>
  <c r="H478" i="123" s="1"/>
  <c r="G629" i="123"/>
  <c r="H629" i="123" s="1"/>
  <c r="H630" i="123" s="1"/>
  <c r="H667" i="123"/>
  <c r="H669" i="123" s="1"/>
  <c r="H74" i="123"/>
  <c r="H76" i="123" s="1"/>
  <c r="H151" i="123"/>
  <c r="H227" i="123"/>
  <c r="H322" i="123"/>
  <c r="H514" i="123"/>
  <c r="H516" i="123" s="1"/>
  <c r="H686" i="123"/>
  <c r="H688" i="123" s="1"/>
  <c r="H724" i="123"/>
  <c r="H726" i="123" s="1"/>
  <c r="G48" i="123"/>
  <c r="G68" i="123" s="1"/>
  <c r="G87" i="123" s="1"/>
  <c r="H11" i="123"/>
  <c r="H93" i="123"/>
  <c r="H95" i="123" s="1"/>
  <c r="H113" i="123"/>
  <c r="H132" i="123"/>
  <c r="H134" i="123" s="1"/>
  <c r="H246" i="123"/>
  <c r="H303" i="123"/>
  <c r="G50" i="123"/>
  <c r="H31" i="123"/>
  <c r="G49" i="123"/>
  <c r="H30" i="123"/>
  <c r="H32" i="123"/>
  <c r="G51" i="123"/>
  <c r="H12" i="123"/>
  <c r="H35" i="123"/>
  <c r="H37" i="123" s="1"/>
  <c r="G610" i="123"/>
  <c r="H610" i="123" s="1"/>
  <c r="H609" i="123"/>
  <c r="G744" i="123"/>
  <c r="H744" i="123" s="1"/>
  <c r="H743" i="123"/>
  <c r="G706" i="123"/>
  <c r="H706" i="123" s="1"/>
  <c r="H705" i="123"/>
  <c r="H341" i="123"/>
  <c r="H379" i="123"/>
  <c r="H417" i="123"/>
  <c r="H456" i="123"/>
  <c r="H495" i="123"/>
  <c r="H497" i="123" s="1"/>
  <c r="H533" i="123"/>
  <c r="H535" i="123" s="1"/>
  <c r="H571" i="123"/>
  <c r="H573" i="123" s="1"/>
  <c r="G648" i="123"/>
  <c r="H648" i="123" s="1"/>
  <c r="H647" i="123"/>
  <c r="G152" i="121"/>
  <c r="G150" i="121"/>
  <c r="G158" i="121"/>
  <c r="H158" i="121" s="1"/>
  <c r="H159" i="121" s="1"/>
  <c r="G151" i="121"/>
  <c r="G153" i="121"/>
  <c r="G31" i="121"/>
  <c r="G51" i="121" s="1"/>
  <c r="G71" i="121" s="1"/>
  <c r="H71" i="121" s="1"/>
  <c r="G170" i="121"/>
  <c r="G173" i="121"/>
  <c r="G172" i="121"/>
  <c r="G178" i="121"/>
  <c r="H178" i="121" s="1"/>
  <c r="G171" i="121"/>
  <c r="H13" i="121"/>
  <c r="G191" i="121"/>
  <c r="G32" i="121"/>
  <c r="G52" i="121" s="1"/>
  <c r="G72" i="121" s="1"/>
  <c r="H72" i="121" s="1"/>
  <c r="G210" i="121"/>
  <c r="G213" i="121"/>
  <c r="G190" i="121"/>
  <c r="G198" i="121"/>
  <c r="H198" i="121" s="1"/>
  <c r="H199" i="121" s="1"/>
  <c r="G192" i="121"/>
  <c r="G217" i="121"/>
  <c r="H217" i="121" s="1"/>
  <c r="H218" i="121" s="1"/>
  <c r="G230" i="121"/>
  <c r="G231" i="121"/>
  <c r="G251" i="121"/>
  <c r="G229" i="121"/>
  <c r="G236" i="121"/>
  <c r="H236" i="121" s="1"/>
  <c r="G232" i="121"/>
  <c r="G271" i="121"/>
  <c r="G249" i="121"/>
  <c r="G256" i="121"/>
  <c r="H256" i="121" s="1"/>
  <c r="H257" i="121" s="1"/>
  <c r="G252" i="121"/>
  <c r="G250" i="121"/>
  <c r="G270" i="121"/>
  <c r="G269" i="121"/>
  <c r="G268" i="121"/>
  <c r="G275" i="121"/>
  <c r="H275" i="121" s="1"/>
  <c r="G290" i="121"/>
  <c r="G289" i="121"/>
  <c r="G294" i="121"/>
  <c r="H294" i="121" s="1"/>
  <c r="H295" i="121" s="1"/>
  <c r="G288" i="121"/>
  <c r="G287" i="121"/>
  <c r="G313" i="121"/>
  <c r="H313" i="121" s="1"/>
  <c r="G325" i="121"/>
  <c r="G332" i="121"/>
  <c r="H332" i="121" s="1"/>
  <c r="G326" i="121"/>
  <c r="G328" i="121"/>
  <c r="G333" i="121"/>
  <c r="H333" i="121" s="1"/>
  <c r="G327" i="121"/>
  <c r="G353" i="121"/>
  <c r="G352" i="121"/>
  <c r="H352" i="121" s="1"/>
  <c r="G348" i="121"/>
  <c r="G367" i="121"/>
  <c r="H367" i="121" s="1"/>
  <c r="G347" i="121"/>
  <c r="G346" i="121"/>
  <c r="G345" i="121"/>
  <c r="G368" i="121"/>
  <c r="H368" i="121" s="1"/>
  <c r="G366" i="121"/>
  <c r="H366" i="121" s="1"/>
  <c r="G369" i="121"/>
  <c r="H369" i="121" s="1"/>
  <c r="G386" i="121"/>
  <c r="H386" i="121" s="1"/>
  <c r="G385" i="121"/>
  <c r="H385" i="121" s="1"/>
  <c r="G388" i="121"/>
  <c r="H388" i="121" s="1"/>
  <c r="G406" i="121"/>
  <c r="G387" i="121"/>
  <c r="H387" i="121" s="1"/>
  <c r="G405" i="121"/>
  <c r="H405" i="121" s="1"/>
  <c r="G404" i="121"/>
  <c r="H404" i="121" s="1"/>
  <c r="G407" i="121"/>
  <c r="G500" i="121"/>
  <c r="H500" i="121" s="1"/>
  <c r="G503" i="121"/>
  <c r="H503" i="121" s="1"/>
  <c r="G502" i="121"/>
  <c r="H502" i="121" s="1"/>
  <c r="G501" i="121"/>
  <c r="H501" i="121" s="1"/>
  <c r="G527" i="121"/>
  <c r="G520" i="121"/>
  <c r="G528" i="121"/>
  <c r="G523" i="121"/>
  <c r="H523" i="121" s="1"/>
  <c r="G543" i="121"/>
  <c r="H543" i="121" s="1"/>
  <c r="G522" i="121"/>
  <c r="G521" i="121"/>
  <c r="H521" i="121" s="1"/>
  <c r="G542" i="121"/>
  <c r="G541" i="121"/>
  <c r="H541" i="121" s="1"/>
  <c r="H16" i="121"/>
  <c r="G58" i="121"/>
  <c r="G78" i="121" s="1"/>
  <c r="H78" i="121" s="1"/>
  <c r="H79" i="121" s="1"/>
  <c r="H18" i="121"/>
  <c r="H17" i="121"/>
  <c r="H12" i="121"/>
  <c r="G30" i="121"/>
  <c r="G33" i="121"/>
  <c r="H331" i="121"/>
  <c r="H429" i="121"/>
  <c r="H410" i="121"/>
  <c r="H11" i="121"/>
  <c r="D50" i="121"/>
  <c r="D71" i="121" s="1"/>
  <c r="H56" i="121"/>
  <c r="H97" i="121"/>
  <c r="H99" i="121" s="1"/>
  <c r="H10" i="121"/>
  <c r="H36" i="121"/>
  <c r="H448" i="121"/>
  <c r="H486" i="121"/>
  <c r="D52" i="121"/>
  <c r="D73" i="121" s="1"/>
  <c r="D32" i="121"/>
  <c r="G118" i="121"/>
  <c r="H118" i="121" s="1"/>
  <c r="H119" i="121" s="1"/>
  <c r="D444" i="121"/>
  <c r="D482" i="121" s="1"/>
  <c r="D31" i="121"/>
  <c r="H176" i="121"/>
  <c r="D461" i="121"/>
  <c r="H312" i="121"/>
  <c r="H372" i="121"/>
  <c r="D462" i="121"/>
  <c r="D33" i="121"/>
  <c r="H274" i="121"/>
  <c r="D445" i="121"/>
  <c r="D483" i="121" s="1"/>
  <c r="H235" i="121"/>
  <c r="H548" i="121"/>
  <c r="H549" i="121" s="1"/>
  <c r="H95" i="103"/>
  <c r="H94" i="103"/>
  <c r="G91" i="103"/>
  <c r="G90" i="103"/>
  <c r="G89" i="103"/>
  <c r="G88" i="103"/>
  <c r="G101" i="103"/>
  <c r="G695" i="80"/>
  <c r="Q695" i="80" s="1"/>
  <c r="T695" i="80" s="1"/>
  <c r="F340" i="81"/>
  <c r="F341" i="81"/>
  <c r="F339" i="81"/>
  <c r="B277" i="81"/>
  <c r="B279" i="81" s="1"/>
  <c r="B285" i="81" s="1"/>
  <c r="F234" i="81"/>
  <c r="B386" i="81"/>
  <c r="B389" i="81" s="1"/>
  <c r="B396" i="81" s="1"/>
  <c r="F105" i="81"/>
  <c r="D514" i="80"/>
  <c r="H148" i="81"/>
  <c r="C20" i="68"/>
  <c r="B20" i="68"/>
  <c r="F145" i="62"/>
  <c r="G137" i="62"/>
  <c r="H137" i="62" s="1"/>
  <c r="G136" i="62"/>
  <c r="H136" i="62" s="1"/>
  <c r="F331" i="81"/>
  <c r="E331" i="81"/>
  <c r="F397" i="81"/>
  <c r="F398" i="81"/>
  <c r="F399" i="81"/>
  <c r="F390" i="81"/>
  <c r="F391" i="81"/>
  <c r="F392" i="81"/>
  <c r="F393" i="81"/>
  <c r="F394" i="81"/>
  <c r="F384" i="81"/>
  <c r="F387" i="81"/>
  <c r="E384" i="81"/>
  <c r="E387" i="81"/>
  <c r="F376" i="81"/>
  <c r="F377" i="81"/>
  <c r="F378" i="81"/>
  <c r="F379" i="81"/>
  <c r="E379" i="81"/>
  <c r="E378" i="81"/>
  <c r="E377" i="81"/>
  <c r="E376" i="81"/>
  <c r="F373" i="81"/>
  <c r="F374" i="81"/>
  <c r="F375" i="81"/>
  <c r="E375" i="81"/>
  <c r="E374" i="81"/>
  <c r="E373" i="81"/>
  <c r="F367" i="81"/>
  <c r="F368" i="81"/>
  <c r="F369" i="81"/>
  <c r="F370" i="81"/>
  <c r="F371" i="81"/>
  <c r="E371" i="81"/>
  <c r="E370" i="81"/>
  <c r="E369" i="81"/>
  <c r="E368" i="81"/>
  <c r="E367" i="81"/>
  <c r="F286" i="81"/>
  <c r="F287" i="81"/>
  <c r="F288" i="81"/>
  <c r="F281" i="81"/>
  <c r="F282" i="81"/>
  <c r="F283" i="81"/>
  <c r="F284" i="81"/>
  <c r="F280" i="81"/>
  <c r="F276" i="81"/>
  <c r="F278" i="81"/>
  <c r="E278" i="81"/>
  <c r="E276" i="81"/>
  <c r="F266" i="81"/>
  <c r="F267" i="81"/>
  <c r="F268" i="81"/>
  <c r="E268" i="81"/>
  <c r="E266" i="81"/>
  <c r="E267" i="81"/>
  <c r="F270" i="81"/>
  <c r="F271" i="81"/>
  <c r="F269" i="81"/>
  <c r="F261" i="81"/>
  <c r="E262" i="81"/>
  <c r="F262" i="81"/>
  <c r="F263" i="81"/>
  <c r="E264" i="81"/>
  <c r="F264" i="81"/>
  <c r="F260" i="81"/>
  <c r="E263" i="81"/>
  <c r="E261" i="81"/>
  <c r="E260" i="81"/>
  <c r="F180" i="81"/>
  <c r="F181" i="81"/>
  <c r="F182" i="81"/>
  <c r="S745" i="80"/>
  <c r="T745" i="80" s="1"/>
  <c r="E182" i="81" s="1"/>
  <c r="E288" i="81" s="1"/>
  <c r="E399" i="81" s="1"/>
  <c r="S744" i="80"/>
  <c r="T744" i="80" s="1"/>
  <c r="E181" i="81" s="1"/>
  <c r="E287" i="81" s="1"/>
  <c r="E398" i="81" s="1"/>
  <c r="S743" i="80"/>
  <c r="T743" i="80" s="1"/>
  <c r="E180" i="81" s="1"/>
  <c r="E286" i="81" s="1"/>
  <c r="E397" i="81" s="1"/>
  <c r="D744" i="80"/>
  <c r="D745" i="80"/>
  <c r="D743" i="80"/>
  <c r="D742" i="80"/>
  <c r="F174" i="81"/>
  <c r="F175" i="81"/>
  <c r="F176" i="81"/>
  <c r="F177" i="81"/>
  <c r="F178" i="81"/>
  <c r="S737" i="80"/>
  <c r="T737" i="80" s="1"/>
  <c r="E177" i="81" s="1"/>
  <c r="S738" i="80"/>
  <c r="T738" i="80" s="1"/>
  <c r="E178" i="81" s="1"/>
  <c r="S739" i="80"/>
  <c r="T739" i="80" s="1"/>
  <c r="S740" i="80"/>
  <c r="T740" i="80" s="1"/>
  <c r="S736" i="80"/>
  <c r="T736" i="80" s="1"/>
  <c r="S735" i="80"/>
  <c r="T735" i="80" s="1"/>
  <c r="E176" i="81" s="1"/>
  <c r="S734" i="80"/>
  <c r="T734" i="80" s="1"/>
  <c r="E175" i="81" s="1"/>
  <c r="S733" i="80"/>
  <c r="T733" i="80" s="1"/>
  <c r="E174" i="81" s="1"/>
  <c r="D734" i="80"/>
  <c r="D735" i="80"/>
  <c r="D736" i="80"/>
  <c r="D737" i="80"/>
  <c r="D738" i="80"/>
  <c r="D739" i="80"/>
  <c r="D740" i="80"/>
  <c r="D733" i="80"/>
  <c r="D732" i="80"/>
  <c r="B160" i="81"/>
  <c r="B163" i="81" s="1"/>
  <c r="B166" i="81" s="1"/>
  <c r="B173" i="81" s="1"/>
  <c r="B179" i="81" s="1"/>
  <c r="F167" i="81"/>
  <c r="F168" i="81"/>
  <c r="S730" i="80"/>
  <c r="T730" i="80" s="1"/>
  <c r="E168" i="81" s="1"/>
  <c r="I168" i="81" s="1"/>
  <c r="S729" i="80"/>
  <c r="T729" i="80" s="1"/>
  <c r="E167" i="81" s="1"/>
  <c r="I167" i="81" s="1"/>
  <c r="D730" i="80"/>
  <c r="D729" i="80"/>
  <c r="D728" i="80"/>
  <c r="F164" i="81"/>
  <c r="F165" i="81"/>
  <c r="S726" i="80"/>
  <c r="T726" i="80" s="1"/>
  <c r="S725" i="80"/>
  <c r="T725" i="80" s="1"/>
  <c r="S724" i="80"/>
  <c r="T724" i="80" s="1"/>
  <c r="E165" i="81" s="1"/>
  <c r="S723" i="80"/>
  <c r="T723" i="80" s="1"/>
  <c r="E164" i="81" s="1"/>
  <c r="D726" i="80"/>
  <c r="D723" i="80"/>
  <c r="D724" i="80"/>
  <c r="D725" i="80"/>
  <c r="D722" i="80"/>
  <c r="F161" i="81"/>
  <c r="F162" i="81"/>
  <c r="S720" i="80"/>
  <c r="T720" i="80" s="1"/>
  <c r="S719" i="80"/>
  <c r="T719" i="80" s="1"/>
  <c r="E162" i="81" s="1"/>
  <c r="S718" i="80"/>
  <c r="T718" i="80" s="1"/>
  <c r="E161" i="81" s="1"/>
  <c r="I161" i="81" s="1"/>
  <c r="D720" i="80"/>
  <c r="D719" i="80"/>
  <c r="D718" i="80"/>
  <c r="D717" i="80"/>
  <c r="F156" i="81"/>
  <c r="F157" i="81"/>
  <c r="F158" i="81"/>
  <c r="F159" i="81"/>
  <c r="S713" i="80"/>
  <c r="T713" i="80" s="1"/>
  <c r="E157" i="81" s="1"/>
  <c r="I157" i="81" s="1"/>
  <c r="S714" i="80"/>
  <c r="T714" i="80" s="1"/>
  <c r="E158" i="81" s="1"/>
  <c r="I158" i="81" s="1"/>
  <c r="S715" i="80"/>
  <c r="T715" i="80" s="1"/>
  <c r="E159" i="81" s="1"/>
  <c r="I159" i="81" s="1"/>
  <c r="S712" i="80"/>
  <c r="T712" i="80" s="1"/>
  <c r="E156" i="81" s="1"/>
  <c r="I156" i="81" s="1"/>
  <c r="D715" i="80"/>
  <c r="D713" i="80"/>
  <c r="D714" i="80"/>
  <c r="D712" i="80"/>
  <c r="D711" i="80"/>
  <c r="C709" i="80"/>
  <c r="B709" i="80"/>
  <c r="W708" i="80"/>
  <c r="D706" i="80"/>
  <c r="S705" i="80"/>
  <c r="T705" i="80" s="1"/>
  <c r="E704" i="80"/>
  <c r="W703" i="80" s="1"/>
  <c r="E703" i="80"/>
  <c r="W704" i="80" s="1"/>
  <c r="O704" i="80"/>
  <c r="Q703" i="80"/>
  <c r="Q704" i="80" s="1"/>
  <c r="S701" i="80"/>
  <c r="T701" i="80" s="1"/>
  <c r="S700" i="80"/>
  <c r="T700" i="80" s="1"/>
  <c r="S699" i="80"/>
  <c r="T699" i="80" s="1"/>
  <c r="F148" i="81"/>
  <c r="F149" i="81"/>
  <c r="F150" i="81"/>
  <c r="F151" i="81"/>
  <c r="S693" i="80"/>
  <c r="T693" i="80" s="1"/>
  <c r="S696" i="80"/>
  <c r="T696" i="80" s="1"/>
  <c r="S694" i="80"/>
  <c r="T694" i="80" s="1"/>
  <c r="F147" i="81"/>
  <c r="Q692" i="80"/>
  <c r="Q691" i="80"/>
  <c r="F146" i="81"/>
  <c r="W688" i="80"/>
  <c r="W689" i="80"/>
  <c r="W684" i="80"/>
  <c r="W685" i="80"/>
  <c r="D687" i="80"/>
  <c r="O689" i="80"/>
  <c r="Q688" i="80"/>
  <c r="Q689" i="80" s="1"/>
  <c r="Q685" i="80"/>
  <c r="Q686" i="80" s="1"/>
  <c r="O686" i="80"/>
  <c r="F145" i="81"/>
  <c r="I682" i="80"/>
  <c r="S682" i="80" s="1"/>
  <c r="S681" i="80"/>
  <c r="F144" i="81"/>
  <c r="F143" i="81"/>
  <c r="E678" i="80"/>
  <c r="Q678" i="80" s="1"/>
  <c r="E677" i="80"/>
  <c r="Q677" i="80" s="1"/>
  <c r="F138" i="81"/>
  <c r="F139" i="81"/>
  <c r="F140" i="81"/>
  <c r="F142" i="81"/>
  <c r="S674" i="80"/>
  <c r="S675" i="80"/>
  <c r="D701" i="80"/>
  <c r="D702" i="80"/>
  <c r="D705" i="80"/>
  <c r="S670" i="80"/>
  <c r="T670" i="80" s="1"/>
  <c r="E140" i="81" s="1"/>
  <c r="S669" i="80"/>
  <c r="T669" i="80" s="1"/>
  <c r="E139" i="81" s="1"/>
  <c r="S668" i="80"/>
  <c r="T668" i="80" s="1"/>
  <c r="E138" i="81" s="1"/>
  <c r="D698" i="80"/>
  <c r="D695" i="80"/>
  <c r="D696" i="80"/>
  <c r="D699" i="80"/>
  <c r="D700" i="80"/>
  <c r="D676" i="80"/>
  <c r="D679" i="80"/>
  <c r="D680" i="80"/>
  <c r="D683" i="80"/>
  <c r="D690" i="80"/>
  <c r="D693" i="80"/>
  <c r="D694" i="80"/>
  <c r="D673" i="80"/>
  <c r="D669" i="80"/>
  <c r="D670" i="80"/>
  <c r="D672" i="80"/>
  <c r="D668" i="80"/>
  <c r="S666" i="80"/>
  <c r="T666" i="80" s="1"/>
  <c r="E137" i="81" s="1"/>
  <c r="K664" i="80"/>
  <c r="T664" i="80" s="1"/>
  <c r="F132" i="81"/>
  <c r="F133" i="81"/>
  <c r="F135" i="81"/>
  <c r="F136" i="81"/>
  <c r="F137" i="81"/>
  <c r="S661" i="80"/>
  <c r="T661" i="80" s="1"/>
  <c r="E133" i="81" s="1"/>
  <c r="S665" i="80"/>
  <c r="T665" i="80" s="1"/>
  <c r="E136" i="81" s="1"/>
  <c r="S660" i="80"/>
  <c r="T660" i="80" s="1"/>
  <c r="E132" i="81" s="1"/>
  <c r="D663" i="80"/>
  <c r="D661" i="80"/>
  <c r="D664" i="80"/>
  <c r="D665" i="80"/>
  <c r="D666" i="80"/>
  <c r="D660" i="80"/>
  <c r="D659" i="80"/>
  <c r="S655" i="80"/>
  <c r="T655" i="80" s="1"/>
  <c r="S656" i="80"/>
  <c r="T656" i="80" s="1"/>
  <c r="S657" i="80"/>
  <c r="T657" i="80" s="1"/>
  <c r="D650" i="80"/>
  <c r="D651" i="80"/>
  <c r="D652" i="80"/>
  <c r="D653" i="80"/>
  <c r="D654" i="80"/>
  <c r="D655" i="80"/>
  <c r="D656" i="80"/>
  <c r="D657" i="80"/>
  <c r="D649" i="80"/>
  <c r="S652" i="80"/>
  <c r="T652" i="80" s="1"/>
  <c r="S650" i="80"/>
  <c r="T650" i="80" s="1"/>
  <c r="S651" i="80"/>
  <c r="T651" i="80" s="1"/>
  <c r="S653" i="80"/>
  <c r="T653" i="80" s="1"/>
  <c r="S654" i="80"/>
  <c r="T654" i="80" s="1"/>
  <c r="S649" i="80"/>
  <c r="T649" i="80" s="1"/>
  <c r="S648" i="80"/>
  <c r="T648" i="80" s="1"/>
  <c r="S646" i="80"/>
  <c r="T646" i="80" s="1"/>
  <c r="D648" i="80"/>
  <c r="D646" i="80"/>
  <c r="D40" i="82"/>
  <c r="B40" i="82"/>
  <c r="B372" i="81"/>
  <c r="B376" i="81" s="1"/>
  <c r="B377" i="81" s="1"/>
  <c r="B378" i="81" s="1"/>
  <c r="B379" i="81" s="1"/>
  <c r="D30" i="82"/>
  <c r="B30" i="82"/>
  <c r="B265" i="81"/>
  <c r="B269" i="81" s="1"/>
  <c r="B270" i="81" s="1"/>
  <c r="B271" i="81" s="1"/>
  <c r="D20" i="82"/>
  <c r="B20" i="82"/>
  <c r="Q542" i="80"/>
  <c r="S542" i="80" s="1"/>
  <c r="D541" i="80"/>
  <c r="S535" i="80"/>
  <c r="F419" i="81"/>
  <c r="F350" i="81"/>
  <c r="F413" i="81"/>
  <c r="F414" i="81"/>
  <c r="B414" i="81"/>
  <c r="F409" i="81"/>
  <c r="F407" i="81"/>
  <c r="F408" i="81"/>
  <c r="F205" i="81"/>
  <c r="F206" i="81"/>
  <c r="F207" i="81"/>
  <c r="F208" i="81"/>
  <c r="F70" i="81"/>
  <c r="F71" i="81"/>
  <c r="F72" i="81"/>
  <c r="F73" i="81"/>
  <c r="Q361" i="80"/>
  <c r="H88" i="103" l="1"/>
  <c r="G362" i="103"/>
  <c r="H362" i="103" s="1"/>
  <c r="H89" i="103"/>
  <c r="G363" i="103"/>
  <c r="H363" i="103" s="1"/>
  <c r="H90" i="103"/>
  <c r="G364" i="103"/>
  <c r="H364" i="103" s="1"/>
  <c r="H91" i="103"/>
  <c r="H92" i="103" s="1"/>
  <c r="G365" i="103"/>
  <c r="H365" i="103" s="1"/>
  <c r="E150" i="81"/>
  <c r="E149" i="81"/>
  <c r="E151" i="81"/>
  <c r="G444" i="121"/>
  <c r="E148" i="81"/>
  <c r="E135" i="81"/>
  <c r="G136" i="81"/>
  <c r="G267" i="81" s="1"/>
  <c r="G374" i="81" s="1"/>
  <c r="G149" i="81"/>
  <c r="G415" i="81"/>
  <c r="G142" i="81"/>
  <c r="G103" i="81"/>
  <c r="G102" i="81"/>
  <c r="G104" i="81"/>
  <c r="G100" i="81"/>
  <c r="G101" i="81"/>
  <c r="G87" i="81"/>
  <c r="G150" i="81"/>
  <c r="G105" i="81"/>
  <c r="G234" i="81" s="1"/>
  <c r="I162" i="81"/>
  <c r="H276" i="81"/>
  <c r="I276" i="81" s="1"/>
  <c r="E282" i="81"/>
  <c r="E392" i="81"/>
  <c r="E280" i="81"/>
  <c r="E390" i="81"/>
  <c r="E283" i="81"/>
  <c r="E393" i="81"/>
  <c r="E284" i="81"/>
  <c r="E394" i="81"/>
  <c r="E281" i="81"/>
  <c r="E391" i="81"/>
  <c r="B124" i="122"/>
  <c r="B125" i="122" s="1"/>
  <c r="B126" i="122" s="1"/>
  <c r="B127" i="122" s="1"/>
  <c r="B128" i="122" s="1"/>
  <c r="B129" i="122" s="1"/>
  <c r="B130" i="122" s="1"/>
  <c r="B131" i="122" s="1"/>
  <c r="B132" i="122" s="1"/>
  <c r="B133" i="122" s="1"/>
  <c r="B134" i="122" s="1"/>
  <c r="B135" i="122" s="1"/>
  <c r="B136" i="122" s="1"/>
  <c r="B137" i="122" s="1"/>
  <c r="B138" i="122" s="1"/>
  <c r="H274" i="103"/>
  <c r="H278" i="103" s="1"/>
  <c r="H279" i="103" s="1"/>
  <c r="H280" i="103" s="1"/>
  <c r="H281" i="103" s="1"/>
  <c r="H298" i="103"/>
  <c r="H293" i="103"/>
  <c r="H325" i="103"/>
  <c r="H51" i="121"/>
  <c r="G481" i="121"/>
  <c r="G424" i="121"/>
  <c r="H424" i="121" s="1"/>
  <c r="H31" i="121"/>
  <c r="G92" i="121"/>
  <c r="G111" i="121" s="1"/>
  <c r="G462" i="121"/>
  <c r="H462" i="121" s="1"/>
  <c r="G443" i="121"/>
  <c r="H115" i="123"/>
  <c r="H152" i="123"/>
  <c r="H153" i="123" s="1"/>
  <c r="G171" i="123"/>
  <c r="H87" i="123"/>
  <c r="G107" i="123"/>
  <c r="H707" i="123"/>
  <c r="H745" i="123"/>
  <c r="H14" i="123"/>
  <c r="H21" i="123" s="1"/>
  <c r="H22" i="123" s="1"/>
  <c r="H23" i="123" s="1"/>
  <c r="H24" i="123" s="1"/>
  <c r="H48" i="123"/>
  <c r="H68" i="123"/>
  <c r="H29" i="123"/>
  <c r="H33" i="123" s="1"/>
  <c r="H40" i="123" s="1"/>
  <c r="H649" i="123"/>
  <c r="H49" i="123"/>
  <c r="G69" i="123"/>
  <c r="G70" i="123"/>
  <c r="H50" i="123"/>
  <c r="H611" i="123"/>
  <c r="H51" i="123"/>
  <c r="G71" i="123"/>
  <c r="G463" i="121"/>
  <c r="H32" i="121"/>
  <c r="G425" i="121"/>
  <c r="G93" i="121"/>
  <c r="G112" i="121" s="1"/>
  <c r="G482" i="121"/>
  <c r="H334" i="121"/>
  <c r="H527" i="121"/>
  <c r="G507" i="121"/>
  <c r="H507" i="121" s="1"/>
  <c r="H528" i="121"/>
  <c r="G508" i="121"/>
  <c r="H58" i="121"/>
  <c r="H19" i="121"/>
  <c r="H14" i="121"/>
  <c r="H30" i="121"/>
  <c r="G50" i="121"/>
  <c r="G70" i="121" s="1"/>
  <c r="H33" i="121"/>
  <c r="G53" i="121"/>
  <c r="G73" i="121" s="1"/>
  <c r="H504" i="121"/>
  <c r="H407" i="121"/>
  <c r="H389" i="121"/>
  <c r="H179" i="121"/>
  <c r="H370" i="121"/>
  <c r="H237" i="121"/>
  <c r="H52" i="121"/>
  <c r="H520" i="121"/>
  <c r="H540" i="121"/>
  <c r="H522" i="121"/>
  <c r="H542" i="121"/>
  <c r="H276" i="121"/>
  <c r="H406" i="121"/>
  <c r="H314" i="121"/>
  <c r="H37" i="121"/>
  <c r="H39" i="121" s="1"/>
  <c r="H96" i="103"/>
  <c r="I148" i="81"/>
  <c r="H138" i="62"/>
  <c r="H144" i="62" s="1"/>
  <c r="H145" i="62" s="1"/>
  <c r="S686" i="80"/>
  <c r="S704" i="80"/>
  <c r="Q690" i="80"/>
  <c r="T690" i="80" s="1"/>
  <c r="S685" i="80"/>
  <c r="S703" i="80"/>
  <c r="S706" i="80"/>
  <c r="T706" i="80" s="1"/>
  <c r="S673" i="80"/>
  <c r="T673" i="80" s="1"/>
  <c r="Q676" i="80"/>
  <c r="T676" i="80" s="1"/>
  <c r="S689" i="80"/>
  <c r="S688" i="80"/>
  <c r="S680" i="80"/>
  <c r="T680" i="80" s="1"/>
  <c r="S361" i="80"/>
  <c r="S365" i="80" s="1"/>
  <c r="B415" i="81"/>
  <c r="O341" i="80"/>
  <c r="C346" i="80"/>
  <c r="C359" i="80"/>
  <c r="C367" i="80"/>
  <c r="C333" i="80"/>
  <c r="C332" i="80"/>
  <c r="F405" i="81"/>
  <c r="F404" i="81"/>
  <c r="W124" i="80"/>
  <c r="H366" i="103" l="1"/>
  <c r="H375" i="103" s="1"/>
  <c r="H376" i="103" s="1"/>
  <c r="H377" i="103" s="1"/>
  <c r="H378" i="103" s="1"/>
  <c r="D77" i="68" s="1"/>
  <c r="E145" i="81"/>
  <c r="E147" i="81"/>
  <c r="E143" i="81"/>
  <c r="E142" i="81"/>
  <c r="G341" i="81"/>
  <c r="H384" i="81"/>
  <c r="I384" i="81" s="1"/>
  <c r="S702" i="80"/>
  <c r="T702" i="80" s="1"/>
  <c r="H326" i="103"/>
  <c r="H330" i="103" s="1"/>
  <c r="H331" i="103" s="1"/>
  <c r="H332" i="103" s="1"/>
  <c r="H333" i="103" s="1"/>
  <c r="H306" i="103"/>
  <c r="H310" i="103" s="1"/>
  <c r="H311" i="103" s="1"/>
  <c r="H312" i="103" s="1"/>
  <c r="H313" i="103" s="1"/>
  <c r="H171" i="123"/>
  <c r="H172" i="123" s="1"/>
  <c r="G190" i="123"/>
  <c r="G126" i="123"/>
  <c r="G145" i="123"/>
  <c r="H107" i="123"/>
  <c r="H41" i="123"/>
  <c r="H42" i="123" s="1"/>
  <c r="H43" i="123" s="1"/>
  <c r="H52" i="123"/>
  <c r="H60" i="123" s="1"/>
  <c r="H61" i="123" s="1"/>
  <c r="H62" i="123" s="1"/>
  <c r="H63" i="123" s="1"/>
  <c r="G90" i="123"/>
  <c r="H71" i="123"/>
  <c r="G89" i="123"/>
  <c r="H70" i="123"/>
  <c r="H69" i="123"/>
  <c r="G88" i="123"/>
  <c r="H93" i="121"/>
  <c r="G445" i="121"/>
  <c r="H445" i="121" s="1"/>
  <c r="G426" i="121"/>
  <c r="H426" i="121" s="1"/>
  <c r="G442" i="121"/>
  <c r="H442" i="121" s="1"/>
  <c r="G423" i="121"/>
  <c r="H423" i="121" s="1"/>
  <c r="G483" i="121"/>
  <c r="H483" i="121" s="1"/>
  <c r="G464" i="121"/>
  <c r="H464" i="121" s="1"/>
  <c r="H529" i="121"/>
  <c r="G480" i="121"/>
  <c r="H480" i="121" s="1"/>
  <c r="G461" i="121"/>
  <c r="H461" i="121" s="1"/>
  <c r="H508" i="121"/>
  <c r="H509" i="121" s="1"/>
  <c r="H512" i="121" s="1"/>
  <c r="H513" i="121" s="1"/>
  <c r="G487" i="121"/>
  <c r="H22" i="121"/>
  <c r="H23" i="121" s="1"/>
  <c r="H70" i="121"/>
  <c r="G91" i="121"/>
  <c r="G110" i="121" s="1"/>
  <c r="H73" i="121"/>
  <c r="G94" i="121"/>
  <c r="G113" i="121" s="1"/>
  <c r="H34" i="121"/>
  <c r="H42" i="121" s="1"/>
  <c r="H53" i="121"/>
  <c r="H50" i="121"/>
  <c r="H408" i="121"/>
  <c r="H544" i="121"/>
  <c r="H552" i="121" s="1"/>
  <c r="H524" i="121"/>
  <c r="H92" i="121"/>
  <c r="H57" i="121"/>
  <c r="H59" i="121" s="1"/>
  <c r="H463" i="121"/>
  <c r="H425" i="121"/>
  <c r="H481" i="121"/>
  <c r="H443" i="121"/>
  <c r="H100" i="103"/>
  <c r="H101" i="103" s="1"/>
  <c r="H102" i="103" s="1"/>
  <c r="H103" i="103" s="1"/>
  <c r="D75" i="68" s="1"/>
  <c r="H146" i="62"/>
  <c r="K679" i="80"/>
  <c r="Q679" i="80" s="1"/>
  <c r="T679" i="80" s="1"/>
  <c r="S683" i="80"/>
  <c r="T683" i="80" s="1"/>
  <c r="T367" i="80"/>
  <c r="T359" i="80"/>
  <c r="K341" i="80"/>
  <c r="S341" i="80" s="1"/>
  <c r="E404" i="81"/>
  <c r="E405" i="81"/>
  <c r="F359" i="81"/>
  <c r="F360" i="81"/>
  <c r="F362" i="81"/>
  <c r="F355" i="81"/>
  <c r="F354" i="81"/>
  <c r="F349" i="81"/>
  <c r="F348" i="81"/>
  <c r="F347" i="81"/>
  <c r="F343" i="81"/>
  <c r="F342" i="81"/>
  <c r="F336" i="81"/>
  <c r="F337" i="81"/>
  <c r="F338" i="81"/>
  <c r="F330" i="81"/>
  <c r="F329" i="81"/>
  <c r="F328" i="81"/>
  <c r="F327" i="81"/>
  <c r="B327" i="81"/>
  <c r="F326" i="81"/>
  <c r="F320" i="81"/>
  <c r="F321" i="81"/>
  <c r="F322" i="81"/>
  <c r="F316" i="81"/>
  <c r="F317" i="81"/>
  <c r="F318" i="81"/>
  <c r="F311" i="81"/>
  <c r="F312" i="81"/>
  <c r="F313" i="81"/>
  <c r="F314" i="81"/>
  <c r="F306" i="81"/>
  <c r="F307" i="81"/>
  <c r="F308" i="81"/>
  <c r="F309" i="81"/>
  <c r="F301" i="81"/>
  <c r="F302" i="81"/>
  <c r="F303" i="81"/>
  <c r="F304" i="81"/>
  <c r="F299" i="81"/>
  <c r="F298" i="81"/>
  <c r="F294" i="81"/>
  <c r="F295" i="81"/>
  <c r="F296" i="81"/>
  <c r="F297" i="81"/>
  <c r="F255" i="81"/>
  <c r="F252" i="81"/>
  <c r="F253" i="81"/>
  <c r="F247" i="81"/>
  <c r="F248" i="81"/>
  <c r="F254" i="81"/>
  <c r="F240" i="81"/>
  <c r="F241" i="81"/>
  <c r="F242" i="81"/>
  <c r="B242" i="81"/>
  <c r="B243" i="81" s="1"/>
  <c r="G236" i="81"/>
  <c r="G343" i="81" s="1"/>
  <c r="G235" i="81"/>
  <c r="G342" i="81" s="1"/>
  <c r="G230" i="81"/>
  <c r="G337" i="81" s="1"/>
  <c r="G231" i="81"/>
  <c r="G338" i="81" s="1"/>
  <c r="G232" i="81"/>
  <c r="G339" i="81" s="1"/>
  <c r="G233" i="81"/>
  <c r="G340" i="81" s="1"/>
  <c r="G229" i="81"/>
  <c r="G336" i="81" s="1"/>
  <c r="F229" i="81"/>
  <c r="F230" i="81"/>
  <c r="F231" i="81"/>
  <c r="F232" i="81"/>
  <c r="F233" i="81"/>
  <c r="F223" i="81"/>
  <c r="F224" i="81"/>
  <c r="F221" i="81"/>
  <c r="F222" i="81"/>
  <c r="F220" i="81"/>
  <c r="Q456" i="80"/>
  <c r="Q463" i="80"/>
  <c r="Q460" i="80"/>
  <c r="G223" i="81"/>
  <c r="G329" i="81" s="1"/>
  <c r="F214" i="81"/>
  <c r="F215" i="81"/>
  <c r="F216" i="81"/>
  <c r="F210" i="81"/>
  <c r="F211" i="81"/>
  <c r="F212" i="81"/>
  <c r="F200" i="81"/>
  <c r="F201" i="81"/>
  <c r="F202" i="81"/>
  <c r="F203" i="81"/>
  <c r="F195" i="81"/>
  <c r="F196" i="81"/>
  <c r="F197" i="81"/>
  <c r="F198" i="81"/>
  <c r="F193" i="81"/>
  <c r="F192" i="81"/>
  <c r="F188" i="81"/>
  <c r="F189" i="81"/>
  <c r="F190" i="81"/>
  <c r="F191" i="81"/>
  <c r="W449" i="80"/>
  <c r="T93" i="81"/>
  <c r="F106" i="81"/>
  <c r="M520" i="80"/>
  <c r="S520" i="80" s="1"/>
  <c r="E146" i="81" l="1"/>
  <c r="E144" i="81"/>
  <c r="H102" i="81"/>
  <c r="H231" i="81" s="1"/>
  <c r="H338" i="81" s="1"/>
  <c r="H103" i="81"/>
  <c r="H232" i="81" s="1"/>
  <c r="H339" i="81" s="1"/>
  <c r="H150" i="81"/>
  <c r="I150" i="81" s="1"/>
  <c r="H415" i="81"/>
  <c r="I415" i="81" s="1"/>
  <c r="B221" i="81"/>
  <c r="H379" i="81"/>
  <c r="I379" i="81" s="1"/>
  <c r="H147" i="62"/>
  <c r="D20" i="68" s="1"/>
  <c r="E73" i="81"/>
  <c r="E72" i="81"/>
  <c r="H190" i="123"/>
  <c r="H191" i="123" s="1"/>
  <c r="G209" i="123"/>
  <c r="H145" i="123"/>
  <c r="H89" i="123"/>
  <c r="G109" i="123"/>
  <c r="H90" i="123"/>
  <c r="G110" i="123"/>
  <c r="H88" i="123"/>
  <c r="G108" i="123"/>
  <c r="H126" i="123"/>
  <c r="G164" i="123"/>
  <c r="H72" i="123"/>
  <c r="H79" i="123" s="1"/>
  <c r="H80" i="123" s="1"/>
  <c r="H81" i="123" s="1"/>
  <c r="H82" i="123" s="1"/>
  <c r="H532" i="121"/>
  <c r="H533" i="121" s="1"/>
  <c r="H534" i="121" s="1"/>
  <c r="H535" i="121" s="1"/>
  <c r="H487" i="121"/>
  <c r="H488" i="121" s="1"/>
  <c r="G468" i="121"/>
  <c r="H514" i="121"/>
  <c r="H515" i="121" s="1"/>
  <c r="H24" i="121"/>
  <c r="H25" i="121" s="1"/>
  <c r="H553" i="121"/>
  <c r="H554" i="121" s="1"/>
  <c r="H555" i="121" s="1"/>
  <c r="H176" i="81" s="1"/>
  <c r="H74" i="121"/>
  <c r="H82" i="121" s="1"/>
  <c r="H83" i="121" s="1"/>
  <c r="H84" i="121" s="1"/>
  <c r="H85" i="121" s="1"/>
  <c r="H54" i="121"/>
  <c r="H62" i="121" s="1"/>
  <c r="H465" i="121"/>
  <c r="H43" i="121"/>
  <c r="H44" i="121" s="1"/>
  <c r="H45" i="121" s="1"/>
  <c r="H427" i="121"/>
  <c r="H112" i="121"/>
  <c r="G132" i="121"/>
  <c r="H94" i="121"/>
  <c r="H111" i="121"/>
  <c r="G131" i="121"/>
  <c r="H270" i="121"/>
  <c r="H444" i="121"/>
  <c r="H446" i="121" s="1"/>
  <c r="H482" i="121"/>
  <c r="H484" i="121" s="1"/>
  <c r="K340" i="80"/>
  <c r="E241" i="81"/>
  <c r="Q462" i="80"/>
  <c r="Q459" i="80"/>
  <c r="Q457" i="80"/>
  <c r="C453" i="80"/>
  <c r="H149" i="81" l="1"/>
  <c r="I149" i="81" s="1"/>
  <c r="H180" i="81"/>
  <c r="I180" i="81" s="1"/>
  <c r="H175" i="81"/>
  <c r="H281" i="81" s="1"/>
  <c r="H105" i="81"/>
  <c r="H341" i="81" s="1"/>
  <c r="H181" i="81"/>
  <c r="H287" i="81" s="1"/>
  <c r="H142" i="81"/>
  <c r="I142" i="81" s="1"/>
  <c r="H100" i="81"/>
  <c r="H229" i="81" s="1"/>
  <c r="H336" i="81" s="1"/>
  <c r="H174" i="81"/>
  <c r="H280" i="81" s="1"/>
  <c r="H104" i="81"/>
  <c r="H233" i="81" s="1"/>
  <c r="H340" i="81" s="1"/>
  <c r="I176" i="81"/>
  <c r="H282" i="81"/>
  <c r="T346" i="80"/>
  <c r="H209" i="123"/>
  <c r="H210" i="123" s="1"/>
  <c r="G228" i="123"/>
  <c r="H91" i="123"/>
  <c r="H98" i="123" s="1"/>
  <c r="H99" i="123" s="1"/>
  <c r="H100" i="123" s="1"/>
  <c r="H101" i="123" s="1"/>
  <c r="H164" i="123"/>
  <c r="G183" i="123"/>
  <c r="H183" i="123" s="1"/>
  <c r="G129" i="123"/>
  <c r="G167" i="123" s="1"/>
  <c r="G186" i="123" s="1"/>
  <c r="H110" i="123"/>
  <c r="G148" i="123"/>
  <c r="H108" i="123"/>
  <c r="G127" i="123"/>
  <c r="G165" i="123" s="1"/>
  <c r="G184" i="123" s="1"/>
  <c r="G146" i="123"/>
  <c r="G128" i="123"/>
  <c r="G166" i="123" s="1"/>
  <c r="G185" i="123" s="1"/>
  <c r="H109" i="123"/>
  <c r="G147" i="123"/>
  <c r="H491" i="121"/>
  <c r="H492" i="121" s="1"/>
  <c r="H468" i="121"/>
  <c r="H469" i="121" s="1"/>
  <c r="H472" i="121" s="1"/>
  <c r="H473" i="121" s="1"/>
  <c r="H474" i="121" s="1"/>
  <c r="H475" i="121" s="1"/>
  <c r="G449" i="121"/>
  <c r="H91" i="121"/>
  <c r="H95" i="121" s="1"/>
  <c r="H102" i="121" s="1"/>
  <c r="H63" i="121"/>
  <c r="H64" i="121" s="1"/>
  <c r="H65" i="121" s="1"/>
  <c r="H132" i="121"/>
  <c r="H289" i="121"/>
  <c r="G308" i="121"/>
  <c r="H131" i="121"/>
  <c r="H269" i="121"/>
  <c r="H152" i="121"/>
  <c r="H113" i="121"/>
  <c r="G133" i="121"/>
  <c r="E242" i="81"/>
  <c r="E252" i="81"/>
  <c r="Q465" i="80"/>
  <c r="F100" i="81"/>
  <c r="F101" i="81"/>
  <c r="F102" i="81"/>
  <c r="F103" i="81"/>
  <c r="F104" i="81"/>
  <c r="E505" i="80"/>
  <c r="D511" i="80"/>
  <c r="D512" i="80"/>
  <c r="D513" i="80"/>
  <c r="D507" i="80"/>
  <c r="D508" i="80"/>
  <c r="D509" i="80"/>
  <c r="D510" i="80"/>
  <c r="D506" i="80"/>
  <c r="D505" i="80"/>
  <c r="F92" i="81"/>
  <c r="H286" i="81" l="1"/>
  <c r="H397" i="81" s="1"/>
  <c r="I397" i="81" s="1"/>
  <c r="I175" i="81"/>
  <c r="I181" i="81"/>
  <c r="H234" i="81"/>
  <c r="I174" i="81"/>
  <c r="H182" i="81"/>
  <c r="H288" i="81" s="1"/>
  <c r="H101" i="81"/>
  <c r="H230" i="81" s="1"/>
  <c r="H398" i="81"/>
  <c r="I398" i="81" s="1"/>
  <c r="I287" i="81"/>
  <c r="H391" i="81"/>
  <c r="I391" i="81" s="1"/>
  <c r="I281" i="81"/>
  <c r="H390" i="81"/>
  <c r="I390" i="81" s="1"/>
  <c r="I280" i="81"/>
  <c r="H392" i="81"/>
  <c r="I392" i="81" s="1"/>
  <c r="I282" i="81"/>
  <c r="E71" i="81"/>
  <c r="G202" i="123"/>
  <c r="G221" i="123" s="1"/>
  <c r="H228" i="123"/>
  <c r="H229" i="123" s="1"/>
  <c r="G247" i="123"/>
  <c r="H147" i="123"/>
  <c r="H127" i="123"/>
  <c r="H165" i="123"/>
  <c r="H167" i="123"/>
  <c r="H129" i="123"/>
  <c r="H166" i="123"/>
  <c r="H128" i="123"/>
  <c r="H148" i="123"/>
  <c r="H146" i="123"/>
  <c r="H111" i="123"/>
  <c r="H118" i="123" s="1"/>
  <c r="H119" i="123" s="1"/>
  <c r="H120" i="123" s="1"/>
  <c r="H121" i="123" s="1"/>
  <c r="H493" i="121"/>
  <c r="H494" i="121" s="1"/>
  <c r="H449" i="121"/>
  <c r="H450" i="121" s="1"/>
  <c r="H453" i="121" s="1"/>
  <c r="H454" i="121" s="1"/>
  <c r="H455" i="121" s="1"/>
  <c r="H456" i="121" s="1"/>
  <c r="H178" i="81" s="1"/>
  <c r="G430" i="121"/>
  <c r="H103" i="121"/>
  <c r="H104" i="121" s="1"/>
  <c r="H105" i="121" s="1"/>
  <c r="G130" i="121"/>
  <c r="H110" i="121"/>
  <c r="H114" i="121" s="1"/>
  <c r="H122" i="121" s="1"/>
  <c r="H133" i="121"/>
  <c r="H212" i="121"/>
  <c r="H172" i="121"/>
  <c r="H308" i="121"/>
  <c r="H192" i="121"/>
  <c r="H251" i="121"/>
  <c r="H231" i="121"/>
  <c r="H271" i="121"/>
  <c r="G307" i="121"/>
  <c r="H288" i="121"/>
  <c r="H151" i="121"/>
  <c r="Q639" i="80"/>
  <c r="B349" i="81"/>
  <c r="B350" i="81" s="1"/>
  <c r="E240" i="81"/>
  <c r="Q506" i="80"/>
  <c r="S505" i="80"/>
  <c r="T505" i="80" s="1"/>
  <c r="E100" i="81" s="1"/>
  <c r="F113" i="81"/>
  <c r="C573" i="80"/>
  <c r="Q569" i="80"/>
  <c r="Q568" i="80"/>
  <c r="Q559" i="80"/>
  <c r="Q541" i="80"/>
  <c r="Q544" i="80" s="1"/>
  <c r="Q548" i="80" s="1"/>
  <c r="C22" i="80"/>
  <c r="F87" i="81"/>
  <c r="E485" i="80"/>
  <c r="K485" i="80"/>
  <c r="F86" i="81"/>
  <c r="C473" i="80"/>
  <c r="C482" i="80"/>
  <c r="Q446" i="80"/>
  <c r="Q447" i="80"/>
  <c r="Q448" i="80"/>
  <c r="Q449" i="80"/>
  <c r="Q445" i="80"/>
  <c r="Q435" i="80"/>
  <c r="Q434" i="80"/>
  <c r="I286" i="81" l="1"/>
  <c r="H202" i="123"/>
  <c r="H164" i="81"/>
  <c r="I164" i="81" s="1"/>
  <c r="H235" i="81"/>
  <c r="H342" i="81" s="1"/>
  <c r="I182" i="81"/>
  <c r="H236" i="81"/>
  <c r="H343" i="81" s="1"/>
  <c r="I100" i="81"/>
  <c r="E229" i="81"/>
  <c r="Q571" i="80"/>
  <c r="Q451" i="80"/>
  <c r="K624" i="80" s="1"/>
  <c r="H399" i="81"/>
  <c r="I399" i="81" s="1"/>
  <c r="I288" i="81"/>
  <c r="I178" i="81"/>
  <c r="H284" i="81"/>
  <c r="H337" i="81"/>
  <c r="H133" i="81"/>
  <c r="I133" i="81" s="1"/>
  <c r="H247" i="123"/>
  <c r="H248" i="123" s="1"/>
  <c r="G266" i="123"/>
  <c r="H186" i="123"/>
  <c r="G205" i="123"/>
  <c r="G240" i="123"/>
  <c r="H221" i="123"/>
  <c r="G203" i="123"/>
  <c r="H184" i="123"/>
  <c r="H130" i="123"/>
  <c r="H137" i="123" s="1"/>
  <c r="H138" i="123" s="1"/>
  <c r="H139" i="123" s="1"/>
  <c r="H140" i="123" s="1"/>
  <c r="H185" i="123"/>
  <c r="G204" i="123"/>
  <c r="H149" i="123"/>
  <c r="H156" i="123" s="1"/>
  <c r="H157" i="123" s="1"/>
  <c r="H158" i="123" s="1"/>
  <c r="H159" i="123" s="1"/>
  <c r="H168" i="123"/>
  <c r="H175" i="123" s="1"/>
  <c r="H176" i="123" s="1"/>
  <c r="H177" i="123" s="1"/>
  <c r="H178" i="123" s="1"/>
  <c r="H430" i="121"/>
  <c r="H431" i="121" s="1"/>
  <c r="H434" i="121" s="1"/>
  <c r="H435" i="121" s="1"/>
  <c r="H436" i="121" s="1"/>
  <c r="H437" i="121" s="1"/>
  <c r="G411" i="121"/>
  <c r="H123" i="121"/>
  <c r="H124" i="121" s="1"/>
  <c r="H125" i="121" s="1"/>
  <c r="H268" i="121"/>
  <c r="H272" i="121" s="1"/>
  <c r="H279" i="121" s="1"/>
  <c r="H280" i="121" s="1"/>
  <c r="H281" i="121" s="1"/>
  <c r="H282" i="121" s="1"/>
  <c r="H130" i="121"/>
  <c r="H134" i="121" s="1"/>
  <c r="H142" i="121" s="1"/>
  <c r="H143" i="121" s="1"/>
  <c r="H144" i="121" s="1"/>
  <c r="H145" i="121" s="1"/>
  <c r="H230" i="121"/>
  <c r="H191" i="121"/>
  <c r="H250" i="121"/>
  <c r="G309" i="121"/>
  <c r="H290" i="121"/>
  <c r="H153" i="121"/>
  <c r="H171" i="121"/>
  <c r="H211" i="121"/>
  <c r="H307" i="121"/>
  <c r="H327" i="121"/>
  <c r="H347" i="121"/>
  <c r="B328" i="81"/>
  <c r="B222" i="81"/>
  <c r="T506" i="80"/>
  <c r="E101" i="81" s="1"/>
  <c r="E216" i="81"/>
  <c r="E322" i="81" s="1"/>
  <c r="E409" i="81" s="1"/>
  <c r="E255" i="81"/>
  <c r="K507" i="80"/>
  <c r="Q507" i="80" s="1"/>
  <c r="S484" i="80"/>
  <c r="S485" i="80"/>
  <c r="I245" i="80"/>
  <c r="W391" i="80"/>
  <c r="E381" i="80"/>
  <c r="O319" i="80"/>
  <c r="O320" i="80" s="1"/>
  <c r="Q318" i="80"/>
  <c r="Q319" i="80" s="1"/>
  <c r="Q320" i="80" s="1"/>
  <c r="Q256" i="80"/>
  <c r="S256" i="80" s="1"/>
  <c r="S259" i="80" s="1"/>
  <c r="O164" i="80"/>
  <c r="E148" i="80"/>
  <c r="E147" i="80"/>
  <c r="V148" i="80"/>
  <c r="V147" i="80"/>
  <c r="E125" i="80"/>
  <c r="E126" i="80" s="1"/>
  <c r="F34" i="81"/>
  <c r="H34" i="81"/>
  <c r="E90" i="80"/>
  <c r="E89" i="80"/>
  <c r="M83" i="80"/>
  <c r="M90" i="80" s="1"/>
  <c r="M82" i="80"/>
  <c r="M89" i="80" s="1"/>
  <c r="J55" i="80"/>
  <c r="H55" i="80"/>
  <c r="J54" i="80"/>
  <c r="H54" i="80"/>
  <c r="E51" i="80"/>
  <c r="E54" i="80" s="1"/>
  <c r="I30" i="80"/>
  <c r="K117" i="80"/>
  <c r="K51" i="80" s="1"/>
  <c r="C34" i="80"/>
  <c r="C26" i="80"/>
  <c r="G18" i="81"/>
  <c r="F18" i="81"/>
  <c r="E18" i="81"/>
  <c r="I17" i="81"/>
  <c r="S19" i="80"/>
  <c r="S18" i="80"/>
  <c r="H177" i="81" l="1"/>
  <c r="I177" i="81" s="1"/>
  <c r="I229" i="81"/>
  <c r="E336" i="81"/>
  <c r="I336" i="81" s="1"/>
  <c r="I101" i="81"/>
  <c r="E230" i="81"/>
  <c r="B26" i="80"/>
  <c r="B39" i="126"/>
  <c r="E394" i="80"/>
  <c r="S394" i="80" s="1"/>
  <c r="S245" i="80"/>
  <c r="G270" i="80"/>
  <c r="H394" i="81"/>
  <c r="I394" i="81" s="1"/>
  <c r="I284" i="81"/>
  <c r="H266" i="123"/>
  <c r="H267" i="123" s="1"/>
  <c r="G285" i="123"/>
  <c r="G259" i="123"/>
  <c r="G278" i="123" s="1"/>
  <c r="G297" i="123" s="1"/>
  <c r="G316" i="123" s="1"/>
  <c r="G335" i="123" s="1"/>
  <c r="G354" i="123" s="1"/>
  <c r="G373" i="123" s="1"/>
  <c r="G392" i="123" s="1"/>
  <c r="G411" i="123" s="1"/>
  <c r="G431" i="123" s="1"/>
  <c r="G450" i="123" s="1"/>
  <c r="G470" i="123" s="1"/>
  <c r="G489" i="123" s="1"/>
  <c r="G508" i="123" s="1"/>
  <c r="G527" i="123" s="1"/>
  <c r="H240" i="123"/>
  <c r="H187" i="123"/>
  <c r="H194" i="123" s="1"/>
  <c r="G222" i="123"/>
  <c r="H203" i="123"/>
  <c r="H205" i="123"/>
  <c r="G224" i="123"/>
  <c r="H204" i="123"/>
  <c r="G223" i="123"/>
  <c r="H411" i="121"/>
  <c r="H412" i="121" s="1"/>
  <c r="H415" i="121" s="1"/>
  <c r="H416" i="121" s="1"/>
  <c r="H417" i="121" s="1"/>
  <c r="H418" i="121" s="1"/>
  <c r="G392" i="121"/>
  <c r="H150" i="121"/>
  <c r="H154" i="121" s="1"/>
  <c r="H162" i="121" s="1"/>
  <c r="H163" i="121" s="1"/>
  <c r="H164" i="121" s="1"/>
  <c r="H165" i="121" s="1"/>
  <c r="H287" i="121"/>
  <c r="H291" i="121" s="1"/>
  <c r="H298" i="121" s="1"/>
  <c r="H299" i="121" s="1"/>
  <c r="H300" i="121" s="1"/>
  <c r="H301" i="121" s="1"/>
  <c r="G306" i="121"/>
  <c r="H232" i="121"/>
  <c r="H252" i="121"/>
  <c r="H193" i="121"/>
  <c r="H309" i="121"/>
  <c r="H346" i="121"/>
  <c r="H326" i="121"/>
  <c r="H213" i="121"/>
  <c r="H173" i="121"/>
  <c r="B329" i="81"/>
  <c r="B343" i="81"/>
  <c r="E253" i="81"/>
  <c r="K508" i="80"/>
  <c r="K509" i="80" s="1"/>
  <c r="E248" i="81"/>
  <c r="E254" i="81"/>
  <c r="E247" i="81"/>
  <c r="S487" i="80"/>
  <c r="T482" i="80" s="1"/>
  <c r="E87" i="81" s="1"/>
  <c r="S318" i="80"/>
  <c r="E319" i="80"/>
  <c r="K263" i="80"/>
  <c r="H283" i="81" l="1"/>
  <c r="I283" i="81" s="1"/>
  <c r="I230" i="81"/>
  <c r="E337" i="81"/>
  <c r="I337" i="81" s="1"/>
  <c r="S319" i="80"/>
  <c r="E320" i="80"/>
  <c r="S320" i="80" s="1"/>
  <c r="H470" i="123"/>
  <c r="H297" i="123"/>
  <c r="H285" i="123"/>
  <c r="H286" i="123" s="1"/>
  <c r="G304" i="123"/>
  <c r="H278" i="123"/>
  <c r="H195" i="123"/>
  <c r="H196" i="123" s="1"/>
  <c r="H197" i="123" s="1"/>
  <c r="H316" i="123"/>
  <c r="G243" i="123"/>
  <c r="H224" i="123"/>
  <c r="H206" i="123"/>
  <c r="H213" i="123" s="1"/>
  <c r="H214" i="123" s="1"/>
  <c r="H215" i="123" s="1"/>
  <c r="H216" i="123" s="1"/>
  <c r="H431" i="123"/>
  <c r="H373" i="123"/>
  <c r="H223" i="123"/>
  <c r="G242" i="123"/>
  <c r="G241" i="123"/>
  <c r="H222" i="123"/>
  <c r="H335" i="123"/>
  <c r="H259" i="123"/>
  <c r="H392" i="121"/>
  <c r="H393" i="121" s="1"/>
  <c r="H396" i="121" s="1"/>
  <c r="H397" i="121" s="1"/>
  <c r="H398" i="121" s="1"/>
  <c r="H399" i="121" s="1"/>
  <c r="G373" i="121"/>
  <c r="H306" i="121"/>
  <c r="H310" i="121" s="1"/>
  <c r="H317" i="121" s="1"/>
  <c r="H318" i="121" s="1"/>
  <c r="H319" i="121" s="1"/>
  <c r="H320" i="121" s="1"/>
  <c r="H170" i="121"/>
  <c r="H174" i="121" s="1"/>
  <c r="H182" i="121" s="1"/>
  <c r="H183" i="121" s="1"/>
  <c r="H184" i="121" s="1"/>
  <c r="H185" i="121" s="1"/>
  <c r="H210" i="121"/>
  <c r="H214" i="121" s="1"/>
  <c r="H221" i="121" s="1"/>
  <c r="H222" i="121" s="1"/>
  <c r="H223" i="121" s="1"/>
  <c r="H224" i="121" s="1"/>
  <c r="H190" i="121"/>
  <c r="H194" i="121" s="1"/>
  <c r="H202" i="121" s="1"/>
  <c r="H249" i="121"/>
  <c r="H253" i="121" s="1"/>
  <c r="H260" i="121" s="1"/>
  <c r="H261" i="121" s="1"/>
  <c r="H262" i="121" s="1"/>
  <c r="H263" i="121" s="1"/>
  <c r="H229" i="121"/>
  <c r="H233" i="121" s="1"/>
  <c r="H240" i="121" s="1"/>
  <c r="H348" i="121"/>
  <c r="H328" i="121"/>
  <c r="B330" i="81"/>
  <c r="B331" i="81" s="1"/>
  <c r="S508" i="80"/>
  <c r="T508" i="80" s="1"/>
  <c r="E102" i="81" s="1"/>
  <c r="S509" i="80"/>
  <c r="K510" i="80"/>
  <c r="H393" i="81" l="1"/>
  <c r="I393" i="81" s="1"/>
  <c r="I102" i="81"/>
  <c r="E231" i="81"/>
  <c r="H165" i="81"/>
  <c r="I165" i="81" s="1"/>
  <c r="I184" i="81" s="1"/>
  <c r="H278" i="81"/>
  <c r="H489" i="123"/>
  <c r="H304" i="123"/>
  <c r="H305" i="123" s="1"/>
  <c r="G323" i="123"/>
  <c r="H354" i="123"/>
  <c r="H411" i="123"/>
  <c r="G262" i="123"/>
  <c r="G281" i="123" s="1"/>
  <c r="G300" i="123" s="1"/>
  <c r="H243" i="123"/>
  <c r="H392" i="123"/>
  <c r="H450" i="123"/>
  <c r="H225" i="123"/>
  <c r="H232" i="123" s="1"/>
  <c r="H233" i="123" s="1"/>
  <c r="H234" i="123" s="1"/>
  <c r="H235" i="123" s="1"/>
  <c r="G260" i="123"/>
  <c r="G279" i="123" s="1"/>
  <c r="G298" i="123" s="1"/>
  <c r="H241" i="123"/>
  <c r="G261" i="123"/>
  <c r="G280" i="123" s="1"/>
  <c r="G299" i="123" s="1"/>
  <c r="H242" i="123"/>
  <c r="H203" i="121"/>
  <c r="H204" i="121" s="1"/>
  <c r="H205" i="121" s="1"/>
  <c r="H241" i="121"/>
  <c r="H242" i="121" s="1"/>
  <c r="H243" i="121" s="1"/>
  <c r="H373" i="121"/>
  <c r="H374" i="121" s="1"/>
  <c r="H377" i="121" s="1"/>
  <c r="H378" i="121" s="1"/>
  <c r="H379" i="121" s="1"/>
  <c r="H380" i="121" s="1"/>
  <c r="H353" i="121"/>
  <c r="H354" i="121" s="1"/>
  <c r="H325" i="121"/>
  <c r="H329" i="121" s="1"/>
  <c r="H337" i="121" s="1"/>
  <c r="H338" i="121" s="1"/>
  <c r="H339" i="121" s="1"/>
  <c r="H340" i="121" s="1"/>
  <c r="H345" i="121"/>
  <c r="H349" i="121" s="1"/>
  <c r="K511" i="80"/>
  <c r="T510" i="80"/>
  <c r="E103" i="81" s="1"/>
  <c r="I231" i="81" l="1"/>
  <c r="E338" i="81"/>
  <c r="I338" i="81" s="1"/>
  <c r="I103" i="81"/>
  <c r="E232" i="81"/>
  <c r="H387" i="81"/>
  <c r="I387" i="81" s="1"/>
  <c r="I401" i="81" s="1"/>
  <c r="I278" i="81"/>
  <c r="I290" i="81" s="1"/>
  <c r="H264" i="81"/>
  <c r="H508" i="123"/>
  <c r="H323" i="123"/>
  <c r="H324" i="123" s="1"/>
  <c r="G342" i="123"/>
  <c r="H298" i="123"/>
  <c r="G317" i="123"/>
  <c r="G318" i="123"/>
  <c r="G319" i="123"/>
  <c r="H299" i="123"/>
  <c r="H300" i="123"/>
  <c r="H279" i="123"/>
  <c r="H280" i="123"/>
  <c r="H281" i="123"/>
  <c r="H244" i="123"/>
  <c r="H251" i="123" s="1"/>
  <c r="H252" i="123" s="1"/>
  <c r="H253" i="123" s="1"/>
  <c r="H254" i="123" s="1"/>
  <c r="H262" i="123"/>
  <c r="H261" i="123"/>
  <c r="H260" i="123"/>
  <c r="H357" i="121"/>
  <c r="H358" i="121" s="1"/>
  <c r="H359" i="121" s="1"/>
  <c r="H360" i="121" s="1"/>
  <c r="T511" i="80"/>
  <c r="K512" i="80"/>
  <c r="I232" i="81" l="1"/>
  <c r="E339" i="81"/>
  <c r="I339" i="81" s="1"/>
  <c r="E40" i="82"/>
  <c r="E30" i="82"/>
  <c r="I264" i="81"/>
  <c r="H371" i="81"/>
  <c r="I371" i="81" s="1"/>
  <c r="E20" i="82"/>
  <c r="G546" i="123"/>
  <c r="H527" i="123"/>
  <c r="H342" i="123"/>
  <c r="H343" i="123" s="1"/>
  <c r="G361" i="123"/>
  <c r="H317" i="123"/>
  <c r="G336" i="123"/>
  <c r="H301" i="123"/>
  <c r="H308" i="123" s="1"/>
  <c r="H309" i="123" s="1"/>
  <c r="H310" i="123" s="1"/>
  <c r="H311" i="123" s="1"/>
  <c r="G337" i="123"/>
  <c r="H319" i="123"/>
  <c r="G338" i="123"/>
  <c r="H318" i="123"/>
  <c r="H282" i="123"/>
  <c r="H289" i="123" s="1"/>
  <c r="H290" i="123" s="1"/>
  <c r="H291" i="123" s="1"/>
  <c r="H292" i="123" s="1"/>
  <c r="H263" i="123"/>
  <c r="H270" i="123" s="1"/>
  <c r="H271" i="123" s="1"/>
  <c r="H272" i="123" s="1"/>
  <c r="H273" i="123" s="1"/>
  <c r="K513" i="80"/>
  <c r="T513" i="80" l="1"/>
  <c r="E104" i="81" s="1"/>
  <c r="K514" i="80"/>
  <c r="T514" i="80" s="1"/>
  <c r="E105" i="81" s="1"/>
  <c r="H546" i="123"/>
  <c r="G565" i="123"/>
  <c r="H361" i="123"/>
  <c r="H362" i="123" s="1"/>
  <c r="G380" i="123"/>
  <c r="H338" i="123"/>
  <c r="G357" i="123"/>
  <c r="G376" i="123" s="1"/>
  <c r="G395" i="123" s="1"/>
  <c r="G414" i="123" s="1"/>
  <c r="G434" i="123" s="1"/>
  <c r="G453" i="123" s="1"/>
  <c r="G473" i="123" s="1"/>
  <c r="G492" i="123" s="1"/>
  <c r="G511" i="123" s="1"/>
  <c r="H337" i="123"/>
  <c r="G356" i="123"/>
  <c r="G375" i="123" s="1"/>
  <c r="G394" i="123" s="1"/>
  <c r="H320" i="123"/>
  <c r="H327" i="123" s="1"/>
  <c r="H328" i="123" s="1"/>
  <c r="H329" i="123" s="1"/>
  <c r="H330" i="123" s="1"/>
  <c r="H336" i="123"/>
  <c r="G355" i="123"/>
  <c r="G374" i="123" s="1"/>
  <c r="G393" i="123" s="1"/>
  <c r="I105" i="81" l="1"/>
  <c r="E234" i="81"/>
  <c r="I104" i="81"/>
  <c r="E233" i="81"/>
  <c r="H565" i="123"/>
  <c r="G584" i="123"/>
  <c r="H473" i="123"/>
  <c r="H394" i="123"/>
  <c r="G413" i="123"/>
  <c r="G433" i="123" s="1"/>
  <c r="G452" i="123" s="1"/>
  <c r="H393" i="123"/>
  <c r="G412" i="123"/>
  <c r="G432" i="123" s="1"/>
  <c r="H380" i="123"/>
  <c r="H381" i="123" s="1"/>
  <c r="G399" i="123"/>
  <c r="H453" i="123"/>
  <c r="H395" i="123"/>
  <c r="H375" i="123"/>
  <c r="H434" i="123"/>
  <c r="H376" i="123"/>
  <c r="H374" i="123"/>
  <c r="H355" i="123"/>
  <c r="H356" i="123"/>
  <c r="H414" i="123"/>
  <c r="H357" i="123"/>
  <c r="H339" i="123"/>
  <c r="H346" i="123" s="1"/>
  <c r="H347" i="123" s="1"/>
  <c r="H348" i="123" s="1"/>
  <c r="H349" i="123" s="1"/>
  <c r="I233" i="81" l="1"/>
  <c r="E340" i="81"/>
  <c r="I340" i="81" s="1"/>
  <c r="I234" i="81"/>
  <c r="E341" i="81"/>
  <c r="I341" i="81" s="1"/>
  <c r="H413" i="123"/>
  <c r="H396" i="123"/>
  <c r="H492" i="123"/>
  <c r="G603" i="123"/>
  <c r="H584" i="123"/>
  <c r="H452" i="123"/>
  <c r="G472" i="123"/>
  <c r="G491" i="123" s="1"/>
  <c r="G510" i="123" s="1"/>
  <c r="H433" i="123"/>
  <c r="H432" i="123"/>
  <c r="G451" i="123"/>
  <c r="H412" i="123"/>
  <c r="H399" i="123"/>
  <c r="H400" i="123" s="1"/>
  <c r="G418" i="123"/>
  <c r="H377" i="123"/>
  <c r="H384" i="123" s="1"/>
  <c r="H385" i="123" s="1"/>
  <c r="H386" i="123" s="1"/>
  <c r="H387" i="123" s="1"/>
  <c r="H358" i="123"/>
  <c r="H365" i="123" s="1"/>
  <c r="H366" i="123" s="1"/>
  <c r="H367" i="123" s="1"/>
  <c r="H368" i="123" s="1"/>
  <c r="H403" i="123" l="1"/>
  <c r="H404" i="123" s="1"/>
  <c r="H405" i="123" s="1"/>
  <c r="H406" i="123" s="1"/>
  <c r="H415" i="123"/>
  <c r="H435" i="123"/>
  <c r="H451" i="123"/>
  <c r="H454" i="123" s="1"/>
  <c r="G471" i="123"/>
  <c r="G490" i="123" s="1"/>
  <c r="G509" i="123" s="1"/>
  <c r="H472" i="123"/>
  <c r="G622" i="123"/>
  <c r="H603" i="123"/>
  <c r="H511" i="123"/>
  <c r="G530" i="123"/>
  <c r="H418" i="123"/>
  <c r="H419" i="123" s="1"/>
  <c r="G438" i="123"/>
  <c r="B134" i="81"/>
  <c r="B138" i="81" s="1"/>
  <c r="B139" i="81" s="1"/>
  <c r="B140" i="81" s="1"/>
  <c r="B141" i="81" s="1"/>
  <c r="G10" i="64"/>
  <c r="G11" i="64"/>
  <c r="G12" i="64"/>
  <c r="G13" i="64"/>
  <c r="G14" i="64"/>
  <c r="G15" i="64"/>
  <c r="G18" i="64"/>
  <c r="G19" i="64"/>
  <c r="G20" i="64"/>
  <c r="G21" i="64"/>
  <c r="G22" i="64"/>
  <c r="G23" i="64"/>
  <c r="H423" i="123" l="1"/>
  <c r="H424" i="123" s="1"/>
  <c r="H425" i="123" s="1"/>
  <c r="H426" i="123" s="1"/>
  <c r="H491" i="123"/>
  <c r="H471" i="123"/>
  <c r="H474" i="123" s="1"/>
  <c r="H481" i="123" s="1"/>
  <c r="H482" i="123" s="1"/>
  <c r="H483" i="123" s="1"/>
  <c r="H484" i="123" s="1"/>
  <c r="H530" i="123"/>
  <c r="G549" i="123"/>
  <c r="G641" i="123"/>
  <c r="G661" i="123" s="1"/>
  <c r="H622" i="123"/>
  <c r="H438" i="123"/>
  <c r="H439" i="123" s="1"/>
  <c r="H442" i="123" s="1"/>
  <c r="H443" i="123" s="1"/>
  <c r="H444" i="123" s="1"/>
  <c r="H445" i="123" s="1"/>
  <c r="G457" i="123"/>
  <c r="H457" i="123" s="1"/>
  <c r="H458" i="123" s="1"/>
  <c r="H461" i="123" s="1"/>
  <c r="H462" i="123" s="1"/>
  <c r="H463" i="123" s="1"/>
  <c r="H464" i="123" s="1"/>
  <c r="G138" i="81"/>
  <c r="G269" i="81" s="1"/>
  <c r="G376" i="81"/>
  <c r="H132" i="81" l="1"/>
  <c r="H263" i="81"/>
  <c r="G680" i="123"/>
  <c r="H661" i="123"/>
  <c r="H641" i="123"/>
  <c r="H549" i="123"/>
  <c r="G568" i="123"/>
  <c r="H490" i="123"/>
  <c r="H493" i="123" s="1"/>
  <c r="H500" i="123" s="1"/>
  <c r="H501" i="123" s="1"/>
  <c r="H502" i="123" s="1"/>
  <c r="H503" i="123" s="1"/>
  <c r="G529" i="123"/>
  <c r="H510" i="123"/>
  <c r="H87" i="81" l="1"/>
  <c r="I87" i="81" s="1"/>
  <c r="I132" i="81"/>
  <c r="H260" i="81"/>
  <c r="H370" i="81"/>
  <c r="I370" i="81" s="1"/>
  <c r="I263" i="81"/>
  <c r="H262" i="81"/>
  <c r="G699" i="123"/>
  <c r="H680" i="123"/>
  <c r="H568" i="123"/>
  <c r="G587" i="123"/>
  <c r="H509" i="123"/>
  <c r="H512" i="123" s="1"/>
  <c r="H519" i="123" s="1"/>
  <c r="H520" i="123" s="1"/>
  <c r="H521" i="123" s="1"/>
  <c r="H522" i="123" s="1"/>
  <c r="G528" i="123"/>
  <c r="G548" i="123"/>
  <c r="H529" i="123"/>
  <c r="G103" i="62"/>
  <c r="G106" i="62"/>
  <c r="G77" i="62"/>
  <c r="G80" i="62"/>
  <c r="G54" i="62"/>
  <c r="G53" i="62"/>
  <c r="G51" i="62"/>
  <c r="G50" i="62"/>
  <c r="H223" i="81" l="1"/>
  <c r="H329" i="81" s="1"/>
  <c r="I329" i="81" s="1"/>
  <c r="H376" i="81"/>
  <c r="H138" i="81"/>
  <c r="I138" i="81" s="1"/>
  <c r="H261" i="81"/>
  <c r="H369" i="81"/>
  <c r="I369" i="81" s="1"/>
  <c r="I262" i="81"/>
  <c r="G718" i="123"/>
  <c r="H699" i="123"/>
  <c r="H587" i="123"/>
  <c r="G606" i="123"/>
  <c r="G547" i="123"/>
  <c r="H528" i="123"/>
  <c r="H531" i="123" s="1"/>
  <c r="H538" i="123" s="1"/>
  <c r="G567" i="123"/>
  <c r="H548" i="123"/>
  <c r="I223" i="81" l="1"/>
  <c r="I376" i="81"/>
  <c r="H269" i="81"/>
  <c r="I269" i="81" s="1"/>
  <c r="H368" i="81"/>
  <c r="I368" i="81" s="1"/>
  <c r="I261" i="81"/>
  <c r="H718" i="123"/>
  <c r="G737" i="123"/>
  <c r="H539" i="123"/>
  <c r="H540" i="123" s="1"/>
  <c r="H541" i="123" s="1"/>
  <c r="H547" i="123"/>
  <c r="H550" i="123" s="1"/>
  <c r="H557" i="123" s="1"/>
  <c r="H558" i="123" s="1"/>
  <c r="H559" i="123" s="1"/>
  <c r="H560" i="123" s="1"/>
  <c r="G566" i="123"/>
  <c r="H606" i="123"/>
  <c r="G625" i="123"/>
  <c r="G586" i="123"/>
  <c r="H567" i="123"/>
  <c r="G758" i="123" l="1"/>
  <c r="H758" i="123" s="1"/>
  <c r="G780" i="123"/>
  <c r="H737" i="123"/>
  <c r="H625" i="123"/>
  <c r="G644" i="123"/>
  <c r="G664" i="123" s="1"/>
  <c r="G585" i="123"/>
  <c r="H566" i="123"/>
  <c r="H569" i="123" s="1"/>
  <c r="H576" i="123" s="1"/>
  <c r="H577" i="123" s="1"/>
  <c r="G605" i="123"/>
  <c r="H586" i="123"/>
  <c r="B223" i="81"/>
  <c r="H367" i="81" l="1"/>
  <c r="I367" i="81" s="1"/>
  <c r="I260" i="81"/>
  <c r="H780" i="123"/>
  <c r="G802" i="123"/>
  <c r="G683" i="123"/>
  <c r="H664" i="123"/>
  <c r="H578" i="123"/>
  <c r="H579" i="123" s="1"/>
  <c r="G624" i="123"/>
  <c r="H605" i="123"/>
  <c r="H644" i="123"/>
  <c r="G604" i="123"/>
  <c r="H585" i="123"/>
  <c r="H588" i="123" s="1"/>
  <c r="H595" i="123" s="1"/>
  <c r="B224" i="81"/>
  <c r="H802" i="123" l="1"/>
  <c r="G824" i="123"/>
  <c r="G702" i="123"/>
  <c r="H683" i="123"/>
  <c r="H596" i="123"/>
  <c r="H597" i="123" s="1"/>
  <c r="H598" i="123" s="1"/>
  <c r="H604" i="123"/>
  <c r="H607" i="123" s="1"/>
  <c r="H614" i="123" s="1"/>
  <c r="G623" i="123"/>
  <c r="G643" i="123"/>
  <c r="G663" i="123" s="1"/>
  <c r="H624" i="123"/>
  <c r="H824" i="123" l="1"/>
  <c r="G846" i="123"/>
  <c r="G682" i="123"/>
  <c r="H663" i="123"/>
  <c r="G721" i="123"/>
  <c r="H702" i="123"/>
  <c r="H615" i="123"/>
  <c r="H616" i="123" s="1"/>
  <c r="H617" i="123" s="1"/>
  <c r="G642" i="123"/>
  <c r="G662" i="123" s="1"/>
  <c r="H623" i="123"/>
  <c r="H626" i="123" s="1"/>
  <c r="H633" i="123" s="1"/>
  <c r="H643" i="123"/>
  <c r="Q577" i="80"/>
  <c r="T573" i="80" s="1"/>
  <c r="E113" i="81" s="1"/>
  <c r="C546" i="80"/>
  <c r="G92" i="81"/>
  <c r="G890" i="123" l="1"/>
  <c r="H890" i="123" s="1"/>
  <c r="G934" i="123"/>
  <c r="G868" i="123"/>
  <c r="H846" i="123"/>
  <c r="G740" i="123"/>
  <c r="H721" i="123"/>
  <c r="G681" i="123"/>
  <c r="H662" i="123"/>
  <c r="H665" i="123" s="1"/>
  <c r="H672" i="123" s="1"/>
  <c r="H673" i="123" s="1"/>
  <c r="H674" i="123" s="1"/>
  <c r="H675" i="123" s="1"/>
  <c r="G701" i="123"/>
  <c r="H682" i="123"/>
  <c r="H634" i="123"/>
  <c r="H635" i="123" s="1"/>
  <c r="H636" i="123" s="1"/>
  <c r="H642" i="123"/>
  <c r="H645" i="123" s="1"/>
  <c r="H652" i="123" s="1"/>
  <c r="H653" i="123" s="1"/>
  <c r="H654" i="123" s="1"/>
  <c r="H655" i="123" s="1"/>
  <c r="K588" i="80"/>
  <c r="E588" i="80"/>
  <c r="I404" i="80"/>
  <c r="Q404" i="80" s="1"/>
  <c r="D404" i="80"/>
  <c r="G401" i="80"/>
  <c r="E401" i="80"/>
  <c r="H868" i="123" l="1"/>
  <c r="G912" i="123"/>
  <c r="H912" i="123" s="1"/>
  <c r="H934" i="123"/>
  <c r="G956" i="123"/>
  <c r="H956" i="123" s="1"/>
  <c r="G783" i="123"/>
  <c r="G761" i="123"/>
  <c r="H761" i="123" s="1"/>
  <c r="G700" i="123"/>
  <c r="H681" i="123"/>
  <c r="H684" i="123" s="1"/>
  <c r="H691" i="123" s="1"/>
  <c r="H692" i="123" s="1"/>
  <c r="H693" i="123" s="1"/>
  <c r="H694" i="123" s="1"/>
  <c r="H701" i="123"/>
  <c r="G720" i="123"/>
  <c r="H740" i="123"/>
  <c r="H783" i="123" l="1"/>
  <c r="G805" i="123"/>
  <c r="G719" i="123"/>
  <c r="H700" i="123"/>
  <c r="H703" i="123" s="1"/>
  <c r="H710" i="123" s="1"/>
  <c r="G739" i="123"/>
  <c r="H720" i="123"/>
  <c r="E637" i="80"/>
  <c r="Q637" i="80" s="1"/>
  <c r="B99" i="81"/>
  <c r="B91" i="61"/>
  <c r="B92" i="61" s="1"/>
  <c r="B93" i="61" s="1"/>
  <c r="B94" i="61" s="1"/>
  <c r="B95" i="61" s="1"/>
  <c r="B96" i="61" s="1"/>
  <c r="G44" i="62"/>
  <c r="H44" i="62" s="1"/>
  <c r="B193" i="81"/>
  <c r="F125" i="81"/>
  <c r="E183" i="80"/>
  <c r="O165" i="80"/>
  <c r="F51" i="80"/>
  <c r="F54" i="80" s="1"/>
  <c r="F52" i="80"/>
  <c r="Q126" i="80"/>
  <c r="Q125" i="80"/>
  <c r="M125" i="80"/>
  <c r="M126" i="80" s="1"/>
  <c r="K83" i="80"/>
  <c r="K82" i="80"/>
  <c r="D80" i="80"/>
  <c r="C80" i="80"/>
  <c r="G69" i="85"/>
  <c r="G70" i="85"/>
  <c r="G71" i="85"/>
  <c r="G48" i="85"/>
  <c r="B152" i="61"/>
  <c r="B153" i="61" s="1"/>
  <c r="B154" i="61" s="1"/>
  <c r="B151" i="61"/>
  <c r="B145" i="61"/>
  <c r="B146" i="61" s="1"/>
  <c r="B147" i="61" s="1"/>
  <c r="B144" i="61"/>
  <c r="G56" i="85"/>
  <c r="G60" i="85"/>
  <c r="G61" i="85"/>
  <c r="G62" i="85"/>
  <c r="G63" i="85"/>
  <c r="G64" i="85"/>
  <c r="G65" i="85"/>
  <c r="G45" i="85"/>
  <c r="G33" i="85"/>
  <c r="G34" i="85"/>
  <c r="G36" i="85"/>
  <c r="G37" i="85"/>
  <c r="G38" i="85"/>
  <c r="G40" i="85"/>
  <c r="G42" i="85"/>
  <c r="B136" i="61"/>
  <c r="B137" i="61" s="1"/>
  <c r="B138" i="61" s="1"/>
  <c r="B139" i="61" s="1"/>
  <c r="B140" i="61" s="1"/>
  <c r="B133" i="61"/>
  <c r="B115" i="61"/>
  <c r="B116" i="61" s="1"/>
  <c r="B117" i="61" s="1"/>
  <c r="B118" i="61" s="1"/>
  <c r="B119" i="61" s="1"/>
  <c r="B120" i="61" s="1"/>
  <c r="B121" i="61" s="1"/>
  <c r="B122" i="61" s="1"/>
  <c r="B123" i="61" s="1"/>
  <c r="G20" i="85"/>
  <c r="G24" i="85"/>
  <c r="G25" i="85"/>
  <c r="G26" i="85"/>
  <c r="G19" i="85"/>
  <c r="B106" i="61"/>
  <c r="B107" i="61" s="1"/>
  <c r="B109" i="61" s="1"/>
  <c r="B110" i="61" s="1"/>
  <c r="B111" i="61" s="1"/>
  <c r="B112" i="61" s="1"/>
  <c r="B76" i="85"/>
  <c r="B77" i="85" s="1"/>
  <c r="B78" i="85" s="1"/>
  <c r="B79" i="85" s="1"/>
  <c r="B30" i="85"/>
  <c r="B31" i="85" s="1"/>
  <c r="B32" i="85" s="1"/>
  <c r="B33" i="85" s="1"/>
  <c r="B34" i="85" s="1"/>
  <c r="B35" i="85" s="1"/>
  <c r="B36" i="85" s="1"/>
  <c r="B37" i="85" s="1"/>
  <c r="B38" i="85" s="1"/>
  <c r="B39" i="85" s="1"/>
  <c r="B40" i="85" s="1"/>
  <c r="B41" i="85" s="1"/>
  <c r="B42" i="85" s="1"/>
  <c r="H54" i="85"/>
  <c r="B52" i="85"/>
  <c r="B53" i="85" s="1"/>
  <c r="G16" i="85"/>
  <c r="B102" i="61"/>
  <c r="B103" i="61" s="1"/>
  <c r="O52" i="81"/>
  <c r="C66" i="68"/>
  <c r="B66" i="68"/>
  <c r="H14" i="129" s="1"/>
  <c r="G15" i="85"/>
  <c r="G14" i="85"/>
  <c r="B12" i="81"/>
  <c r="H16" i="81"/>
  <c r="I16" i="81" s="1"/>
  <c r="H106" i="62"/>
  <c r="G105" i="62"/>
  <c r="H105" i="62" s="1"/>
  <c r="G104" i="62"/>
  <c r="H104" i="62" s="1"/>
  <c r="H103" i="62"/>
  <c r="G102" i="62"/>
  <c r="H102" i="62" s="1"/>
  <c r="G101" i="62"/>
  <c r="H101" i="62" s="1"/>
  <c r="G100" i="62"/>
  <c r="H100" i="62" s="1"/>
  <c r="G99" i="62"/>
  <c r="H99" i="62" s="1"/>
  <c r="H77" i="62"/>
  <c r="G79" i="62"/>
  <c r="H79" i="62" s="1"/>
  <c r="G78" i="62"/>
  <c r="H78" i="62" s="1"/>
  <c r="H80" i="62"/>
  <c r="H50" i="62"/>
  <c r="G76" i="62"/>
  <c r="H76" i="62" s="1"/>
  <c r="G75" i="62"/>
  <c r="H75" i="62" s="1"/>
  <c r="G74" i="62"/>
  <c r="H74" i="62" s="1"/>
  <c r="G73" i="62"/>
  <c r="H73" i="62" s="1"/>
  <c r="G46" i="62"/>
  <c r="H46" i="62" s="1"/>
  <c r="G45" i="62"/>
  <c r="H45" i="62" s="1"/>
  <c r="G43" i="62"/>
  <c r="H43" i="62" s="1"/>
  <c r="G42" i="62"/>
  <c r="H42" i="62" s="1"/>
  <c r="G41" i="62"/>
  <c r="H41" i="62" s="1"/>
  <c r="H51" i="62"/>
  <c r="H52" i="62"/>
  <c r="G49" i="62"/>
  <c r="H49" i="62" s="1"/>
  <c r="G48" i="62"/>
  <c r="H48" i="62" s="1"/>
  <c r="H54" i="62"/>
  <c r="C14" i="68"/>
  <c r="B14" i="68"/>
  <c r="C13" i="68"/>
  <c r="B13" i="68"/>
  <c r="C12" i="68"/>
  <c r="B12" i="68"/>
  <c r="F112" i="62"/>
  <c r="G96" i="62"/>
  <c r="H96" i="62" s="1"/>
  <c r="G95" i="62"/>
  <c r="H95" i="62" s="1"/>
  <c r="G94" i="62"/>
  <c r="H94" i="62" s="1"/>
  <c r="G93" i="62"/>
  <c r="H93" i="62" s="1"/>
  <c r="F86" i="62"/>
  <c r="G70" i="62"/>
  <c r="H70" i="62" s="1"/>
  <c r="G69" i="62"/>
  <c r="H69" i="62" s="1"/>
  <c r="G68" i="62"/>
  <c r="H68" i="62" s="1"/>
  <c r="G67" i="62"/>
  <c r="H67" i="62" s="1"/>
  <c r="G36" i="62"/>
  <c r="H36" i="62" s="1"/>
  <c r="F60" i="62"/>
  <c r="G38" i="62"/>
  <c r="H38" i="62" s="1"/>
  <c r="G37" i="62"/>
  <c r="H37" i="62" s="1"/>
  <c r="G35" i="62"/>
  <c r="H35" i="62" s="1"/>
  <c r="G34" i="62"/>
  <c r="H34" i="62" s="1"/>
  <c r="G18" i="103"/>
  <c r="H18" i="103" s="1"/>
  <c r="I56" i="95"/>
  <c r="L56" i="95" s="1"/>
  <c r="O18" i="64"/>
  <c r="C644" i="80"/>
  <c r="B644" i="80"/>
  <c r="F35" i="81"/>
  <c r="S89" i="80"/>
  <c r="S90" i="80"/>
  <c r="C593" i="80"/>
  <c r="D605" i="80" s="1"/>
  <c r="C603" i="80"/>
  <c r="B592" i="80"/>
  <c r="C592" i="80"/>
  <c r="B593" i="80"/>
  <c r="T566" i="80"/>
  <c r="B603" i="80"/>
  <c r="B609" i="80"/>
  <c r="C609" i="80"/>
  <c r="B610" i="80"/>
  <c r="C610" i="80"/>
  <c r="Q612" i="80"/>
  <c r="Q620" i="80" s="1"/>
  <c r="C518" i="80"/>
  <c r="D520" i="80" s="1"/>
  <c r="C524" i="80"/>
  <c r="D526" i="80" s="1"/>
  <c r="B622" i="80"/>
  <c r="C622" i="80"/>
  <c r="B628" i="80"/>
  <c r="C628" i="80"/>
  <c r="C552" i="80"/>
  <c r="C566" i="80"/>
  <c r="B635" i="80"/>
  <c r="C635" i="80"/>
  <c r="F115" i="81"/>
  <c r="F243" i="81" s="1"/>
  <c r="Q588" i="80"/>
  <c r="S117" i="80"/>
  <c r="S37" i="80" s="1"/>
  <c r="O119" i="80"/>
  <c r="S139" i="80"/>
  <c r="S38" i="80" s="1"/>
  <c r="Q147" i="80"/>
  <c r="M147" i="80"/>
  <c r="M148" i="80" s="1"/>
  <c r="Q148" i="80"/>
  <c r="O141" i="80"/>
  <c r="K54" i="80"/>
  <c r="I52" i="80"/>
  <c r="K52" i="80"/>
  <c r="K55" i="80" s="1"/>
  <c r="Q413" i="80"/>
  <c r="Q182" i="80"/>
  <c r="Q183" i="80" s="1"/>
  <c r="O183" i="80"/>
  <c r="C48" i="80"/>
  <c r="C136" i="80"/>
  <c r="D52" i="80" s="1"/>
  <c r="C114" i="80"/>
  <c r="D89" i="80" s="1"/>
  <c r="D82" i="80" s="1"/>
  <c r="G51" i="80"/>
  <c r="G54" i="80" s="1"/>
  <c r="G52" i="80"/>
  <c r="G55" i="80" s="1"/>
  <c r="E52" i="80"/>
  <c r="E55" i="80" s="1"/>
  <c r="C158" i="80"/>
  <c r="K97" i="80"/>
  <c r="K104" i="80" s="1"/>
  <c r="K96" i="80"/>
  <c r="K103" i="80" s="1"/>
  <c r="E33" i="81"/>
  <c r="I132" i="80"/>
  <c r="M154" i="80"/>
  <c r="I154" i="80"/>
  <c r="I189" i="80"/>
  <c r="Q189" i="80" s="1"/>
  <c r="Q192" i="80" s="1"/>
  <c r="O199" i="80"/>
  <c r="O200" i="80" s="1"/>
  <c r="Q212" i="80"/>
  <c r="S225" i="80"/>
  <c r="S236" i="80"/>
  <c r="Q263" i="80"/>
  <c r="S263" i="80" s="1"/>
  <c r="S266" i="80" s="1"/>
  <c r="O248" i="80"/>
  <c r="O286" i="80"/>
  <c r="I378" i="80"/>
  <c r="S378" i="80" s="1"/>
  <c r="S380" i="80"/>
  <c r="S381" i="80"/>
  <c r="S340" i="80" s="1"/>
  <c r="S342" i="80" s="1"/>
  <c r="S344" i="80" s="1"/>
  <c r="I391" i="80"/>
  <c r="I392" i="80"/>
  <c r="O383" i="80"/>
  <c r="G402" i="80"/>
  <c r="E402" i="80"/>
  <c r="S413" i="80"/>
  <c r="Q423" i="80"/>
  <c r="S423" i="80" s="1"/>
  <c r="Q425" i="80"/>
  <c r="S425" i="80" s="1"/>
  <c r="O415" i="80"/>
  <c r="S501" i="80"/>
  <c r="T497" i="80" s="1"/>
  <c r="S11" i="80"/>
  <c r="S12" i="80"/>
  <c r="F44" i="81"/>
  <c r="F45" i="81"/>
  <c r="F46" i="81"/>
  <c r="B43" i="81"/>
  <c r="C152" i="80"/>
  <c r="C145" i="80"/>
  <c r="C137" i="80"/>
  <c r="I118" i="95"/>
  <c r="O73" i="95"/>
  <c r="I73" i="95" s="1"/>
  <c r="I119" i="95"/>
  <c r="I78" i="95"/>
  <c r="I76" i="95"/>
  <c r="BD74" i="95"/>
  <c r="BC74" i="95" s="1"/>
  <c r="BF90" i="95" s="1"/>
  <c r="BF74" i="95"/>
  <c r="I116" i="95"/>
  <c r="I106" i="95" s="1"/>
  <c r="I83" i="95"/>
  <c r="I114" i="95"/>
  <c r="I59" i="95"/>
  <c r="I39" i="95" s="1"/>
  <c r="I60" i="95"/>
  <c r="I41" i="95" s="1"/>
  <c r="BD15" i="95"/>
  <c r="BD16" i="95" s="1"/>
  <c r="BD17" i="95" s="1"/>
  <c r="BD18" i="95" s="1"/>
  <c r="BD19" i="95" s="1"/>
  <c r="BD20" i="95" s="1"/>
  <c r="BD21" i="95" s="1"/>
  <c r="BD22" i="95" s="1"/>
  <c r="BD23" i="95" s="1"/>
  <c r="BF15" i="95"/>
  <c r="I24" i="95"/>
  <c r="C90" i="61"/>
  <c r="I117" i="95" s="1"/>
  <c r="L42" i="92"/>
  <c r="L44" i="92" s="1"/>
  <c r="L54" i="92" s="1"/>
  <c r="L14" i="93"/>
  <c r="L29" i="93"/>
  <c r="L25" i="93" s="1"/>
  <c r="L32" i="93"/>
  <c r="L33" i="93" s="1"/>
  <c r="L14" i="94"/>
  <c r="L27" i="94"/>
  <c r="L29" i="94"/>
  <c r="L30" i="94" s="1"/>
  <c r="G291" i="62"/>
  <c r="H291" i="62" s="1"/>
  <c r="G292" i="62"/>
  <c r="G285" i="62"/>
  <c r="H285" i="62" s="1"/>
  <c r="G286" i="62"/>
  <c r="H286" i="62" s="1"/>
  <c r="G287" i="62"/>
  <c r="H287" i="62" s="1"/>
  <c r="G288" i="62"/>
  <c r="H288" i="62" s="1"/>
  <c r="F298" i="62"/>
  <c r="G120" i="62"/>
  <c r="H120" i="62" s="1"/>
  <c r="G121" i="62"/>
  <c r="H121" i="62" s="1"/>
  <c r="F129" i="62"/>
  <c r="G312" i="62"/>
  <c r="G391" i="62"/>
  <c r="G392" i="62"/>
  <c r="G393" i="62"/>
  <c r="G419" i="62" s="1"/>
  <c r="G434" i="62" s="1"/>
  <c r="G394" i="62"/>
  <c r="G420" i="62" s="1"/>
  <c r="G435" i="62" s="1"/>
  <c r="F409" i="62"/>
  <c r="G187" i="62"/>
  <c r="H187" i="62" s="1"/>
  <c r="G188" i="62"/>
  <c r="H188" i="62" s="1"/>
  <c r="G191" i="62"/>
  <c r="H191" i="62" s="1"/>
  <c r="H192" i="62" s="1"/>
  <c r="F197" i="62"/>
  <c r="G204" i="62"/>
  <c r="H204" i="62" s="1"/>
  <c r="G205" i="62"/>
  <c r="H205" i="62" s="1"/>
  <c r="G208" i="62"/>
  <c r="H208" i="62" s="1"/>
  <c r="H209" i="62" s="1"/>
  <c r="F214" i="62"/>
  <c r="G170" i="62"/>
  <c r="H170" i="62" s="1"/>
  <c r="G171" i="62"/>
  <c r="H171" i="62" s="1"/>
  <c r="G174" i="62"/>
  <c r="H174" i="62" s="1"/>
  <c r="H175" i="62" s="1"/>
  <c r="F180" i="62"/>
  <c r="G38" i="103"/>
  <c r="F38" i="103"/>
  <c r="F39" i="103"/>
  <c r="F32" i="103"/>
  <c r="G32" i="103"/>
  <c r="F33" i="103"/>
  <c r="G33" i="103"/>
  <c r="F34" i="103"/>
  <c r="G34" i="103"/>
  <c r="F35" i="103"/>
  <c r="G35" i="103"/>
  <c r="F46" i="103"/>
  <c r="G152" i="62"/>
  <c r="H152" i="62" s="1"/>
  <c r="G153" i="62"/>
  <c r="H153" i="62" s="1"/>
  <c r="H156" i="62"/>
  <c r="H157" i="62" s="1"/>
  <c r="H159" i="62"/>
  <c r="H160" i="62" s="1"/>
  <c r="F163" i="62"/>
  <c r="G265" i="62"/>
  <c r="H265" i="62" s="1"/>
  <c r="G266" i="62"/>
  <c r="H266" i="62" s="1"/>
  <c r="G267" i="62"/>
  <c r="H267" i="62" s="1"/>
  <c r="G268" i="62"/>
  <c r="H268" i="62" s="1"/>
  <c r="G271" i="62"/>
  <c r="H271" i="62" s="1"/>
  <c r="G272" i="62"/>
  <c r="H272" i="62" s="1"/>
  <c r="F278" i="62"/>
  <c r="G305" i="62"/>
  <c r="G306" i="62"/>
  <c r="G328" i="62" s="1"/>
  <c r="G307" i="62"/>
  <c r="G329" i="62" s="1"/>
  <c r="G308" i="62"/>
  <c r="G330" i="62" s="1"/>
  <c r="H311" i="62"/>
  <c r="G313" i="62"/>
  <c r="F320" i="62"/>
  <c r="G13" i="62"/>
  <c r="H13" i="62" s="1"/>
  <c r="G14" i="62"/>
  <c r="H14" i="62" s="1"/>
  <c r="G15" i="62"/>
  <c r="H15" i="62" s="1"/>
  <c r="G16" i="62"/>
  <c r="H16" i="62" s="1"/>
  <c r="G19" i="62"/>
  <c r="H19" i="62" s="1"/>
  <c r="G20" i="62"/>
  <c r="H20" i="62" s="1"/>
  <c r="G21" i="62"/>
  <c r="H21" i="62" s="1"/>
  <c r="F27" i="62"/>
  <c r="G88" i="81"/>
  <c r="G224" i="81" s="1"/>
  <c r="G330" i="81" s="1"/>
  <c r="B32" i="68"/>
  <c r="B33" i="68"/>
  <c r="B21" i="68"/>
  <c r="B22" i="68"/>
  <c r="B19" i="68"/>
  <c r="G331" i="81"/>
  <c r="H17" i="103"/>
  <c r="F11" i="103"/>
  <c r="G11" i="103"/>
  <c r="F12" i="103"/>
  <c r="G12" i="103"/>
  <c r="G13" i="103"/>
  <c r="H13" i="103" s="1"/>
  <c r="G14" i="103"/>
  <c r="H14" i="103" s="1"/>
  <c r="F25" i="103"/>
  <c r="C64" i="68"/>
  <c r="B17" i="61"/>
  <c r="B46" i="61"/>
  <c r="B248" i="81"/>
  <c r="B253" i="81"/>
  <c r="L31" i="92"/>
  <c r="B37" i="68"/>
  <c r="B453" i="126"/>
  <c r="C503" i="80"/>
  <c r="D639" i="80" s="1"/>
  <c r="B355" i="81"/>
  <c r="F361" i="81"/>
  <c r="F12" i="81"/>
  <c r="B23" i="68"/>
  <c r="C242" i="80"/>
  <c r="B360" i="81"/>
  <c r="B361" i="81" s="1"/>
  <c r="B362" i="81" s="1"/>
  <c r="B299" i="81"/>
  <c r="C15" i="80"/>
  <c r="C8" i="80"/>
  <c r="B8" i="80"/>
  <c r="B10" i="68"/>
  <c r="D27" i="82"/>
  <c r="B27" i="82"/>
  <c r="F120" i="81"/>
  <c r="F119" i="81"/>
  <c r="D17" i="82"/>
  <c r="B17" i="82"/>
  <c r="C497" i="80"/>
  <c r="B497" i="80"/>
  <c r="F88" i="81"/>
  <c r="C489" i="80"/>
  <c r="F85" i="81"/>
  <c r="C467" i="80"/>
  <c r="F84" i="81"/>
  <c r="C439" i="80"/>
  <c r="C431" i="80"/>
  <c r="B431" i="80"/>
  <c r="F68" i="81"/>
  <c r="C324" i="80"/>
  <c r="F67" i="81"/>
  <c r="C316" i="80"/>
  <c r="F66" i="81"/>
  <c r="C291" i="80"/>
  <c r="F65" i="81"/>
  <c r="C275" i="80"/>
  <c r="C274" i="80"/>
  <c r="F23" i="81"/>
  <c r="F24" i="81"/>
  <c r="F25" i="81"/>
  <c r="C115" i="80"/>
  <c r="D87" i="80"/>
  <c r="C87" i="80"/>
  <c r="I237" i="95"/>
  <c r="I218" i="95" s="1"/>
  <c r="I236" i="95"/>
  <c r="I216" i="95" s="1"/>
  <c r="I232" i="95"/>
  <c r="I203" i="95" s="1"/>
  <c r="I178" i="95"/>
  <c r="I159" i="95" s="1"/>
  <c r="I177" i="95"/>
  <c r="I157" i="95" s="1"/>
  <c r="I173" i="95"/>
  <c r="I144" i="95" s="1"/>
  <c r="C62" i="68"/>
  <c r="C60" i="68"/>
  <c r="K57" i="91"/>
  <c r="K55" i="91" s="1"/>
  <c r="C57" i="91"/>
  <c r="C56" i="91"/>
  <c r="C55" i="91"/>
  <c r="B54" i="91"/>
  <c r="G52" i="91"/>
  <c r="F52" i="91"/>
  <c r="E52" i="91"/>
  <c r="B49" i="91"/>
  <c r="F46" i="91"/>
  <c r="E46" i="91"/>
  <c r="B43" i="91"/>
  <c r="F41" i="91"/>
  <c r="D41" i="91" s="1"/>
  <c r="F40" i="91"/>
  <c r="G40" i="91" s="1"/>
  <c r="B40" i="91"/>
  <c r="B41" i="91" s="1"/>
  <c r="F39" i="91"/>
  <c r="G39" i="91" s="1"/>
  <c r="H39" i="91" s="1"/>
  <c r="E29" i="91"/>
  <c r="C26" i="91"/>
  <c r="E15" i="91"/>
  <c r="Q44" i="92"/>
  <c r="Q39" i="92"/>
  <c r="Q36" i="92"/>
  <c r="D22" i="92"/>
  <c r="D23" i="92" s="1"/>
  <c r="D24" i="92" s="1"/>
  <c r="D25" i="92" s="1"/>
  <c r="D26" i="92" s="1"/>
  <c r="AB21" i="92"/>
  <c r="D15" i="92"/>
  <c r="D16" i="92" s="1"/>
  <c r="D17" i="92" s="1"/>
  <c r="C15" i="92"/>
  <c r="B15" i="92"/>
  <c r="AB19" i="93"/>
  <c r="C14" i="93"/>
  <c r="B14" i="93"/>
  <c r="D13" i="93"/>
  <c r="D14" i="93" s="1"/>
  <c r="D15" i="93" s="1"/>
  <c r="D16" i="93" s="1"/>
  <c r="Q28" i="94"/>
  <c r="AB18" i="94"/>
  <c r="C14" i="94"/>
  <c r="B14" i="94"/>
  <c r="D13" i="94"/>
  <c r="D14" i="94" s="1"/>
  <c r="D15" i="94" s="1"/>
  <c r="G237" i="95"/>
  <c r="G236" i="95"/>
  <c r="G235" i="95"/>
  <c r="G234" i="95"/>
  <c r="G233" i="95"/>
  <c r="I201" i="95"/>
  <c r="K196" i="95"/>
  <c r="K197" i="95" s="1"/>
  <c r="K198" i="95" s="1"/>
  <c r="L195" i="95"/>
  <c r="I194" i="95"/>
  <c r="I197" i="95" s="1"/>
  <c r="BE193" i="95"/>
  <c r="BE194" i="95" s="1"/>
  <c r="BE195" i="95" s="1"/>
  <c r="BE196" i="95" s="1"/>
  <c r="BE197" i="95" s="1"/>
  <c r="BE198" i="95" s="1"/>
  <c r="BE199" i="95" s="1"/>
  <c r="BE200" i="95" s="1"/>
  <c r="BE201" i="95" s="1"/>
  <c r="BE202" i="95" s="1"/>
  <c r="BE203" i="95" s="1"/>
  <c r="BE204" i="95" s="1"/>
  <c r="BE205" i="95" s="1"/>
  <c r="BE206" i="95" s="1"/>
  <c r="BF192" i="95"/>
  <c r="BD192" i="95"/>
  <c r="BD193" i="95" s="1"/>
  <c r="BC192" i="95"/>
  <c r="G178" i="95"/>
  <c r="G177" i="95"/>
  <c r="G176" i="95"/>
  <c r="G175" i="95"/>
  <c r="G174" i="95"/>
  <c r="K137" i="95"/>
  <c r="K138" i="95" s="1"/>
  <c r="K139" i="95" s="1"/>
  <c r="I142" i="95"/>
  <c r="I135" i="95"/>
  <c r="I138" i="95" s="1"/>
  <c r="BE134" i="95"/>
  <c r="BE135" i="95" s="1"/>
  <c r="BE136" i="95" s="1"/>
  <c r="BE137" i="95" s="1"/>
  <c r="BE138" i="95" s="1"/>
  <c r="BE139" i="95" s="1"/>
  <c r="BE140" i="95" s="1"/>
  <c r="BE141" i="95" s="1"/>
  <c r="BE142" i="95" s="1"/>
  <c r="BE143" i="95" s="1"/>
  <c r="BE144" i="95" s="1"/>
  <c r="BE145" i="95" s="1"/>
  <c r="BE146" i="95" s="1"/>
  <c r="BE147" i="95" s="1"/>
  <c r="BD133" i="95"/>
  <c r="BD134" i="95" s="1"/>
  <c r="BD135" i="95" s="1"/>
  <c r="BD136" i="95" s="1"/>
  <c r="BC133" i="95"/>
  <c r="G119" i="95"/>
  <c r="G118" i="95"/>
  <c r="G117" i="95"/>
  <c r="G116" i="95"/>
  <c r="G115" i="95"/>
  <c r="L83" i="95"/>
  <c r="BE75" i="95"/>
  <c r="BE76" i="95" s="1"/>
  <c r="BE77" i="95" s="1"/>
  <c r="BE78" i="95" s="1"/>
  <c r="BE79" i="95" s="1"/>
  <c r="BE80" i="95" s="1"/>
  <c r="BE81" i="95" s="1"/>
  <c r="BE82" i="95" s="1"/>
  <c r="BE83" i="95" s="1"/>
  <c r="BE84" i="95" s="1"/>
  <c r="BE85" i="95" s="1"/>
  <c r="BE86" i="95" s="1"/>
  <c r="BE87" i="95" s="1"/>
  <c r="BE88" i="95" s="1"/>
  <c r="O72" i="95"/>
  <c r="G60" i="95"/>
  <c r="G59" i="95"/>
  <c r="G58" i="95"/>
  <c r="G57" i="95"/>
  <c r="G56" i="95"/>
  <c r="BE16" i="95"/>
  <c r="BE17" i="95" s="1"/>
  <c r="BE18" i="95" s="1"/>
  <c r="BE19" i="95" s="1"/>
  <c r="BE20" i="95" s="1"/>
  <c r="BE21" i="95" s="1"/>
  <c r="BE22" i="95" s="1"/>
  <c r="BE23" i="95" s="1"/>
  <c r="BE24" i="95" s="1"/>
  <c r="BE25" i="95" s="1"/>
  <c r="BE26" i="95" s="1"/>
  <c r="BE27" i="95" s="1"/>
  <c r="BE28" i="95" s="1"/>
  <c r="BE29" i="95" s="1"/>
  <c r="O13" i="95"/>
  <c r="M5" i="95"/>
  <c r="K78" i="95"/>
  <c r="K79" i="95" s="1"/>
  <c r="K80" i="95" s="1"/>
  <c r="B69" i="85"/>
  <c r="B70" i="85" s="1"/>
  <c r="B71" i="85" s="1"/>
  <c r="B72" i="85" s="1"/>
  <c r="B61" i="85"/>
  <c r="B62" i="85" s="1"/>
  <c r="B63" i="85" s="1"/>
  <c r="B64" i="85" s="1"/>
  <c r="B65" i="85" s="1"/>
  <c r="B57" i="85"/>
  <c r="B20" i="85"/>
  <c r="B21" i="85" s="1"/>
  <c r="B23" i="85" s="1"/>
  <c r="B24" i="85" s="1"/>
  <c r="B25" i="85" s="1"/>
  <c r="B26" i="85" s="1"/>
  <c r="B15" i="85"/>
  <c r="B16" i="85" s="1"/>
  <c r="F127" i="81"/>
  <c r="F124" i="81"/>
  <c r="C585" i="80"/>
  <c r="C539" i="80"/>
  <c r="D532" i="80"/>
  <c r="F112" i="81"/>
  <c r="C496" i="80"/>
  <c r="B496" i="80"/>
  <c r="C10" i="68"/>
  <c r="F111" i="81"/>
  <c r="F75" i="81"/>
  <c r="F76" i="81"/>
  <c r="F77" i="81"/>
  <c r="C399" i="80"/>
  <c r="C387" i="80"/>
  <c r="C376" i="80"/>
  <c r="C375" i="80"/>
  <c r="D587" i="80" s="1"/>
  <c r="F60" i="81"/>
  <c r="F61" i="81"/>
  <c r="F62" i="81"/>
  <c r="F63" i="81"/>
  <c r="F48" i="81"/>
  <c r="F49" i="81"/>
  <c r="F50" i="81"/>
  <c r="F51" i="81"/>
  <c r="C187" i="80"/>
  <c r="C169" i="80"/>
  <c r="C180" i="80"/>
  <c r="C159" i="80"/>
  <c r="F79" i="81"/>
  <c r="F80" i="81"/>
  <c r="F53" i="81"/>
  <c r="F54" i="81"/>
  <c r="F55" i="81"/>
  <c r="F56" i="81"/>
  <c r="C204" i="80"/>
  <c r="C210" i="80"/>
  <c r="C217" i="80"/>
  <c r="C195" i="80"/>
  <c r="C194" i="80"/>
  <c r="D197" i="80" s="1"/>
  <c r="F42" i="81"/>
  <c r="C130" i="80"/>
  <c r="F40" i="81"/>
  <c r="F41" i="81"/>
  <c r="C123" i="80"/>
  <c r="F37" i="81"/>
  <c r="F36" i="81"/>
  <c r="F33" i="81"/>
  <c r="C94" i="80"/>
  <c r="D94" i="80"/>
  <c r="C101" i="80"/>
  <c r="D101" i="80"/>
  <c r="D78" i="80"/>
  <c r="C78" i="80"/>
  <c r="C77" i="80"/>
  <c r="B77" i="80"/>
  <c r="F11" i="81"/>
  <c r="D10" i="80"/>
  <c r="D45" i="82"/>
  <c r="B45" i="82"/>
  <c r="D44" i="82"/>
  <c r="B44" i="82"/>
  <c r="D43" i="82"/>
  <c r="B43" i="82"/>
  <c r="D42" i="82"/>
  <c r="B42" i="82"/>
  <c r="D29" i="82"/>
  <c r="B29" i="82"/>
  <c r="D28" i="82"/>
  <c r="B28" i="82"/>
  <c r="D26" i="82"/>
  <c r="B26" i="82"/>
  <c r="D25" i="82"/>
  <c r="B25" i="82"/>
  <c r="D24" i="82"/>
  <c r="B24" i="82"/>
  <c r="D23" i="82"/>
  <c r="B23" i="82"/>
  <c r="D22" i="82"/>
  <c r="B22" i="82"/>
  <c r="D39" i="82"/>
  <c r="B39" i="82"/>
  <c r="B11" i="64"/>
  <c r="B12" i="64" s="1"/>
  <c r="B13" i="64" s="1"/>
  <c r="B14" i="64" s="1"/>
  <c r="B15" i="64" s="1"/>
  <c r="B8" i="68"/>
  <c r="C8" i="68"/>
  <c r="B11" i="68"/>
  <c r="C11" i="68"/>
  <c r="B17" i="68"/>
  <c r="C17" i="68"/>
  <c r="C19" i="68"/>
  <c r="C21" i="68"/>
  <c r="C22" i="68"/>
  <c r="C23" i="68"/>
  <c r="B24" i="68"/>
  <c r="C24" i="68"/>
  <c r="B27" i="68"/>
  <c r="C27" i="68"/>
  <c r="C32" i="68"/>
  <c r="C33" i="68"/>
  <c r="C37" i="68"/>
  <c r="B1" i="80"/>
  <c r="D1" i="80"/>
  <c r="B2" i="80"/>
  <c r="D2" i="80"/>
  <c r="B3" i="80"/>
  <c r="D3" i="80"/>
  <c r="B6" i="80"/>
  <c r="C6" i="80"/>
  <c r="B24" i="80"/>
  <c r="C24" i="80"/>
  <c r="B25" i="80"/>
  <c r="C25" i="80"/>
  <c r="B59" i="80"/>
  <c r="C59" i="80"/>
  <c r="D60" i="80"/>
  <c r="D66" i="80"/>
  <c r="B76" i="80"/>
  <c r="C76" i="80"/>
  <c r="C223" i="80"/>
  <c r="C231" i="80"/>
  <c r="C243" i="80"/>
  <c r="C253" i="80"/>
  <c r="C261" i="80"/>
  <c r="C268" i="80"/>
  <c r="C408" i="80"/>
  <c r="C409" i="80"/>
  <c r="C419" i="80"/>
  <c r="B430" i="80"/>
  <c r="C430" i="80"/>
  <c r="B530" i="80"/>
  <c r="C530" i="80"/>
  <c r="B531" i="80"/>
  <c r="C531" i="80"/>
  <c r="B24" i="81"/>
  <c r="F27" i="81"/>
  <c r="F28" i="81"/>
  <c r="B566" i="126"/>
  <c r="D3" i="82"/>
  <c r="D4" i="82"/>
  <c r="D5" i="82"/>
  <c r="B9" i="82"/>
  <c r="D9" i="82"/>
  <c r="B11" i="82"/>
  <c r="D11" i="82"/>
  <c r="B12" i="82"/>
  <c r="D12" i="82"/>
  <c r="B13" i="82"/>
  <c r="D13" i="82"/>
  <c r="B14" i="82"/>
  <c r="D14" i="82"/>
  <c r="B15" i="82"/>
  <c r="D15" i="82"/>
  <c r="B16" i="82"/>
  <c r="D16" i="82"/>
  <c r="B18" i="82"/>
  <c r="D18" i="82"/>
  <c r="B19" i="82"/>
  <c r="D19" i="82"/>
  <c r="B32" i="82"/>
  <c r="D32" i="82"/>
  <c r="B33" i="82"/>
  <c r="D33" i="82"/>
  <c r="B34" i="82"/>
  <c r="D34" i="82"/>
  <c r="B35" i="82"/>
  <c r="D35" i="82"/>
  <c r="B36" i="82"/>
  <c r="D36" i="82"/>
  <c r="B37" i="82"/>
  <c r="D37" i="82"/>
  <c r="B38" i="82"/>
  <c r="D38" i="82"/>
  <c r="O13" i="64"/>
  <c r="I175" i="95"/>
  <c r="I165" i="95" s="1"/>
  <c r="I234" i="95"/>
  <c r="I224" i="95" s="1"/>
  <c r="I57" i="95"/>
  <c r="I47" i="95" s="1"/>
  <c r="I174" i="95"/>
  <c r="I164" i="95" s="1"/>
  <c r="I115" i="95"/>
  <c r="I105" i="95" s="1"/>
  <c r="I233" i="95"/>
  <c r="I223" i="95" s="1"/>
  <c r="Q401" i="80"/>
  <c r="S379" i="80"/>
  <c r="G39" i="103"/>
  <c r="G47" i="62"/>
  <c r="H47" i="62" s="1"/>
  <c r="H53" i="62"/>
  <c r="I34" i="129" l="1"/>
  <c r="J34" i="129" s="1"/>
  <c r="H435" i="62"/>
  <c r="G471" i="62"/>
  <c r="H471" i="62" s="1"/>
  <c r="H434" i="62"/>
  <c r="G470" i="62"/>
  <c r="H470" i="62" s="1"/>
  <c r="I31" i="129"/>
  <c r="J31" i="129" s="1"/>
  <c r="I13" i="129"/>
  <c r="J13" i="129" s="1"/>
  <c r="I28" i="129"/>
  <c r="J28" i="129" s="1"/>
  <c r="G454" i="62"/>
  <c r="G488" i="62" s="1"/>
  <c r="H488" i="62" s="1"/>
  <c r="H420" i="62"/>
  <c r="G453" i="62"/>
  <c r="G487" i="62" s="1"/>
  <c r="H487" i="62" s="1"/>
  <c r="H419" i="62"/>
  <c r="H330" i="62"/>
  <c r="G352" i="62"/>
  <c r="H329" i="62"/>
  <c r="G351" i="62"/>
  <c r="H328" i="62"/>
  <c r="G350" i="62"/>
  <c r="H313" i="62"/>
  <c r="G335" i="62"/>
  <c r="H305" i="62"/>
  <c r="G327" i="62"/>
  <c r="H392" i="62"/>
  <c r="G418" i="62"/>
  <c r="G433" i="62" s="1"/>
  <c r="H391" i="62"/>
  <c r="G417" i="62"/>
  <c r="G432" i="62" s="1"/>
  <c r="H312" i="62"/>
  <c r="H314" i="62" s="1"/>
  <c r="H315" i="62" s="1"/>
  <c r="G334" i="62"/>
  <c r="J17" i="129"/>
  <c r="B16" i="64"/>
  <c r="L46" i="92"/>
  <c r="BD75" i="95"/>
  <c r="BF149" i="95"/>
  <c r="BC15" i="95"/>
  <c r="BF32" i="95" s="1"/>
  <c r="K19" i="95"/>
  <c r="K20" i="95" s="1"/>
  <c r="K21" i="95" s="1"/>
  <c r="BF133" i="95"/>
  <c r="BF208" i="95"/>
  <c r="B124" i="61"/>
  <c r="B125" i="61" s="1"/>
  <c r="B126" i="61" s="1"/>
  <c r="B127" i="61" s="1"/>
  <c r="B128" i="61" s="1"/>
  <c r="I46" i="95"/>
  <c r="L55" i="92"/>
  <c r="L64" i="92" s="1"/>
  <c r="H394" i="62"/>
  <c r="H393" i="62"/>
  <c r="G111" i="81"/>
  <c r="G240" i="81" s="1"/>
  <c r="G347" i="81" s="1"/>
  <c r="G115" i="81"/>
  <c r="G242" i="81" s="1"/>
  <c r="G350" i="81" s="1"/>
  <c r="G151" i="81"/>
  <c r="G216" i="81"/>
  <c r="G322" i="81" s="1"/>
  <c r="G409" i="81" s="1"/>
  <c r="G113" i="81"/>
  <c r="G120" i="81"/>
  <c r="G247" i="81"/>
  <c r="G58" i="81"/>
  <c r="G193" i="81" s="1"/>
  <c r="B15" i="127"/>
  <c r="B517" i="127"/>
  <c r="B47" i="126"/>
  <c r="B47" i="127"/>
  <c r="B149" i="126"/>
  <c r="B149" i="127"/>
  <c r="B517" i="126"/>
  <c r="B106" i="81"/>
  <c r="B15" i="80"/>
  <c r="B15" i="126"/>
  <c r="Q402" i="80"/>
  <c r="Q406" i="80" s="1"/>
  <c r="T399" i="80" s="1"/>
  <c r="S427" i="80"/>
  <c r="D39" i="91"/>
  <c r="H14" i="85"/>
  <c r="G93" i="85"/>
  <c r="H93" i="85" s="1"/>
  <c r="H19" i="85"/>
  <c r="G98" i="85"/>
  <c r="H98" i="85" s="1"/>
  <c r="H23" i="85"/>
  <c r="G102" i="85"/>
  <c r="H102" i="85" s="1"/>
  <c r="H41" i="85"/>
  <c r="G120" i="85"/>
  <c r="H120" i="85" s="1"/>
  <c r="H37" i="85"/>
  <c r="G116" i="85"/>
  <c r="H116" i="85" s="1"/>
  <c r="H33" i="85"/>
  <c r="G112" i="85"/>
  <c r="H112" i="85" s="1"/>
  <c r="H45" i="85"/>
  <c r="G124" i="85"/>
  <c r="H124" i="85" s="1"/>
  <c r="G141" i="85"/>
  <c r="H141" i="85" s="1"/>
  <c r="H56" i="85"/>
  <c r="G135" i="85"/>
  <c r="H135" i="85" s="1"/>
  <c r="H52" i="85"/>
  <c r="G131" i="85"/>
  <c r="H131" i="85" s="1"/>
  <c r="H77" i="85"/>
  <c r="G156" i="85"/>
  <c r="H156" i="85" s="1"/>
  <c r="H71" i="85"/>
  <c r="G150" i="85"/>
  <c r="H150" i="85" s="1"/>
  <c r="H15" i="85"/>
  <c r="G94" i="85"/>
  <c r="H94" i="85" s="1"/>
  <c r="H26" i="85"/>
  <c r="G105" i="85"/>
  <c r="H105" i="85" s="1"/>
  <c r="H22" i="85"/>
  <c r="G101" i="85"/>
  <c r="H101" i="85" s="1"/>
  <c r="H40" i="85"/>
  <c r="G119" i="85"/>
  <c r="H119" i="85" s="1"/>
  <c r="H36" i="85"/>
  <c r="G115" i="85"/>
  <c r="H115" i="85" s="1"/>
  <c r="H32" i="85"/>
  <c r="G111" i="85"/>
  <c r="H111" i="85" s="1"/>
  <c r="G144" i="85"/>
  <c r="H144" i="85" s="1"/>
  <c r="G140" i="85"/>
  <c r="H140" i="85" s="1"/>
  <c r="H48" i="85"/>
  <c r="G127" i="85"/>
  <c r="H127" i="85" s="1"/>
  <c r="H68" i="85"/>
  <c r="G147" i="85"/>
  <c r="H147" i="85" s="1"/>
  <c r="H76" i="85"/>
  <c r="G155" i="85"/>
  <c r="H155" i="85" s="1"/>
  <c r="H70" i="85"/>
  <c r="G149" i="85"/>
  <c r="H149" i="85" s="1"/>
  <c r="H16" i="85"/>
  <c r="G95" i="85"/>
  <c r="H95" i="85" s="1"/>
  <c r="H25" i="85"/>
  <c r="G104" i="85"/>
  <c r="H104" i="85" s="1"/>
  <c r="H20" i="85"/>
  <c r="G99" i="85"/>
  <c r="H99" i="85" s="1"/>
  <c r="H29" i="85"/>
  <c r="G108" i="85"/>
  <c r="H108" i="85" s="1"/>
  <c r="H39" i="85"/>
  <c r="G118" i="85"/>
  <c r="H118" i="85" s="1"/>
  <c r="H35" i="85"/>
  <c r="G114" i="85"/>
  <c r="H114" i="85" s="1"/>
  <c r="H31" i="85"/>
  <c r="G110" i="85"/>
  <c r="H110" i="85" s="1"/>
  <c r="G143" i="85"/>
  <c r="H143" i="85" s="1"/>
  <c r="G139" i="85"/>
  <c r="H139" i="85" s="1"/>
  <c r="H51" i="85"/>
  <c r="G130" i="85"/>
  <c r="H130" i="85" s="1"/>
  <c r="H79" i="85"/>
  <c r="G158" i="85"/>
  <c r="H158" i="85" s="1"/>
  <c r="H75" i="85"/>
  <c r="G154" i="85"/>
  <c r="H154" i="85" s="1"/>
  <c r="H69" i="85"/>
  <c r="G148" i="85"/>
  <c r="H148" i="85" s="1"/>
  <c r="H24" i="85"/>
  <c r="G103" i="85"/>
  <c r="H103" i="85" s="1"/>
  <c r="H42" i="85"/>
  <c r="G121" i="85"/>
  <c r="H121" i="85" s="1"/>
  <c r="H38" i="85"/>
  <c r="G117" i="85"/>
  <c r="H117" i="85" s="1"/>
  <c r="H34" i="85"/>
  <c r="G113" i="85"/>
  <c r="H113" i="85" s="1"/>
  <c r="H30" i="85"/>
  <c r="G109" i="85"/>
  <c r="H109" i="85" s="1"/>
  <c r="G142" i="85"/>
  <c r="H142" i="85" s="1"/>
  <c r="H57" i="85"/>
  <c r="G136" i="85"/>
  <c r="H136" i="85" s="1"/>
  <c r="H53" i="85"/>
  <c r="G132" i="85"/>
  <c r="H132" i="85" s="1"/>
  <c r="H78" i="85"/>
  <c r="G157" i="85"/>
  <c r="H157" i="85" s="1"/>
  <c r="H72" i="85"/>
  <c r="G151" i="85"/>
  <c r="H151" i="85" s="1"/>
  <c r="H402" i="62"/>
  <c r="G33" i="81"/>
  <c r="G35" i="81"/>
  <c r="G36" i="81"/>
  <c r="G38" i="81"/>
  <c r="G37" i="81"/>
  <c r="H306" i="62"/>
  <c r="G202" i="81"/>
  <c r="G308" i="81"/>
  <c r="G13" i="81"/>
  <c r="G15" i="81"/>
  <c r="G11" i="81"/>
  <c r="G63" i="81"/>
  <c r="G198" i="81" s="1"/>
  <c r="G77" i="81"/>
  <c r="G212" i="81" s="1"/>
  <c r="G318" i="81" s="1"/>
  <c r="G12" i="81"/>
  <c r="G40" i="81"/>
  <c r="G44" i="81" s="1"/>
  <c r="G46" i="81"/>
  <c r="G14" i="81"/>
  <c r="T223" i="80"/>
  <c r="E57" i="81" s="1"/>
  <c r="G782" i="123"/>
  <c r="G760" i="123"/>
  <c r="H760" i="123" s="1"/>
  <c r="H805" i="123"/>
  <c r="G827" i="123"/>
  <c r="H711" i="123"/>
  <c r="H712" i="123" s="1"/>
  <c r="H713" i="123" s="1"/>
  <c r="H739" i="123"/>
  <c r="H719" i="123"/>
  <c r="H722" i="123" s="1"/>
  <c r="H729" i="123" s="1"/>
  <c r="H730" i="123" s="1"/>
  <c r="H731" i="123" s="1"/>
  <c r="H732" i="123" s="1"/>
  <c r="G738" i="123"/>
  <c r="G140" i="81"/>
  <c r="G271" i="81" s="1"/>
  <c r="G378" i="81"/>
  <c r="G139" i="81"/>
  <c r="G270" i="81" s="1"/>
  <c r="G377" i="81"/>
  <c r="B18" i="61"/>
  <c r="B19" i="61" s="1"/>
  <c r="B20" i="61" s="1"/>
  <c r="B21" i="61" s="1"/>
  <c r="B22" i="61" s="1"/>
  <c r="B23" i="61" s="1"/>
  <c r="B24" i="61" s="1"/>
  <c r="B25" i="61" s="1"/>
  <c r="B26" i="61" s="1"/>
  <c r="B27" i="61" s="1"/>
  <c r="H307" i="62"/>
  <c r="H39" i="103"/>
  <c r="G86" i="81"/>
  <c r="G222" i="81" s="1"/>
  <c r="G328" i="81" s="1"/>
  <c r="G414" i="81" s="1"/>
  <c r="G147" i="81"/>
  <c r="G146" i="81"/>
  <c r="G144" i="81"/>
  <c r="G143" i="81"/>
  <c r="G145" i="81"/>
  <c r="G80" i="81"/>
  <c r="T333" i="80"/>
  <c r="W117" i="80"/>
  <c r="B254" i="81"/>
  <c r="B112" i="81"/>
  <c r="B194" i="81"/>
  <c r="L35" i="93"/>
  <c r="L44" i="93" s="1"/>
  <c r="L45" i="93" s="1"/>
  <c r="L53" i="93" s="1"/>
  <c r="C7" i="62"/>
  <c r="C6" i="103" s="1"/>
  <c r="S491" i="80"/>
  <c r="B25" i="81"/>
  <c r="B34" i="80"/>
  <c r="S54" i="80"/>
  <c r="S55" i="80"/>
  <c r="D55" i="80"/>
  <c r="F55" i="80"/>
  <c r="H33" i="103"/>
  <c r="H35" i="103"/>
  <c r="G124" i="81"/>
  <c r="G252" i="81" s="1"/>
  <c r="G359" i="81" s="1"/>
  <c r="G419" i="81" s="1"/>
  <c r="G254" i="81"/>
  <c r="G361" i="81" s="1"/>
  <c r="L32" i="94"/>
  <c r="L40" i="94" s="1"/>
  <c r="L41" i="94" s="1"/>
  <c r="L50" i="94" s="1"/>
  <c r="I79" i="95"/>
  <c r="H12" i="103"/>
  <c r="E112" i="81"/>
  <c r="H206" i="62"/>
  <c r="H213" i="62" s="1"/>
  <c r="H122" i="62"/>
  <c r="H128" i="62" s="1"/>
  <c r="H129" i="62" s="1"/>
  <c r="H130" i="62" s="1"/>
  <c r="H55" i="62"/>
  <c r="H81" i="62"/>
  <c r="H52" i="91"/>
  <c r="H54" i="91" s="1"/>
  <c r="H107" i="62"/>
  <c r="BF209" i="95"/>
  <c r="I198" i="95" s="1"/>
  <c r="I209" i="95" s="1"/>
  <c r="BF31" i="95"/>
  <c r="I29" i="95"/>
  <c r="I85" i="95"/>
  <c r="H154" i="62"/>
  <c r="H162" i="62" s="1"/>
  <c r="H163" i="62" s="1"/>
  <c r="H164" i="62" s="1"/>
  <c r="H248" i="62"/>
  <c r="H249" i="62"/>
  <c r="G42" i="81"/>
  <c r="G56" i="81"/>
  <c r="B503" i="80"/>
  <c r="B405" i="81"/>
  <c r="B406" i="81" s="1"/>
  <c r="I235" i="95"/>
  <c r="H38" i="103"/>
  <c r="H246" i="62"/>
  <c r="G25" i="81"/>
  <c r="H20" i="103"/>
  <c r="H269" i="62"/>
  <c r="H273" i="62"/>
  <c r="H39" i="62"/>
  <c r="H71" i="62"/>
  <c r="H17" i="62"/>
  <c r="H172" i="62"/>
  <c r="H179" i="62" s="1"/>
  <c r="H180" i="62" s="1"/>
  <c r="H181" i="62" s="1"/>
  <c r="G112" i="81"/>
  <c r="H308" i="62"/>
  <c r="G119" i="81"/>
  <c r="G127" i="81"/>
  <c r="G51" i="81"/>
  <c r="G354" i="81"/>
  <c r="G255" i="81"/>
  <c r="G362" i="81" s="1"/>
  <c r="H189" i="62"/>
  <c r="H196" i="62" s="1"/>
  <c r="H197" i="62" s="1"/>
  <c r="H198" i="62" s="1"/>
  <c r="G45" i="81"/>
  <c r="G41" i="81"/>
  <c r="G49" i="81" s="1"/>
  <c r="G50" i="81" s="1"/>
  <c r="G55" i="81" s="1"/>
  <c r="H292" i="62"/>
  <c r="H293" i="62" s="1"/>
  <c r="H22" i="62"/>
  <c r="I176" i="95"/>
  <c r="I58" i="95"/>
  <c r="H289" i="62"/>
  <c r="H97" i="62"/>
  <c r="G248" i="81"/>
  <c r="G125" i="81"/>
  <c r="G253" i="81" s="1"/>
  <c r="G360" i="81" s="1"/>
  <c r="G126" i="81"/>
  <c r="G57" i="81"/>
  <c r="G404" i="81" s="1"/>
  <c r="G28" i="81"/>
  <c r="G355" i="81"/>
  <c r="G84" i="81"/>
  <c r="G23" i="81"/>
  <c r="B439" i="80"/>
  <c r="B114" i="80"/>
  <c r="G27" i="81"/>
  <c r="G24" i="81"/>
  <c r="G85" i="81"/>
  <c r="G221" i="81" s="1"/>
  <c r="G327" i="81" s="1"/>
  <c r="H32" i="103"/>
  <c r="M96" i="80"/>
  <c r="M103" i="80" s="1"/>
  <c r="B552" i="80"/>
  <c r="B13" i="81"/>
  <c r="B14" i="81" s="1"/>
  <c r="B15" i="81" s="1"/>
  <c r="B16" i="81" s="1"/>
  <c r="B17" i="81" s="1"/>
  <c r="B18" i="81" s="1"/>
  <c r="B47" i="81"/>
  <c r="M206" i="80"/>
  <c r="M212" i="80" s="1"/>
  <c r="S13" i="80"/>
  <c r="T10" i="80" s="1"/>
  <c r="Q154" i="80"/>
  <c r="Q156" i="80" s="1"/>
  <c r="T152" i="80" s="1"/>
  <c r="S148" i="80"/>
  <c r="Q437" i="80"/>
  <c r="D40" i="91"/>
  <c r="G41" i="91"/>
  <c r="H41" i="91" s="1"/>
  <c r="S391" i="80"/>
  <c r="D38" i="80"/>
  <c r="D485" i="80"/>
  <c r="S51" i="80"/>
  <c r="S147" i="80"/>
  <c r="S182" i="80"/>
  <c r="M97" i="80"/>
  <c r="M104" i="80" s="1"/>
  <c r="S104" i="80" s="1"/>
  <c r="S126" i="80"/>
  <c r="S30" i="80"/>
  <c r="M132" i="80"/>
  <c r="Q132" i="80" s="1"/>
  <c r="Q134" i="80" s="1"/>
  <c r="T130" i="80" s="1"/>
  <c r="S522" i="80"/>
  <c r="T518" i="80" s="1"/>
  <c r="E106" i="81" s="1"/>
  <c r="S197" i="80"/>
  <c r="S52" i="80"/>
  <c r="Q590" i="80"/>
  <c r="T585" i="80" s="1"/>
  <c r="E115" i="81" s="1"/>
  <c r="E243" i="81" s="1"/>
  <c r="S528" i="80"/>
  <c r="S183" i="80"/>
  <c r="E327" i="80"/>
  <c r="Q327" i="80" s="1"/>
  <c r="S125" i="80"/>
  <c r="S411" i="80"/>
  <c r="D96" i="80"/>
  <c r="D103" i="80" s="1"/>
  <c r="D51" i="80"/>
  <c r="D37" i="80"/>
  <c r="BD194" i="95"/>
  <c r="BD195" i="95" s="1"/>
  <c r="BD196" i="95" s="1"/>
  <c r="BD197" i="95" s="1"/>
  <c r="BD198" i="95" s="1"/>
  <c r="BD199" i="95" s="1"/>
  <c r="BD200" i="95" s="1"/>
  <c r="BD201" i="95" s="1"/>
  <c r="I220" i="95"/>
  <c r="I226" i="95" s="1"/>
  <c r="B136" i="80"/>
  <c r="L52" i="93"/>
  <c r="H11" i="103"/>
  <c r="L62" i="92"/>
  <c r="H34" i="103"/>
  <c r="S392" i="80"/>
  <c r="S29" i="80"/>
  <c r="S92" i="80"/>
  <c r="T87" i="80" s="1"/>
  <c r="S20" i="80"/>
  <c r="T15" i="80" s="1"/>
  <c r="BF91" i="95"/>
  <c r="I80" i="95" s="1"/>
  <c r="B300" i="81"/>
  <c r="D484" i="80"/>
  <c r="D90" i="80"/>
  <c r="I43" i="95"/>
  <c r="BD24" i="95"/>
  <c r="BD25" i="95" s="1"/>
  <c r="BD26" i="95" s="1"/>
  <c r="BD27" i="95" s="1"/>
  <c r="BD28" i="95" s="1"/>
  <c r="BD29" i="95" s="1"/>
  <c r="BF150" i="95"/>
  <c r="I139" i="95" s="1"/>
  <c r="BD137" i="95"/>
  <c r="BD138" i="95" s="1"/>
  <c r="BD139" i="95" s="1"/>
  <c r="BD140" i="95" s="1"/>
  <c r="BD141" i="95" s="1"/>
  <c r="BD30" i="95"/>
  <c r="H40" i="91"/>
  <c r="BD76" i="95"/>
  <c r="BD77" i="95" s="1"/>
  <c r="BD78" i="95" s="1"/>
  <c r="BD79" i="95" s="1"/>
  <c r="BD80" i="95" s="1"/>
  <c r="BD81" i="95" s="1"/>
  <c r="BD82" i="95" s="1"/>
  <c r="I100" i="95"/>
  <c r="I98" i="95"/>
  <c r="S390" i="80"/>
  <c r="L48" i="94" l="1"/>
  <c r="H432" i="62"/>
  <c r="G468" i="62"/>
  <c r="H468" i="62" s="1"/>
  <c r="H433" i="62"/>
  <c r="H436" i="62" s="1"/>
  <c r="H442" i="62" s="1"/>
  <c r="H443" i="62" s="1"/>
  <c r="H444" i="62" s="1"/>
  <c r="D42" i="68" s="1"/>
  <c r="G469" i="62"/>
  <c r="H469" i="62" s="1"/>
  <c r="G452" i="62"/>
  <c r="G486" i="62" s="1"/>
  <c r="H486" i="62" s="1"/>
  <c r="H418" i="62"/>
  <c r="H453" i="62"/>
  <c r="G503" i="62"/>
  <c r="H454" i="62"/>
  <c r="G504" i="62"/>
  <c r="G451" i="62"/>
  <c r="G485" i="62" s="1"/>
  <c r="H485" i="62" s="1"/>
  <c r="H417" i="62"/>
  <c r="H350" i="62"/>
  <c r="G371" i="62"/>
  <c r="H371" i="62" s="1"/>
  <c r="H351" i="62"/>
  <c r="G372" i="62"/>
  <c r="H372" i="62" s="1"/>
  <c r="H352" i="62"/>
  <c r="G373" i="62"/>
  <c r="H373" i="62" s="1"/>
  <c r="H334" i="62"/>
  <c r="G356" i="62"/>
  <c r="H335" i="62"/>
  <c r="G357" i="62"/>
  <c r="H327" i="62"/>
  <c r="H331" i="62" s="1"/>
  <c r="G349" i="62"/>
  <c r="G243" i="81"/>
  <c r="L37" i="93"/>
  <c r="B17" i="64"/>
  <c r="B18" i="64" s="1"/>
  <c r="B19" i="64" s="1"/>
  <c r="B20" i="64" s="1"/>
  <c r="B21" i="64" s="1"/>
  <c r="B22" i="64" s="1"/>
  <c r="B23" i="64" s="1"/>
  <c r="H309" i="62"/>
  <c r="H319" i="62" s="1"/>
  <c r="I206" i="95"/>
  <c r="I212" i="95" s="1"/>
  <c r="I228" i="95" s="1"/>
  <c r="I32" i="95"/>
  <c r="I35" i="95" s="1"/>
  <c r="H59" i="62"/>
  <c r="H60" i="62" s="1"/>
  <c r="I49" i="95"/>
  <c r="L63" i="92"/>
  <c r="H395" i="62"/>
  <c r="L54" i="93"/>
  <c r="L49" i="94"/>
  <c r="H81" i="85"/>
  <c r="E8" i="85" s="1"/>
  <c r="H114" i="81"/>
  <c r="G405" i="81"/>
  <c r="G299" i="81"/>
  <c r="H137" i="81"/>
  <c r="H268" i="81" s="1"/>
  <c r="B61" i="127"/>
  <c r="B22" i="127"/>
  <c r="B532" i="127"/>
  <c r="G349" i="81"/>
  <c r="B171" i="126"/>
  <c r="B171" i="127"/>
  <c r="B467" i="126"/>
  <c r="B467" i="127"/>
  <c r="B580" i="126"/>
  <c r="B580" i="127"/>
  <c r="I106" i="81"/>
  <c r="E235" i="81"/>
  <c r="B26" i="81"/>
  <c r="B61" i="126"/>
  <c r="B22" i="80"/>
  <c r="B22" i="126"/>
  <c r="K478" i="80"/>
  <c r="Q478" i="80" s="1"/>
  <c r="Q631" i="80" s="1"/>
  <c r="S397" i="80"/>
  <c r="K383" i="80" s="1"/>
  <c r="S383" i="80" s="1"/>
  <c r="S385" i="80" s="1"/>
  <c r="T376" i="80" s="1"/>
  <c r="M213" i="80"/>
  <c r="S213" i="80" s="1"/>
  <c r="M219" i="80"/>
  <c r="Q219" i="80" s="1"/>
  <c r="Q221" i="80" s="1"/>
  <c r="Q476" i="80" s="1"/>
  <c r="B158" i="80"/>
  <c r="B52" i="81"/>
  <c r="S39" i="80"/>
  <c r="S41" i="80" s="1"/>
  <c r="H160" i="85"/>
  <c r="H331" i="81"/>
  <c r="I331" i="81" s="1"/>
  <c r="H92" i="81"/>
  <c r="I92" i="81" s="1"/>
  <c r="G48" i="81"/>
  <c r="H399" i="62"/>
  <c r="H214" i="62"/>
  <c r="H215" i="62" s="1"/>
  <c r="H216" i="62" s="1"/>
  <c r="D24" i="68" s="1"/>
  <c r="H199" i="62"/>
  <c r="D23" i="68" s="1"/>
  <c r="H182" i="62"/>
  <c r="D22" i="68" s="1"/>
  <c r="H165" i="62"/>
  <c r="D21" i="68" s="1"/>
  <c r="J18" i="129" s="1"/>
  <c r="J19" i="129" s="1"/>
  <c r="H131" i="62"/>
  <c r="D19" i="68" s="1"/>
  <c r="E35" i="81"/>
  <c r="E42" i="81"/>
  <c r="E46" i="81"/>
  <c r="E12" i="81"/>
  <c r="E11" i="81"/>
  <c r="E77" i="81"/>
  <c r="E70" i="81"/>
  <c r="T70" i="81" s="1"/>
  <c r="G804" i="123"/>
  <c r="H782" i="123"/>
  <c r="G759" i="123"/>
  <c r="H759" i="123" s="1"/>
  <c r="H762" i="123" s="1"/>
  <c r="H770" i="123" s="1"/>
  <c r="G781" i="123"/>
  <c r="H827" i="123"/>
  <c r="G849" i="123"/>
  <c r="H738" i="123"/>
  <c r="H741" i="123" s="1"/>
  <c r="H748" i="123" s="1"/>
  <c r="H749" i="123" s="1"/>
  <c r="H750" i="123" s="1"/>
  <c r="H751" i="123" s="1"/>
  <c r="D4" i="61"/>
  <c r="D6" i="122" s="1"/>
  <c r="C5" i="121"/>
  <c r="C5" i="123" s="1"/>
  <c r="D2" i="61"/>
  <c r="D4" i="122" s="1"/>
  <c r="C3" i="121"/>
  <c r="C3" i="123" s="1"/>
  <c r="D3" i="61"/>
  <c r="D5" i="122" s="1"/>
  <c r="C4" i="121"/>
  <c r="C4" i="123" s="1"/>
  <c r="H41" i="103"/>
  <c r="G413" i="81"/>
  <c r="B199" i="81"/>
  <c r="B204" i="81" s="1"/>
  <c r="B255" i="81"/>
  <c r="G241" i="81"/>
  <c r="G348" i="81" s="1"/>
  <c r="B48" i="80"/>
  <c r="G220" i="81"/>
  <c r="B113" i="81"/>
  <c r="B566" i="80"/>
  <c r="B453" i="80"/>
  <c r="S492" i="80"/>
  <c r="S494" i="80" s="1"/>
  <c r="T489" i="80" s="1"/>
  <c r="E88" i="81" s="1"/>
  <c r="Q642" i="80"/>
  <c r="T635" i="80" s="1"/>
  <c r="Q562" i="80"/>
  <c r="Q564" i="80" s="1"/>
  <c r="G191" i="81"/>
  <c r="Q270" i="80"/>
  <c r="Q272" i="80" s="1"/>
  <c r="S103" i="80"/>
  <c r="S106" i="80" s="1"/>
  <c r="T101" i="80" s="1"/>
  <c r="D54" i="80"/>
  <c r="T524" i="80"/>
  <c r="E107" i="81" s="1"/>
  <c r="BD148" i="95"/>
  <c r="BF138" i="95" s="1"/>
  <c r="H15" i="103"/>
  <c r="H24" i="103" s="1"/>
  <c r="H25" i="103" s="1"/>
  <c r="H26" i="103" s="1"/>
  <c r="S206" i="80"/>
  <c r="S208" i="80" s="1"/>
  <c r="T204" i="80" s="1"/>
  <c r="H277" i="62"/>
  <c r="H278" i="62" s="1"/>
  <c r="H279" i="62" s="1"/>
  <c r="H111" i="62"/>
  <c r="H112" i="62" s="1"/>
  <c r="H113" i="62" s="1"/>
  <c r="G54" i="81"/>
  <c r="G298" i="81"/>
  <c r="H26" i="62"/>
  <c r="H27" i="62" s="1"/>
  <c r="H85" i="62"/>
  <c r="H86" i="62" s="1"/>
  <c r="H87" i="62" s="1"/>
  <c r="H88" i="62" s="1"/>
  <c r="D13" i="68" s="1"/>
  <c r="H297" i="62"/>
  <c r="H298" i="62" s="1"/>
  <c r="H299" i="62" s="1"/>
  <c r="G192" i="81"/>
  <c r="G68" i="81"/>
  <c r="G73" i="81" s="1"/>
  <c r="G203" i="81"/>
  <c r="G208" i="81" s="1"/>
  <c r="G304" i="81"/>
  <c r="G309" i="81" s="1"/>
  <c r="G314" i="81" s="1"/>
  <c r="G326" i="81"/>
  <c r="H36" i="103"/>
  <c r="S82" i="80"/>
  <c r="S212" i="80"/>
  <c r="S96" i="80"/>
  <c r="S83" i="80"/>
  <c r="S97" i="80"/>
  <c r="T419" i="80"/>
  <c r="S150" i="80"/>
  <c r="K141" i="80" s="1"/>
  <c r="S141" i="80" s="1"/>
  <c r="S143" i="80" s="1"/>
  <c r="T137" i="80" s="1"/>
  <c r="S185" i="80"/>
  <c r="T180" i="80" s="1"/>
  <c r="V29" i="80"/>
  <c r="K285" i="80"/>
  <c r="S285" i="80" s="1"/>
  <c r="S322" i="80"/>
  <c r="K286" i="80" s="1"/>
  <c r="S286" i="80" s="1"/>
  <c r="BD207" i="95"/>
  <c r="BF202" i="95" s="1"/>
  <c r="I91" i="95"/>
  <c r="I102" i="95"/>
  <c r="I108" i="95" s="1"/>
  <c r="I88" i="95"/>
  <c r="B305" i="81"/>
  <c r="D97" i="80"/>
  <c r="D104" i="80" s="1"/>
  <c r="D83" i="80"/>
  <c r="G62" i="81"/>
  <c r="G190" i="81"/>
  <c r="BE30" i="95"/>
  <c r="H43" i="91"/>
  <c r="BF16" i="95"/>
  <c r="BF17" i="95"/>
  <c r="BF21" i="95"/>
  <c r="BF26" i="95"/>
  <c r="BF25" i="95"/>
  <c r="BF24" i="95"/>
  <c r="BF19" i="95"/>
  <c r="BF23" i="95"/>
  <c r="BF18" i="95"/>
  <c r="BF20" i="95"/>
  <c r="BF29" i="95"/>
  <c r="BF27" i="95"/>
  <c r="BF28" i="95"/>
  <c r="BF22" i="95"/>
  <c r="I147" i="95"/>
  <c r="I150" i="95"/>
  <c r="I161" i="95"/>
  <c r="I167" i="95" s="1"/>
  <c r="BD202" i="95"/>
  <c r="BD83" i="95"/>
  <c r="BD84" i="95" s="1"/>
  <c r="BD85" i="95" s="1"/>
  <c r="BD86" i="95" s="1"/>
  <c r="BD87" i="95" s="1"/>
  <c r="BD88" i="95" s="1"/>
  <c r="BD89" i="95"/>
  <c r="L98" i="95"/>
  <c r="O98" i="95" s="1"/>
  <c r="BD142" i="95"/>
  <c r="I25" i="129" l="1"/>
  <c r="J25" i="129" s="1"/>
  <c r="H489" i="62"/>
  <c r="H494" i="62" s="1"/>
  <c r="H495" i="62" s="1"/>
  <c r="H496" i="62" s="1"/>
  <c r="D51" i="68" s="1"/>
  <c r="H472" i="62"/>
  <c r="H477" i="62" s="1"/>
  <c r="H478" i="62" s="1"/>
  <c r="H479" i="62" s="1"/>
  <c r="D48" i="68" s="1"/>
  <c r="H504" i="62"/>
  <c r="G521" i="62"/>
  <c r="G537" i="62" s="1"/>
  <c r="H537" i="62" s="1"/>
  <c r="H503" i="62"/>
  <c r="G520" i="62"/>
  <c r="G536" i="62" s="1"/>
  <c r="H536" i="62" s="1"/>
  <c r="H421" i="62"/>
  <c r="H425" i="62" s="1"/>
  <c r="H426" i="62" s="1"/>
  <c r="H427" i="62" s="1"/>
  <c r="D41" i="68" s="1"/>
  <c r="H451" i="62"/>
  <c r="G501" i="62"/>
  <c r="H452" i="62"/>
  <c r="G502" i="62"/>
  <c r="H356" i="62"/>
  <c r="G377" i="62"/>
  <c r="H377" i="62" s="1"/>
  <c r="H349" i="62"/>
  <c r="H353" i="62" s="1"/>
  <c r="G370" i="62"/>
  <c r="H370" i="62" s="1"/>
  <c r="H374" i="62" s="1"/>
  <c r="H357" i="62"/>
  <c r="G378" i="62"/>
  <c r="H378" i="62" s="1"/>
  <c r="H336" i="62"/>
  <c r="H337" i="62" s="1"/>
  <c r="H341" i="62" s="1"/>
  <c r="H342" i="62" s="1"/>
  <c r="H343" i="62" s="1"/>
  <c r="H344" i="62" s="1"/>
  <c r="D34" i="68" s="1"/>
  <c r="D66" i="68"/>
  <c r="I14" i="129" s="1"/>
  <c r="J14" i="129" s="1"/>
  <c r="H18" i="81"/>
  <c r="I18" i="81" s="1"/>
  <c r="BF142" i="95"/>
  <c r="BF140" i="95"/>
  <c r="BF139" i="95"/>
  <c r="BF136" i="95"/>
  <c r="BF141" i="95"/>
  <c r="BF137" i="95"/>
  <c r="BF135" i="95"/>
  <c r="BF134" i="95"/>
  <c r="I51" i="95"/>
  <c r="I137" i="81"/>
  <c r="H135" i="81"/>
  <c r="H266" i="81" s="1"/>
  <c r="H373" i="81" s="1"/>
  <c r="H139" i="81"/>
  <c r="H270" i="81" s="1"/>
  <c r="I270" i="81" s="1"/>
  <c r="B587" i="127"/>
  <c r="B481" i="127"/>
  <c r="I235" i="81"/>
  <c r="E342" i="81"/>
  <c r="I342" i="81" s="1"/>
  <c r="I107" i="81"/>
  <c r="I109" i="81" s="1"/>
  <c r="E236" i="81"/>
  <c r="B57" i="81"/>
  <c r="B467" i="80"/>
  <c r="B481" i="126"/>
  <c r="B114" i="81"/>
  <c r="B587" i="126"/>
  <c r="Q480" i="80"/>
  <c r="T473" i="80" s="1"/>
  <c r="E86" i="81" s="1"/>
  <c r="S287" i="80"/>
  <c r="S289" i="80" s="1"/>
  <c r="T275" i="80" s="1"/>
  <c r="S215" i="80"/>
  <c r="K200" i="80" s="1"/>
  <c r="S200" i="80" s="1"/>
  <c r="E87" i="85"/>
  <c r="H377" i="81"/>
  <c r="I377" i="81" s="1"/>
  <c r="H88" i="81"/>
  <c r="H27" i="103"/>
  <c r="D71" i="68" s="1"/>
  <c r="I36" i="129" s="1"/>
  <c r="J36" i="129" s="1"/>
  <c r="H28" i="81"/>
  <c r="I114" i="81"/>
  <c r="G53" i="81"/>
  <c r="G188" i="81" s="1"/>
  <c r="H24" i="81"/>
  <c r="H25" i="81"/>
  <c r="H398" i="62"/>
  <c r="D4" i="64"/>
  <c r="C4" i="91" s="1"/>
  <c r="H300" i="62"/>
  <c r="D32" i="68" s="1"/>
  <c r="H27" i="81"/>
  <c r="H375" i="81"/>
  <c r="I268" i="81"/>
  <c r="H38" i="81"/>
  <c r="I38" i="81" s="1"/>
  <c r="H280" i="62"/>
  <c r="D31" i="68" s="1"/>
  <c r="H23" i="81"/>
  <c r="H151" i="81"/>
  <c r="I151" i="81" s="1"/>
  <c r="H114" i="62"/>
  <c r="D14" i="68" s="1"/>
  <c r="D10" i="68"/>
  <c r="H14" i="81"/>
  <c r="I14" i="81" s="1"/>
  <c r="E80" i="81"/>
  <c r="E54" i="81"/>
  <c r="E37" i="81"/>
  <c r="E75" i="81"/>
  <c r="E50" i="81"/>
  <c r="D6" i="64"/>
  <c r="C6" i="91" s="1"/>
  <c r="H771" i="123"/>
  <c r="H772" i="123" s="1"/>
  <c r="H773" i="123" s="1"/>
  <c r="G871" i="123"/>
  <c r="G937" i="123"/>
  <c r="G893" i="123"/>
  <c r="H893" i="123" s="1"/>
  <c r="H849" i="123"/>
  <c r="G803" i="123"/>
  <c r="H781" i="123"/>
  <c r="H784" i="123" s="1"/>
  <c r="H792" i="123" s="1"/>
  <c r="H804" i="123"/>
  <c r="G826" i="123"/>
  <c r="D5" i="64"/>
  <c r="C5" i="91" s="1"/>
  <c r="H45" i="103"/>
  <c r="H46" i="103" s="1"/>
  <c r="H47" i="103" s="1"/>
  <c r="B209" i="81"/>
  <c r="G296" i="81"/>
  <c r="G297" i="81"/>
  <c r="B310" i="81"/>
  <c r="B573" i="80"/>
  <c r="B86" i="81"/>
  <c r="E127" i="81"/>
  <c r="T217" i="80"/>
  <c r="Q326" i="80"/>
  <c r="Q330" i="80" s="1"/>
  <c r="S85" i="80"/>
  <c r="T80" i="80" s="1"/>
  <c r="G61" i="81"/>
  <c r="G66" i="81" s="1"/>
  <c r="G71" i="81" s="1"/>
  <c r="K247" i="80"/>
  <c r="S247" i="80" s="1"/>
  <c r="K248" i="80"/>
  <c r="S248" i="80" s="1"/>
  <c r="K199" i="80"/>
  <c r="S199" i="80" s="1"/>
  <c r="S534" i="80"/>
  <c r="S537" i="80" s="1"/>
  <c r="S541" i="80"/>
  <c r="S544" i="80" s="1"/>
  <c r="S99" i="80"/>
  <c r="T94" i="80" s="1"/>
  <c r="BE89" i="95"/>
  <c r="I94" i="95"/>
  <c r="I110" i="95" s="1"/>
  <c r="G90" i="61" s="1"/>
  <c r="G189" i="81"/>
  <c r="H28" i="62"/>
  <c r="H29" i="62" s="1"/>
  <c r="H61" i="62"/>
  <c r="H62" i="62" s="1"/>
  <c r="H127" i="81"/>
  <c r="H255" i="81"/>
  <c r="K415" i="80"/>
  <c r="S415" i="80" s="1"/>
  <c r="T187" i="80"/>
  <c r="T316" i="80"/>
  <c r="K165" i="80"/>
  <c r="S165" i="80" s="1"/>
  <c r="T291" i="80"/>
  <c r="T145" i="80"/>
  <c r="E44" i="81"/>
  <c r="T387" i="80"/>
  <c r="S128" i="80"/>
  <c r="K119" i="80" s="1"/>
  <c r="S119" i="80" s="1"/>
  <c r="S121" i="80" s="1"/>
  <c r="T115" i="80" s="1"/>
  <c r="H247" i="62"/>
  <c r="H250" i="62" s="1"/>
  <c r="H254" i="62" s="1"/>
  <c r="H255" i="62" s="1"/>
  <c r="H256" i="62" s="1"/>
  <c r="H257" i="62" s="1"/>
  <c r="BF198" i="95"/>
  <c r="BF200" i="95"/>
  <c r="BF201" i="95"/>
  <c r="BF194" i="95"/>
  <c r="BF193" i="95"/>
  <c r="BF196" i="95"/>
  <c r="BF195" i="95"/>
  <c r="BF197" i="95"/>
  <c r="BF199" i="95"/>
  <c r="G197" i="81"/>
  <c r="G67" i="81"/>
  <c r="G72" i="81" s="1"/>
  <c r="G303" i="81"/>
  <c r="BF80" i="95"/>
  <c r="BF81" i="95"/>
  <c r="BF75" i="95"/>
  <c r="BF79" i="95"/>
  <c r="BF83" i="95"/>
  <c r="BF84" i="95"/>
  <c r="BF82" i="95"/>
  <c r="BF76" i="95"/>
  <c r="BF86" i="95"/>
  <c r="BF77" i="95"/>
  <c r="BF78" i="95"/>
  <c r="BF85" i="95"/>
  <c r="BF88" i="95"/>
  <c r="BF87" i="95"/>
  <c r="BD203" i="95"/>
  <c r="BF204" i="95" s="1"/>
  <c r="BF203" i="95"/>
  <c r="K49" i="91"/>
  <c r="K50" i="91" s="1"/>
  <c r="G46" i="91" s="1"/>
  <c r="H46" i="91" s="1"/>
  <c r="I153" i="95"/>
  <c r="I169" i="95" s="1"/>
  <c r="BD143" i="95"/>
  <c r="BD144" i="95" s="1"/>
  <c r="BD145" i="95" s="1"/>
  <c r="BD146" i="95" s="1"/>
  <c r="BD147" i="95" s="1"/>
  <c r="BF143" i="95"/>
  <c r="O169" i="95" l="1"/>
  <c r="G92" i="61"/>
  <c r="H501" i="62"/>
  <c r="G518" i="62"/>
  <c r="G534" i="62" s="1"/>
  <c r="H534" i="62" s="1"/>
  <c r="G555" i="62"/>
  <c r="G571" i="62" s="1"/>
  <c r="H520" i="62"/>
  <c r="H361" i="62"/>
  <c r="H362" i="62" s="1"/>
  <c r="H363" i="62" s="1"/>
  <c r="H364" i="62" s="1"/>
  <c r="H365" i="62" s="1"/>
  <c r="D35" i="68" s="1"/>
  <c r="G556" i="62"/>
  <c r="H521" i="62"/>
  <c r="H502" i="62"/>
  <c r="G519" i="62"/>
  <c r="G535" i="62" s="1"/>
  <c r="H535" i="62" s="1"/>
  <c r="H455" i="62"/>
  <c r="H460" i="62" s="1"/>
  <c r="H382" i="62"/>
  <c r="H383" i="62" s="1"/>
  <c r="H384" i="62" s="1"/>
  <c r="D30" i="68"/>
  <c r="E14" i="91"/>
  <c r="I135" i="81"/>
  <c r="I139" i="81"/>
  <c r="I266" i="81"/>
  <c r="H136" i="81"/>
  <c r="I136" i="81" s="1"/>
  <c r="H58" i="81"/>
  <c r="H193" i="81" s="1"/>
  <c r="I193" i="81" s="1"/>
  <c r="H113" i="81"/>
  <c r="H241" i="81" s="1"/>
  <c r="H348" i="81" s="1"/>
  <c r="H57" i="81"/>
  <c r="I57" i="81" s="1"/>
  <c r="H119" i="81"/>
  <c r="H120" i="81"/>
  <c r="H86" i="81"/>
  <c r="H222" i="81" s="1"/>
  <c r="H328" i="81" s="1"/>
  <c r="H414" i="81" s="1"/>
  <c r="I414" i="81" s="1"/>
  <c r="H124" i="81"/>
  <c r="H252" i="81" s="1"/>
  <c r="H359" i="81" s="1"/>
  <c r="H419" i="81" s="1"/>
  <c r="I419" i="81" s="1"/>
  <c r="I421" i="81" s="1"/>
  <c r="H144" i="81"/>
  <c r="I144" i="81" s="1"/>
  <c r="H126" i="81"/>
  <c r="H254" i="81"/>
  <c r="H361" i="81" s="1"/>
  <c r="I361" i="81" s="1"/>
  <c r="E15" i="82"/>
  <c r="I236" i="81"/>
  <c r="I238" i="81" s="1"/>
  <c r="E343" i="81"/>
  <c r="I343" i="81" s="1"/>
  <c r="I345" i="81" s="1"/>
  <c r="B237" i="126"/>
  <c r="B237" i="127"/>
  <c r="B487" i="126"/>
  <c r="B487" i="127"/>
  <c r="B593" i="126"/>
  <c r="B593" i="127"/>
  <c r="B213" i="81"/>
  <c r="B115" i="81"/>
  <c r="B579" i="80"/>
  <c r="S417" i="80"/>
  <c r="T409" i="80" s="1"/>
  <c r="S249" i="80"/>
  <c r="S251" i="80" s="1"/>
  <c r="T243" i="80" s="1"/>
  <c r="T210" i="80"/>
  <c r="S202" i="80"/>
  <c r="T195" i="80" s="1"/>
  <c r="H125" i="81"/>
  <c r="H253" i="81" s="1"/>
  <c r="H360" i="81" s="1"/>
  <c r="H48" i="103"/>
  <c r="D72" i="68" s="1"/>
  <c r="H247" i="81"/>
  <c r="I247" i="81" s="1"/>
  <c r="H354" i="81"/>
  <c r="I354" i="81" s="1"/>
  <c r="H248" i="81"/>
  <c r="I248" i="81" s="1"/>
  <c r="H41" i="81"/>
  <c r="H49" i="81" s="1"/>
  <c r="H54" i="81" s="1"/>
  <c r="G60" i="81"/>
  <c r="G301" i="81" s="1"/>
  <c r="G306" i="81" s="1"/>
  <c r="G311" i="81" s="1"/>
  <c r="H355" i="81"/>
  <c r="I355" i="81" s="1"/>
  <c r="H45" i="81"/>
  <c r="H85" i="81"/>
  <c r="H221" i="81" s="1"/>
  <c r="H327" i="81" s="1"/>
  <c r="H401" i="62"/>
  <c r="H403" i="62" s="1"/>
  <c r="H404" i="62" s="1"/>
  <c r="H408" i="62" s="1"/>
  <c r="I375" i="81"/>
  <c r="H37" i="81"/>
  <c r="I37" i="81" s="1"/>
  <c r="I373" i="81"/>
  <c r="H15" i="81"/>
  <c r="I15" i="81" s="1"/>
  <c r="H12" i="81"/>
  <c r="I12" i="81" s="1"/>
  <c r="D12" i="68"/>
  <c r="D11" i="68"/>
  <c r="E66" i="81"/>
  <c r="E34" i="81"/>
  <c r="I34" i="81" s="1"/>
  <c r="E56" i="81"/>
  <c r="E76" i="81"/>
  <c r="E65" i="81"/>
  <c r="E67" i="81"/>
  <c r="E36" i="81"/>
  <c r="E45" i="81"/>
  <c r="T44" i="81" s="1"/>
  <c r="E51" i="81"/>
  <c r="H320" i="62"/>
  <c r="H793" i="123"/>
  <c r="H794" i="123" s="1"/>
  <c r="H795" i="123" s="1"/>
  <c r="H803" i="123"/>
  <c r="H806" i="123" s="1"/>
  <c r="H814" i="123" s="1"/>
  <c r="G825" i="123"/>
  <c r="G915" i="123"/>
  <c r="H915" i="123" s="1"/>
  <c r="H871" i="123"/>
  <c r="H937" i="123"/>
  <c r="G959" i="123"/>
  <c r="H959" i="123" s="1"/>
  <c r="H826" i="123"/>
  <c r="G848" i="123"/>
  <c r="H140" i="81"/>
  <c r="H378" i="81"/>
  <c r="I378" i="81" s="1"/>
  <c r="G295" i="81"/>
  <c r="G294" i="81"/>
  <c r="B315" i="81"/>
  <c r="B319" i="81" s="1"/>
  <c r="I88" i="81"/>
  <c r="H224" i="81"/>
  <c r="T324" i="80"/>
  <c r="B473" i="80"/>
  <c r="B87" i="81"/>
  <c r="I127" i="81"/>
  <c r="G76" i="81"/>
  <c r="G196" i="81"/>
  <c r="G201" i="81" s="1"/>
  <c r="G302" i="81"/>
  <c r="G307" i="81" s="1"/>
  <c r="G312" i="81" s="1"/>
  <c r="G313" i="81" s="1"/>
  <c r="T261" i="80"/>
  <c r="T253" i="80"/>
  <c r="T169" i="80"/>
  <c r="BF147" i="95"/>
  <c r="S548" i="80"/>
  <c r="S550" i="80" s="1"/>
  <c r="H362" i="81"/>
  <c r="I255" i="81"/>
  <c r="B194" i="80"/>
  <c r="S32" i="80"/>
  <c r="K42" i="80" s="1"/>
  <c r="S57" i="80"/>
  <c r="T48" i="80" s="1"/>
  <c r="K469" i="80"/>
  <c r="Q469" i="80" s="1"/>
  <c r="T439" i="80"/>
  <c r="T123" i="80"/>
  <c r="T268" i="80"/>
  <c r="BF146" i="95"/>
  <c r="BF144" i="95"/>
  <c r="E40" i="81"/>
  <c r="BF145" i="95"/>
  <c r="H49" i="91"/>
  <c r="H55" i="91" s="1"/>
  <c r="BD204" i="95"/>
  <c r="BE148" i="95"/>
  <c r="H538" i="62" l="1"/>
  <c r="H543" i="62" s="1"/>
  <c r="H544" i="62" s="1"/>
  <c r="H545" i="62" s="1"/>
  <c r="I545" i="62" s="1"/>
  <c r="H505" i="62"/>
  <c r="H510" i="62" s="1"/>
  <c r="D54" i="68"/>
  <c r="I24" i="129" s="1"/>
  <c r="J24" i="129" s="1"/>
  <c r="H556" i="62"/>
  <c r="G572" i="62"/>
  <c r="H555" i="62"/>
  <c r="H572" i="62"/>
  <c r="G553" i="62"/>
  <c r="G569" i="62" s="1"/>
  <c r="H569" i="62" s="1"/>
  <c r="H518" i="62"/>
  <c r="G554" i="62"/>
  <c r="G570" i="62" s="1"/>
  <c r="H519" i="62"/>
  <c r="I27" i="129"/>
  <c r="J27" i="129" s="1"/>
  <c r="I32" i="129"/>
  <c r="J32" i="129" s="1"/>
  <c r="H511" i="62"/>
  <c r="H512" i="62" s="1"/>
  <c r="H461" i="62"/>
  <c r="H462" i="62" s="1"/>
  <c r="D45" i="68" s="1"/>
  <c r="H385" i="62"/>
  <c r="H386" i="62" s="1"/>
  <c r="D36" i="68" s="1"/>
  <c r="J11" i="129"/>
  <c r="E10" i="130"/>
  <c r="G22" i="91"/>
  <c r="H22" i="91" s="1"/>
  <c r="H24" i="91" s="1"/>
  <c r="H25" i="91" s="1"/>
  <c r="H26" i="91" s="1"/>
  <c r="H404" i="81"/>
  <c r="I404" i="81" s="1"/>
  <c r="H267" i="81"/>
  <c r="H374" i="81" s="1"/>
  <c r="I86" i="81"/>
  <c r="H202" i="81"/>
  <c r="H80" i="81"/>
  <c r="H146" i="81"/>
  <c r="I146" i="81" s="1"/>
  <c r="H321" i="62"/>
  <c r="H322" i="62" s="1"/>
  <c r="D33" i="68" s="1"/>
  <c r="H308" i="81"/>
  <c r="I357" i="81"/>
  <c r="E37" i="82" s="1"/>
  <c r="I328" i="81"/>
  <c r="I241" i="81"/>
  <c r="I222" i="81"/>
  <c r="H145" i="81"/>
  <c r="I145" i="81" s="1"/>
  <c r="H143" i="81"/>
  <c r="I143" i="81" s="1"/>
  <c r="H111" i="81"/>
  <c r="H240" i="81" s="1"/>
  <c r="I240" i="81" s="1"/>
  <c r="H298" i="81"/>
  <c r="I298" i="81" s="1"/>
  <c r="H405" i="81"/>
  <c r="I405" i="81" s="1"/>
  <c r="H13" i="81"/>
  <c r="I13" i="81" s="1"/>
  <c r="I252" i="81"/>
  <c r="I254" i="81"/>
  <c r="H192" i="81"/>
  <c r="I192" i="81" s="1"/>
  <c r="H299" i="81"/>
  <c r="I299" i="81" s="1"/>
  <c r="I250" i="81"/>
  <c r="E27" i="82" s="1"/>
  <c r="B599" i="126"/>
  <c r="B599" i="127"/>
  <c r="B496" i="126"/>
  <c r="B496" i="127"/>
  <c r="B585" i="80"/>
  <c r="E55" i="81"/>
  <c r="E79" i="81"/>
  <c r="T79" i="81" s="1"/>
  <c r="E53" i="81"/>
  <c r="O53" i="81" s="1"/>
  <c r="T65" i="81"/>
  <c r="I253" i="81"/>
  <c r="H50" i="81"/>
  <c r="H55" i="81" s="1"/>
  <c r="G195" i="81"/>
  <c r="G75" i="81"/>
  <c r="G65" i="81"/>
  <c r="G70" i="81" s="1"/>
  <c r="H84" i="81"/>
  <c r="H326" i="81"/>
  <c r="I326" i="81" s="1"/>
  <c r="I221" i="81"/>
  <c r="I45" i="81"/>
  <c r="H112" i="81"/>
  <c r="H11" i="81"/>
  <c r="I11" i="81" s="1"/>
  <c r="E49" i="81"/>
  <c r="E61" i="81"/>
  <c r="E60" i="81"/>
  <c r="E63" i="81"/>
  <c r="E62" i="81"/>
  <c r="E68" i="81"/>
  <c r="E41" i="81"/>
  <c r="T40" i="81" s="1"/>
  <c r="E25" i="81"/>
  <c r="I25" i="81" s="1"/>
  <c r="H36" i="81"/>
  <c r="I36" i="81" s="1"/>
  <c r="H51" i="81"/>
  <c r="I140" i="81"/>
  <c r="H271" i="81"/>
  <c r="I271" i="81" s="1"/>
  <c r="G847" i="123"/>
  <c r="H825" i="123"/>
  <c r="H828" i="123" s="1"/>
  <c r="H836" i="123" s="1"/>
  <c r="H815" i="123"/>
  <c r="H816" i="123" s="1"/>
  <c r="H817" i="123" s="1"/>
  <c r="H848" i="123"/>
  <c r="G870" i="123"/>
  <c r="G936" i="123"/>
  <c r="G892" i="123"/>
  <c r="H892" i="123" s="1"/>
  <c r="I362" i="81"/>
  <c r="E45" i="82"/>
  <c r="I348" i="81"/>
  <c r="I327" i="81"/>
  <c r="H413" i="81"/>
  <c r="I413" i="81" s="1"/>
  <c r="I417" i="81" s="1"/>
  <c r="E44" i="82" s="1"/>
  <c r="G211" i="81"/>
  <c r="G206" i="81"/>
  <c r="G207" i="81" s="1"/>
  <c r="I224" i="81"/>
  <c r="H330" i="81"/>
  <c r="B236" i="81"/>
  <c r="B482" i="80"/>
  <c r="B88" i="81"/>
  <c r="B532" i="126"/>
  <c r="G321" i="81"/>
  <c r="G408" i="81" s="1"/>
  <c r="Q605" i="80"/>
  <c r="Q607" i="80" s="1"/>
  <c r="T603" i="80" s="1"/>
  <c r="E120" i="81" s="1"/>
  <c r="I120" i="81" s="1"/>
  <c r="T593" i="80"/>
  <c r="E119" i="81" s="1"/>
  <c r="I119" i="81" s="1"/>
  <c r="Q471" i="80"/>
  <c r="K164" i="80"/>
  <c r="S164" i="80" s="1"/>
  <c r="S42" i="80"/>
  <c r="T26" i="80"/>
  <c r="I360" i="81"/>
  <c r="B58" i="81"/>
  <c r="B223" i="80"/>
  <c r="E84" i="81"/>
  <c r="T610" i="80"/>
  <c r="E124" i="81" s="1"/>
  <c r="I124" i="81" s="1"/>
  <c r="K44" i="91"/>
  <c r="H56" i="91"/>
  <c r="H57" i="91" s="1"/>
  <c r="E33" i="91" s="1"/>
  <c r="I359" i="81"/>
  <c r="BD205" i="95"/>
  <c r="BF205" i="95"/>
  <c r="H61" i="81"/>
  <c r="H189" i="81"/>
  <c r="I54" i="81"/>
  <c r="I113" i="81"/>
  <c r="H27" i="91" l="1"/>
  <c r="E12" i="91" s="1"/>
  <c r="H522" i="62"/>
  <c r="H527" i="62" s="1"/>
  <c r="H528" i="62" s="1"/>
  <c r="H529" i="62" s="1"/>
  <c r="I529" i="62" s="1"/>
  <c r="H554" i="62"/>
  <c r="H571" i="62"/>
  <c r="H553" i="62"/>
  <c r="H557" i="62" s="1"/>
  <c r="H562" i="62" s="1"/>
  <c r="H563" i="62" s="1"/>
  <c r="H564" i="62" s="1"/>
  <c r="D57" i="68" s="1"/>
  <c r="I33" i="129" s="1"/>
  <c r="J33" i="129" s="1"/>
  <c r="H570" i="62"/>
  <c r="H573" i="62" s="1"/>
  <c r="H577" i="62" s="1"/>
  <c r="H578" i="62" s="1"/>
  <c r="H579" i="62" s="1"/>
  <c r="D58" i="68" s="1"/>
  <c r="I35" i="129" s="1"/>
  <c r="J35" i="129" s="1"/>
  <c r="D52" i="68"/>
  <c r="I22" i="129" s="1"/>
  <c r="J22" i="129" s="1"/>
  <c r="I512" i="62"/>
  <c r="D62" i="68"/>
  <c r="I12" i="129" s="1"/>
  <c r="J12" i="129" s="1"/>
  <c r="J15" i="129" s="1"/>
  <c r="H347" i="81"/>
  <c r="I347" i="81" s="1"/>
  <c r="I267" i="81"/>
  <c r="I257" i="81"/>
  <c r="E28" i="82" s="1"/>
  <c r="H40" i="81"/>
  <c r="H44" i="81" s="1"/>
  <c r="I44" i="81" s="1"/>
  <c r="H63" i="81"/>
  <c r="H115" i="81"/>
  <c r="H243" i="81" s="1"/>
  <c r="I20" i="81"/>
  <c r="E9" i="82" s="1"/>
  <c r="I122" i="81"/>
  <c r="E17" i="82" s="1"/>
  <c r="I273" i="81"/>
  <c r="E29" i="82" s="1"/>
  <c r="I364" i="81"/>
  <c r="E38" i="82" s="1"/>
  <c r="B245" i="126"/>
  <c r="B245" i="127"/>
  <c r="B503" i="126"/>
  <c r="B503" i="127"/>
  <c r="Q624" i="80"/>
  <c r="O54" i="81"/>
  <c r="T53" i="81"/>
  <c r="S167" i="80"/>
  <c r="T159" i="80" s="1"/>
  <c r="S43" i="80"/>
  <c r="T60" i="81"/>
  <c r="I49" i="81"/>
  <c r="I41" i="81"/>
  <c r="I50" i="81"/>
  <c r="H220" i="81"/>
  <c r="I220" i="81" s="1"/>
  <c r="G200" i="81"/>
  <c r="G205" i="81" s="1"/>
  <c r="G79" i="81"/>
  <c r="G320" i="81" s="1"/>
  <c r="G407" i="81" s="1"/>
  <c r="I84" i="81"/>
  <c r="I374" i="81"/>
  <c r="I51" i="81"/>
  <c r="I9" i="82"/>
  <c r="E23" i="81"/>
  <c r="I23" i="81" s="1"/>
  <c r="I61" i="81"/>
  <c r="H46" i="81"/>
  <c r="I46" i="81" s="1"/>
  <c r="H42" i="81"/>
  <c r="I42" i="81" s="1"/>
  <c r="G958" i="123"/>
  <c r="H958" i="123" s="1"/>
  <c r="H936" i="123"/>
  <c r="G914" i="123"/>
  <c r="H914" i="123" s="1"/>
  <c r="H870" i="123"/>
  <c r="H837" i="123"/>
  <c r="H838" i="123" s="1"/>
  <c r="H839" i="123" s="1"/>
  <c r="G891" i="123"/>
  <c r="H891" i="123" s="1"/>
  <c r="H894" i="123" s="1"/>
  <c r="H902" i="123" s="1"/>
  <c r="H847" i="123"/>
  <c r="H850" i="123" s="1"/>
  <c r="H858" i="123" s="1"/>
  <c r="G935" i="123"/>
  <c r="G869" i="123"/>
  <c r="I330" i="81"/>
  <c r="I333" i="81" s="1"/>
  <c r="G317" i="81"/>
  <c r="H295" i="81"/>
  <c r="I295" i="81" s="1"/>
  <c r="I112" i="81"/>
  <c r="B489" i="80"/>
  <c r="I189" i="81"/>
  <c r="G215" i="81"/>
  <c r="T467" i="80"/>
  <c r="B231" i="80"/>
  <c r="B59" i="81"/>
  <c r="H302" i="81"/>
  <c r="I302" i="81" s="1"/>
  <c r="H66" i="81"/>
  <c r="H71" i="81" s="1"/>
  <c r="I71" i="81" s="1"/>
  <c r="H196" i="81"/>
  <c r="I196" i="81" s="1"/>
  <c r="H76" i="81"/>
  <c r="H190" i="81"/>
  <c r="H62" i="81"/>
  <c r="I62" i="81" s="1"/>
  <c r="I55" i="81"/>
  <c r="BD206" i="95"/>
  <c r="BE207" i="95" s="1"/>
  <c r="BF206" i="95"/>
  <c r="D53" i="68" l="1"/>
  <c r="I23" i="129" s="1"/>
  <c r="J23" i="129" s="1"/>
  <c r="J38" i="129"/>
  <c r="J29" i="129"/>
  <c r="E11" i="130"/>
  <c r="H33" i="81"/>
  <c r="I33" i="81" s="1"/>
  <c r="H48" i="81"/>
  <c r="H53" i="81" s="1"/>
  <c r="E9" i="130"/>
  <c r="I40" i="81"/>
  <c r="H242" i="81"/>
  <c r="I242" i="81" s="1"/>
  <c r="H56" i="81"/>
  <c r="H191" i="81" s="1"/>
  <c r="H297" i="81" s="1"/>
  <c r="I297" i="81" s="1"/>
  <c r="I115" i="81"/>
  <c r="I243" i="81" s="1"/>
  <c r="I226" i="81"/>
  <c r="E24" i="82" s="1"/>
  <c r="I381" i="81"/>
  <c r="E39" i="82" s="1"/>
  <c r="B256" i="126"/>
  <c r="B256" i="127"/>
  <c r="E34" i="82"/>
  <c r="Q626" i="80"/>
  <c r="T622" i="80" s="1"/>
  <c r="E125" i="81" s="1"/>
  <c r="I125" i="81" s="1"/>
  <c r="E48" i="81"/>
  <c r="T48" i="81" s="1"/>
  <c r="S62" i="80"/>
  <c r="S64" i="80" s="1"/>
  <c r="S71" i="80" s="1"/>
  <c r="S72" i="80" s="1"/>
  <c r="S44" i="80"/>
  <c r="S46" i="80" s="1"/>
  <c r="T34" i="80" s="1"/>
  <c r="G210" i="81"/>
  <c r="G316" i="81" s="1"/>
  <c r="G214" i="81"/>
  <c r="H35" i="81"/>
  <c r="I35" i="81" s="1"/>
  <c r="H903" i="123"/>
  <c r="H904" i="123" s="1"/>
  <c r="H905" i="123" s="1"/>
  <c r="H859" i="123"/>
  <c r="H860" i="123" s="1"/>
  <c r="H861" i="123" s="1"/>
  <c r="G913" i="123"/>
  <c r="H913" i="123" s="1"/>
  <c r="H916" i="123" s="1"/>
  <c r="H924" i="123" s="1"/>
  <c r="H869" i="123"/>
  <c r="H872" i="123" s="1"/>
  <c r="H880" i="123" s="1"/>
  <c r="H935" i="123"/>
  <c r="H938" i="123" s="1"/>
  <c r="H946" i="123" s="1"/>
  <c r="G957" i="123"/>
  <c r="H957" i="123" s="1"/>
  <c r="H960" i="123" s="1"/>
  <c r="H968" i="123" s="1"/>
  <c r="H296" i="81"/>
  <c r="I296" i="81" s="1"/>
  <c r="I66" i="81"/>
  <c r="I190" i="81"/>
  <c r="E85" i="81"/>
  <c r="I85" i="81" s="1"/>
  <c r="I90" i="81" s="1"/>
  <c r="I76" i="81"/>
  <c r="B64" i="81"/>
  <c r="B242" i="80"/>
  <c r="I80" i="81"/>
  <c r="H201" i="81"/>
  <c r="H307" i="81"/>
  <c r="I307" i="81" s="1"/>
  <c r="H303" i="81"/>
  <c r="I303" i="81" s="1"/>
  <c r="H67" i="81"/>
  <c r="H72" i="81" s="1"/>
  <c r="I72" i="81" s="1"/>
  <c r="H197" i="81"/>
  <c r="I197" i="81" s="1"/>
  <c r="I191" i="81" l="1"/>
  <c r="I245" i="81"/>
  <c r="E26" i="82" s="1"/>
  <c r="H350" i="81"/>
  <c r="I350" i="81" s="1"/>
  <c r="H349" i="81"/>
  <c r="I349" i="81" s="1"/>
  <c r="I56" i="81"/>
  <c r="B288" i="127"/>
  <c r="T32" i="81"/>
  <c r="E14" i="82"/>
  <c r="B69" i="81"/>
  <c r="B288" i="126"/>
  <c r="V624" i="80"/>
  <c r="I48" i="81"/>
  <c r="T59" i="80"/>
  <c r="E27" i="81" s="1"/>
  <c r="I27" i="81" s="1"/>
  <c r="H188" i="81"/>
  <c r="I53" i="81"/>
  <c r="H60" i="81"/>
  <c r="E24" i="81"/>
  <c r="I24" i="81" s="1"/>
  <c r="H969" i="123"/>
  <c r="H970" i="123" s="1"/>
  <c r="H971" i="123" s="1"/>
  <c r="H947" i="123"/>
  <c r="H948" i="123" s="1"/>
  <c r="H949" i="123" s="1"/>
  <c r="H881" i="123"/>
  <c r="H882" i="123" s="1"/>
  <c r="H883" i="123" s="1"/>
  <c r="H925" i="123"/>
  <c r="H926" i="123" s="1"/>
  <c r="H927" i="123" s="1"/>
  <c r="H409" i="62"/>
  <c r="I63" i="81"/>
  <c r="H304" i="81"/>
  <c r="I304" i="81" s="1"/>
  <c r="H198" i="81"/>
  <c r="I198" i="81" s="1"/>
  <c r="H68" i="81"/>
  <c r="H73" i="81" s="1"/>
  <c r="I73" i="81" s="1"/>
  <c r="I201" i="81"/>
  <c r="H206" i="81"/>
  <c r="I67" i="81"/>
  <c r="S74" i="80"/>
  <c r="T66" i="80" s="1"/>
  <c r="H312" i="81"/>
  <c r="B274" i="80"/>
  <c r="E35" i="82"/>
  <c r="H215" i="81"/>
  <c r="H321" i="81"/>
  <c r="I308" i="81"/>
  <c r="H211" i="81"/>
  <c r="H317" i="81" s="1"/>
  <c r="I317" i="81" s="1"/>
  <c r="H410" i="62" l="1"/>
  <c r="H411" i="62" s="1"/>
  <c r="D37" i="68" s="1"/>
  <c r="I352" i="81"/>
  <c r="E36" i="82" s="1"/>
  <c r="H77" i="81"/>
  <c r="B346" i="126"/>
  <c r="B346" i="127"/>
  <c r="B74" i="81"/>
  <c r="B332" i="80"/>
  <c r="I68" i="81"/>
  <c r="H294" i="81"/>
  <c r="I294" i="81" s="1"/>
  <c r="H195" i="81"/>
  <c r="I195" i="81" s="1"/>
  <c r="H301" i="81"/>
  <c r="I301" i="81" s="1"/>
  <c r="I188" i="81"/>
  <c r="H65" i="81"/>
  <c r="H70" i="81" s="1"/>
  <c r="I70" i="81" s="1"/>
  <c r="H75" i="81"/>
  <c r="I75" i="81" s="1"/>
  <c r="I60" i="81"/>
  <c r="I312" i="81"/>
  <c r="H313" i="81"/>
  <c r="I313" i="81" s="1"/>
  <c r="I206" i="81"/>
  <c r="H207" i="81"/>
  <c r="I207" i="81" s="1"/>
  <c r="E28" i="81"/>
  <c r="H203" i="81"/>
  <c r="I203" i="81" s="1"/>
  <c r="H309" i="81"/>
  <c r="I309" i="81" s="1"/>
  <c r="I321" i="81"/>
  <c r="H408" i="81"/>
  <c r="I408" i="81" s="1"/>
  <c r="I202" i="81"/>
  <c r="I215" i="81"/>
  <c r="I211" i="81"/>
  <c r="B518" i="80"/>
  <c r="B107" i="81"/>
  <c r="J39" i="129" l="1"/>
  <c r="H216" i="81"/>
  <c r="H322" i="81" s="1"/>
  <c r="B375" i="80"/>
  <c r="B389" i="127"/>
  <c r="B538" i="126"/>
  <c r="B538" i="127"/>
  <c r="B389" i="126"/>
  <c r="B78" i="81"/>
  <c r="H200" i="81"/>
  <c r="H205" i="81" s="1"/>
  <c r="I205" i="81" s="1"/>
  <c r="I65" i="81"/>
  <c r="H79" i="81"/>
  <c r="I79" i="81" s="1"/>
  <c r="H306" i="81"/>
  <c r="I306" i="81" s="1"/>
  <c r="I28" i="81"/>
  <c r="H208" i="81"/>
  <c r="I208" i="81" s="1"/>
  <c r="H314" i="81"/>
  <c r="I314" i="81" s="1"/>
  <c r="H147" i="81"/>
  <c r="I147" i="81" s="1"/>
  <c r="I77" i="81"/>
  <c r="H212" i="81"/>
  <c r="E25" i="82"/>
  <c r="B524" i="80"/>
  <c r="I153" i="81" l="1"/>
  <c r="E19" i="82" s="1"/>
  <c r="I30" i="81"/>
  <c r="E12" i="82" s="1"/>
  <c r="B422" i="126"/>
  <c r="B422" i="127"/>
  <c r="I200" i="81"/>
  <c r="H210" i="81"/>
  <c r="H214" i="81"/>
  <c r="I214" i="81" s="1"/>
  <c r="H320" i="81"/>
  <c r="H407" i="81" s="1"/>
  <c r="I407" i="81" s="1"/>
  <c r="H311" i="81"/>
  <c r="I311" i="81" s="1"/>
  <c r="H318" i="81"/>
  <c r="I318" i="81" s="1"/>
  <c r="I212" i="81"/>
  <c r="T63" i="81"/>
  <c r="B408" i="80"/>
  <c r="E12" i="130" l="1"/>
  <c r="H316" i="81"/>
  <c r="I316" i="81" s="1"/>
  <c r="I210" i="81"/>
  <c r="I320" i="81"/>
  <c r="I216" i="81"/>
  <c r="I322" i="81"/>
  <c r="H409" i="81"/>
  <c r="I409" i="81" s="1"/>
  <c r="I411" i="81" s="1"/>
  <c r="I218" i="81" l="1"/>
  <c r="E23" i="82" s="1"/>
  <c r="I324" i="81"/>
  <c r="E33" i="82" s="1"/>
  <c r="E32" i="82" s="1"/>
  <c r="E43" i="82"/>
  <c r="E42" i="82" s="1"/>
  <c r="T552" i="80"/>
  <c r="Q633" i="80" s="1"/>
  <c r="T628" i="80" s="1"/>
  <c r="E126" i="81" s="1"/>
  <c r="I126" i="81" s="1"/>
  <c r="E13" i="130" l="1"/>
  <c r="I129" i="81"/>
  <c r="E18" i="82" s="1"/>
  <c r="E22" i="82"/>
  <c r="E111" i="81"/>
  <c r="I111" i="81" s="1"/>
  <c r="I117" i="81" s="1"/>
  <c r="E16" i="82" l="1"/>
  <c r="E14" i="130" l="1"/>
  <c r="E15" i="130" s="1"/>
  <c r="S238" i="80"/>
  <c r="T231" i="80" s="1"/>
  <c r="E58" i="81" s="1"/>
  <c r="I58" i="81" s="1"/>
  <c r="I82" i="81" s="1"/>
  <c r="E16" i="130" l="1"/>
  <c r="I422" i="81"/>
  <c r="C76" i="130" l="1"/>
  <c r="C82" i="130" s="1"/>
  <c r="C84" i="130" s="1"/>
  <c r="E130" i="130"/>
  <c r="C130" i="130" s="1"/>
  <c r="I47" i="82"/>
  <c r="T82" i="81"/>
  <c r="E13" i="82"/>
  <c r="E11" i="82" s="1"/>
  <c r="E47" i="82" s="1"/>
  <c r="C93" i="130" l="1"/>
  <c r="C94" i="130" s="1"/>
  <c r="C95" i="130" s="1"/>
  <c r="C102" i="130"/>
  <c r="C105" i="130" s="1"/>
  <c r="C111" i="130"/>
  <c r="C112" i="130" s="1"/>
  <c r="C113" i="130" s="1"/>
  <c r="C119" i="130"/>
  <c r="D126" i="130" s="1"/>
  <c r="C85" i="130"/>
  <c r="C86" i="130" s="1"/>
  <c r="D89" i="130"/>
  <c r="C90" i="130"/>
  <c r="C88" i="130"/>
  <c r="C87" i="130"/>
  <c r="D85" i="130" s="1"/>
  <c r="C103" i="130"/>
  <c r="C104" i="130" s="1"/>
  <c r="I11" i="82"/>
  <c r="I13" i="82" s="1"/>
  <c r="K47" i="82"/>
  <c r="C96" i="130" l="1"/>
  <c r="C106" i="130"/>
  <c r="C97" i="130"/>
  <c r="C115" i="130"/>
  <c r="D113" i="130" s="1"/>
  <c r="C114" i="130"/>
  <c r="D112" i="130" s="1"/>
  <c r="C122" i="130"/>
  <c r="D120" i="130" s="1"/>
  <c r="C120" i="130"/>
  <c r="C121" i="130" s="1"/>
  <c r="C125" i="130"/>
  <c r="D122" i="130" s="1"/>
  <c r="C127" i="130"/>
  <c r="D103" i="130"/>
  <c r="D106" i="130" s="1"/>
  <c r="D96" i="130"/>
  <c r="D95" i="130"/>
  <c r="D105" i="130"/>
  <c r="D104" i="130"/>
  <c r="D86" i="130"/>
  <c r="D88" i="130"/>
  <c r="D87" i="130"/>
  <c r="C89" i="130" s="1"/>
  <c r="D94" i="130"/>
  <c r="E48" i="82"/>
  <c r="E49" i="82" s="1"/>
  <c r="E50" i="82" s="1"/>
  <c r="D97" i="130" l="1"/>
  <c r="D115" i="130"/>
  <c r="D114" i="130"/>
  <c r="C116" i="130" s="1"/>
  <c r="D116" i="130" s="1"/>
  <c r="C117" i="130" s="1"/>
  <c r="D121" i="130"/>
  <c r="D125" i="130"/>
  <c r="C126" i="130"/>
  <c r="C98" i="130"/>
  <c r="D98" i="130" s="1"/>
  <c r="C99" i="130" s="1"/>
  <c r="C107" i="130"/>
  <c r="D107" i="130" s="1"/>
  <c r="C108" i="130" s="1"/>
  <c r="I48" i="82"/>
  <c r="I55" i="82"/>
  <c r="F33" i="68"/>
  <c r="O10" i="64"/>
  <c r="C110" i="82"/>
  <c r="C131" i="130" l="1"/>
  <c r="D131" i="130" s="1"/>
  <c r="C132" i="130" s="1"/>
  <c r="D130" i="130" s="1"/>
  <c r="C133" i="130" s="1"/>
  <c r="C78" i="130" s="1"/>
  <c r="C116" i="82"/>
  <c r="E164" i="82"/>
  <c r="C153" i="82" l="1"/>
  <c r="C164" i="82"/>
  <c r="C127" i="82"/>
  <c r="C118" i="82"/>
  <c r="C136" i="82"/>
  <c r="C145" i="82"/>
  <c r="D123" i="82" l="1"/>
  <c r="C124" i="82"/>
  <c r="C119" i="82"/>
  <c r="C120" i="82" s="1"/>
  <c r="C121" i="82"/>
  <c r="C122" i="82"/>
  <c r="C128" i="82"/>
  <c r="C129" i="82" s="1"/>
  <c r="C131" i="82"/>
  <c r="C130" i="82"/>
  <c r="C146" i="82"/>
  <c r="C147" i="82" s="1"/>
  <c r="C149" i="82"/>
  <c r="C148" i="82"/>
  <c r="C137" i="82"/>
  <c r="C138" i="82" s="1"/>
  <c r="C140" i="82"/>
  <c r="C139" i="82"/>
  <c r="C154" i="82"/>
  <c r="C155" i="82" s="1"/>
  <c r="D160" i="82"/>
  <c r="C161" i="82"/>
  <c r="C156" i="82"/>
  <c r="C159" i="82"/>
  <c r="D119" i="82" l="1"/>
  <c r="D122" i="82" s="1"/>
  <c r="D154" i="82"/>
  <c r="D159" i="82" s="1"/>
  <c r="D139" i="82"/>
  <c r="D138" i="82"/>
  <c r="D146" i="82"/>
  <c r="D149" i="82" s="1"/>
  <c r="D156" i="82"/>
  <c r="C160" i="82" s="1"/>
  <c r="D155" i="82"/>
  <c r="D137" i="82"/>
  <c r="D140" i="82" s="1"/>
  <c r="D147" i="82"/>
  <c r="D148" i="82"/>
  <c r="D128" i="82"/>
  <c r="D131" i="82" s="1"/>
  <c r="D129" i="82"/>
  <c r="D130" i="82"/>
  <c r="D120" i="82"/>
  <c r="D121" i="82"/>
  <c r="C123" i="82" s="1"/>
  <c r="C150" i="82" l="1"/>
  <c r="D150" i="82" s="1"/>
  <c r="C151" i="82" s="1"/>
  <c r="C132" i="82"/>
  <c r="D132" i="82" s="1"/>
  <c r="C133" i="82" s="1"/>
  <c r="C141" i="82"/>
  <c r="D141" i="82" s="1"/>
  <c r="C142" i="82" s="1"/>
  <c r="C165" i="82" l="1"/>
  <c r="D165" i="82" s="1"/>
  <c r="C166" i="82" s="1"/>
  <c r="D164" i="82" s="1"/>
  <c r="C167" i="82" s="1"/>
  <c r="C112" i="82" s="1"/>
  <c r="C51" i="82" s="1"/>
</calcChain>
</file>

<file path=xl/sharedStrings.xml><?xml version="1.0" encoding="utf-8"?>
<sst xmlns="http://schemas.openxmlformats.org/spreadsheetml/2006/main" count="15471" uniqueCount="1586">
  <si>
    <t>Kg</t>
  </si>
  <si>
    <t>Ls</t>
  </si>
  <si>
    <t>M2</t>
  </si>
  <si>
    <t>M3</t>
  </si>
  <si>
    <t>Pasir Urug</t>
  </si>
  <si>
    <t>C</t>
  </si>
  <si>
    <t>D</t>
  </si>
  <si>
    <t>E</t>
  </si>
  <si>
    <t>m</t>
  </si>
  <si>
    <t>Bh</t>
  </si>
  <si>
    <t>Volume</t>
  </si>
  <si>
    <t xml:space="preserve">Hrg.Material </t>
  </si>
  <si>
    <t>No.</t>
  </si>
  <si>
    <t>Bahan / Material</t>
  </si>
  <si>
    <t>Satuan</t>
  </si>
  <si>
    <t>Sampai ke</t>
  </si>
  <si>
    <t>Lokasi Pekerjaan</t>
  </si>
  <si>
    <t>Buah</t>
  </si>
  <si>
    <t>Pasir pasangan / Beton</t>
  </si>
  <si>
    <t>Pasir urug</t>
  </si>
  <si>
    <t>Tanah timbun</t>
  </si>
  <si>
    <t>Kawat beton</t>
  </si>
  <si>
    <t>Kawat Las</t>
  </si>
  <si>
    <t>Lbr</t>
  </si>
  <si>
    <t>Ltr</t>
  </si>
  <si>
    <t>Semen PC</t>
  </si>
  <si>
    <t>Semen Warna</t>
  </si>
  <si>
    <t>M'</t>
  </si>
  <si>
    <t>Batang</t>
  </si>
  <si>
    <t>Lembar</t>
  </si>
  <si>
    <t>Btg</t>
  </si>
  <si>
    <t>I</t>
  </si>
  <si>
    <t>Unit</t>
  </si>
  <si>
    <t>Minyak Bekisting</t>
  </si>
  <si>
    <t xml:space="preserve">A.2.2.1 </t>
  </si>
  <si>
    <t>HARGA SATUAN PEKERJAAN PERSIAPAN</t>
  </si>
  <si>
    <t>Uraian</t>
  </si>
  <si>
    <t>Kode</t>
  </si>
  <si>
    <t>Koefisien</t>
  </si>
  <si>
    <t>Harga Satuan  (Rp)</t>
  </si>
  <si>
    <t>Jumlah Harga (Rp)</t>
  </si>
  <si>
    <t>A</t>
  </si>
  <si>
    <t>TENAGA</t>
  </si>
  <si>
    <t xml:space="preserve">Pekerja </t>
  </si>
  <si>
    <t>L.01</t>
  </si>
  <si>
    <t>OH</t>
  </si>
  <si>
    <t>Tukang Kayu</t>
  </si>
  <si>
    <t>L.02</t>
  </si>
  <si>
    <t>Kepala Tukang</t>
  </si>
  <si>
    <t>L.03</t>
  </si>
  <si>
    <t>Mandor</t>
  </si>
  <si>
    <t>L.04</t>
  </si>
  <si>
    <t>JUMLAH TENAGA KERJA</t>
  </si>
  <si>
    <t>B</t>
  </si>
  <si>
    <t>BAHAN</t>
  </si>
  <si>
    <t>Semen Portland</t>
  </si>
  <si>
    <t>Pasir Beton</t>
  </si>
  <si>
    <t>m³</t>
  </si>
  <si>
    <t>Liter</t>
  </si>
  <si>
    <t>JUMLAH HARGA BAHAN</t>
  </si>
  <si>
    <t>PERALATAN</t>
  </si>
  <si>
    <t>JUMLAH HARGA ALAT</t>
  </si>
  <si>
    <t>Jumlah (A+B+C)</t>
  </si>
  <si>
    <t>F</t>
  </si>
  <si>
    <t>Harga Satuan Pekerjaan (D+E)</t>
  </si>
  <si>
    <t>A.2.2.1.4</t>
  </si>
  <si>
    <t>Pengukuran dan Pemasangan 1 m' Bouwplank</t>
  </si>
  <si>
    <t>Paku Biasa 2" - 3"</t>
  </si>
  <si>
    <t>Tukang Batu</t>
  </si>
  <si>
    <t>Paku Biasa</t>
  </si>
  <si>
    <t>Pasir Pasang</t>
  </si>
  <si>
    <t>Pekerja</t>
  </si>
  <si>
    <t>A.2.3.1</t>
  </si>
  <si>
    <t>HARGA SATUAN PEKERJAAN TANAH</t>
  </si>
  <si>
    <t>A.2.3.1.1</t>
  </si>
  <si>
    <t>Penggalian 1 m³ tanah biasa sedalam 1m</t>
  </si>
  <si>
    <t>A.2.3.1.9</t>
  </si>
  <si>
    <t>A.2.3.1.11</t>
  </si>
  <si>
    <t>Pengurugan 1 m³ dengan pasir urug</t>
  </si>
  <si>
    <t xml:space="preserve">Pasir Beton </t>
  </si>
  <si>
    <t>Kawat Beton</t>
  </si>
  <si>
    <t>A.4.1.1</t>
  </si>
  <si>
    <t>HARGA SATUAN PEKERJAAN BETON</t>
  </si>
  <si>
    <t>Air</t>
  </si>
  <si>
    <t>CATATAN</t>
  </si>
  <si>
    <t>Bobot isi pasir = 1.400 Kg/m³, Bobot isi Kerikil = 1.350 Kg/m³, Buckling factor Pasir = 20%</t>
  </si>
  <si>
    <t>Tukang Besi</t>
  </si>
  <si>
    <t>Paku 5 - 10 Cm</t>
  </si>
  <si>
    <t>Besi Beton Polos</t>
  </si>
  <si>
    <t>kg</t>
  </si>
  <si>
    <t>Perlengkapan</t>
  </si>
  <si>
    <t>%</t>
  </si>
  <si>
    <t>DAFTAR SATUAN UPAH</t>
  </si>
  <si>
    <t>NO.</t>
  </si>
  <si>
    <t>PEKERJAAN</t>
  </si>
  <si>
    <t>KETERANGAN</t>
  </si>
  <si>
    <t>Mandor Lapangan</t>
  </si>
  <si>
    <t>Tukang</t>
  </si>
  <si>
    <t>Pembantu Operator</t>
  </si>
  <si>
    <t>Batu pecah 2-3 cm</t>
  </si>
  <si>
    <t xml:space="preserve">Overhead &amp; Profit </t>
  </si>
  <si>
    <t>ANALISA BIAYA KONTRUKSI</t>
  </si>
  <si>
    <t>Divisi 2</t>
  </si>
  <si>
    <t>Nama Pekerjaan</t>
  </si>
  <si>
    <t>Harga Satuan Pekerjaan</t>
  </si>
  <si>
    <t>Divisi 4</t>
  </si>
  <si>
    <t>Bahan</t>
  </si>
  <si>
    <t>Tenaga</t>
  </si>
  <si>
    <t xml:space="preserve">REKAPITULASI ANALISA HARGA SATUAN </t>
  </si>
  <si>
    <t>Anl. Medan PA.6.2</t>
  </si>
  <si>
    <t xml:space="preserve">Pengurugan Kembali 1 m³ galian tanah </t>
  </si>
  <si>
    <t>Besi Ulir</t>
  </si>
  <si>
    <t>m²</t>
  </si>
  <si>
    <t>m2</t>
  </si>
  <si>
    <t>=</t>
  </si>
  <si>
    <t>Set</t>
  </si>
  <si>
    <t>Divisi 1</t>
  </si>
  <si>
    <t>A.4.1.1.17.</t>
  </si>
  <si>
    <t xml:space="preserve">Pembesian 1 Kg dengan besi polos </t>
  </si>
  <si>
    <t>Besi Beton polos</t>
  </si>
  <si>
    <t>A.4.1.1.17.b</t>
  </si>
  <si>
    <t>Pembesian 1 Kg dengan besi ulir</t>
  </si>
  <si>
    <t>Besi Beton ulir</t>
  </si>
  <si>
    <t xml:space="preserve">Dolken kayu  10cm –panj 4 m </t>
  </si>
  <si>
    <t>JUMLAH</t>
  </si>
  <si>
    <t>(Rp)</t>
  </si>
  <si>
    <t>VOLUME</t>
  </si>
  <si>
    <t>HARGA SATUAN</t>
  </si>
  <si>
    <t>m'</t>
  </si>
  <si>
    <t>Psg</t>
  </si>
  <si>
    <t>m3</t>
  </si>
  <si>
    <t xml:space="preserve">Perlengkapan </t>
  </si>
  <si>
    <t>set</t>
  </si>
  <si>
    <t>Peralatan</t>
  </si>
  <si>
    <t>Permen PUPR 28-2016 PEDOMAN ANALISIS HARGA SATUAN PEKERJAAN BIDANG PEKERJAAN UMUM</t>
  </si>
  <si>
    <t>NO</t>
  </si>
  <si>
    <t>ANALISA</t>
  </si>
  <si>
    <t xml:space="preserve">JUMLAH HARGA </t>
  </si>
  <si>
    <t>PEKERJAAN PERSIAPAN</t>
  </si>
  <si>
    <t>II</t>
  </si>
  <si>
    <t>III</t>
  </si>
  <si>
    <t>IV</t>
  </si>
  <si>
    <t>PEKERJAAN PENGECATAN</t>
  </si>
  <si>
    <t>V</t>
  </si>
  <si>
    <t>VI</t>
  </si>
  <si>
    <t>VII</t>
  </si>
  <si>
    <t>PEKERJAAN TANAH</t>
  </si>
  <si>
    <t>Kolom Praktis</t>
  </si>
  <si>
    <t>Plat Lantai</t>
  </si>
  <si>
    <t>-</t>
  </si>
  <si>
    <t>P</t>
  </si>
  <si>
    <t>L</t>
  </si>
  <si>
    <t>T</t>
  </si>
  <si>
    <t>JLH</t>
  </si>
  <si>
    <t>Pengurangan</t>
  </si>
  <si>
    <t>Anak Tangga</t>
  </si>
  <si>
    <t>Arah X</t>
  </si>
  <si>
    <t>Arah Y</t>
  </si>
  <si>
    <t>Bordes</t>
  </si>
  <si>
    <t>Batu Pecah 2-3</t>
  </si>
  <si>
    <t xml:space="preserve">JUMLAH </t>
  </si>
  <si>
    <t>bh</t>
  </si>
  <si>
    <t>DAFTAR BAHAN / MATERIAL</t>
  </si>
  <si>
    <t>Konst</t>
  </si>
  <si>
    <t>Total</t>
  </si>
  <si>
    <t>Arah y</t>
  </si>
  <si>
    <t>Semen</t>
  </si>
  <si>
    <t>A.2.3.1.14</t>
  </si>
  <si>
    <t xml:space="preserve">Pengurugan  1 m3  sirtu padat </t>
  </si>
  <si>
    <t>Sirtu Padat</t>
  </si>
  <si>
    <t>Total Galian</t>
  </si>
  <si>
    <t>No</t>
  </si>
  <si>
    <t>Besi Profil</t>
  </si>
  <si>
    <t>Kerikil 2-3 cm</t>
  </si>
  <si>
    <t>Bekisting Balok</t>
  </si>
  <si>
    <t xml:space="preserve">Sirtu </t>
  </si>
  <si>
    <t xml:space="preserve">Bahan-bahan galian </t>
  </si>
  <si>
    <t>Bahan Besi / Alumunium</t>
  </si>
  <si>
    <t>Bahan Kayu</t>
  </si>
  <si>
    <t>Bahan Konstruksi Atap</t>
  </si>
  <si>
    <t>Bahan Kaca, Kunci &amp; Pengantung</t>
  </si>
  <si>
    <t>Lain-lain</t>
  </si>
  <si>
    <t>Kayu Bulat/Dolken</t>
  </si>
  <si>
    <t>Quantity</t>
  </si>
  <si>
    <t>Sat</t>
  </si>
  <si>
    <t>x</t>
  </si>
  <si>
    <t>Jumlah Pengurangan</t>
  </si>
  <si>
    <t>Total Pengurangan</t>
  </si>
  <si>
    <t>Pengurugan Kembali</t>
  </si>
  <si>
    <t>Sisa tanah galian</t>
  </si>
  <si>
    <t>Volume tanah timbun</t>
  </si>
  <si>
    <t>Bekisting Tiang</t>
  </si>
  <si>
    <t>Kp1</t>
  </si>
  <si>
    <t>Pass. Bata utuh</t>
  </si>
  <si>
    <t xml:space="preserve">Arah x </t>
  </si>
  <si>
    <t>Acian</t>
  </si>
  <si>
    <t>Bekisting Kolom</t>
  </si>
  <si>
    <t>Bekisting Plat</t>
  </si>
  <si>
    <t xml:space="preserve">Pekerjaan          </t>
  </si>
  <si>
    <t xml:space="preserve">Lokasi                </t>
  </si>
  <si>
    <t>URAIAN PEKERJAAN</t>
  </si>
  <si>
    <t>SAT</t>
  </si>
  <si>
    <t>Jumlah A</t>
  </si>
  <si>
    <t xml:space="preserve">Galian Tanah </t>
  </si>
  <si>
    <t>- Urugan tanah bekas galian</t>
  </si>
  <si>
    <t>- Urugan tanah yang didatangkan</t>
  </si>
  <si>
    <t>Jumlah Sub Total B-I</t>
  </si>
  <si>
    <t>Pembesian Ulir</t>
  </si>
  <si>
    <t>Pembesian Polos</t>
  </si>
  <si>
    <t>Bekisting Sloof</t>
  </si>
  <si>
    <t>Balok Latai</t>
  </si>
  <si>
    <t>Jumlah Sub Total B-II</t>
  </si>
  <si>
    <t>PEKERJAAN DINDING &amp; PLESTERAN</t>
  </si>
  <si>
    <t xml:space="preserve">Pasangan 1/2 bata camp. 1 : 4 </t>
  </si>
  <si>
    <t>Plesteran 1 PC : 4 PP, tebal 15 mm</t>
  </si>
  <si>
    <t>Jumlah Sub Total B-III</t>
  </si>
  <si>
    <t>PEKERJAAN PINTU &amp; JENDELA</t>
  </si>
  <si>
    <t>Jumlah Sub Total B-IV</t>
  </si>
  <si>
    <t>PEKERJAAN PENUTUP LANTAI &amp; DINDING</t>
  </si>
  <si>
    <t>Jumlah Sub Total B-V</t>
  </si>
  <si>
    <t>Jumlah Sub Total B-VII</t>
  </si>
  <si>
    <t>Jumlah Sub Total C-I</t>
  </si>
  <si>
    <t>Jumlah Sub Total C-II</t>
  </si>
  <si>
    <t>Jumlah Sub Total C-III</t>
  </si>
  <si>
    <t>Jumlah Sub Total C-IV</t>
  </si>
  <si>
    <t>JUMLAH TOTAL</t>
  </si>
  <si>
    <t>PPN 10% = (1 x 10%)</t>
  </si>
  <si>
    <t>TOTAL = (1+2)</t>
  </si>
  <si>
    <t>DIBULATKAN ( C )</t>
  </si>
  <si>
    <t>Terbilang :</t>
  </si>
  <si>
    <t xml:space="preserve">Tahun                 </t>
  </si>
  <si>
    <t>Tahun</t>
  </si>
  <si>
    <t>A.2.3.1.11a</t>
  </si>
  <si>
    <t>Tanah Urug</t>
  </si>
  <si>
    <t>Pengurugan 1 m³ dengan Tanah Timbun</t>
  </si>
  <si>
    <t>Bekisting Pondasi</t>
  </si>
  <si>
    <t>Tulangan D-19 arah X</t>
  </si>
  <si>
    <t>Besi Ø-10 arah X</t>
  </si>
  <si>
    <t>Besi Ø-10 arah Y</t>
  </si>
  <si>
    <t>Plat Utuh</t>
  </si>
  <si>
    <t>Pass. Bata 1:4</t>
  </si>
  <si>
    <t>IX</t>
  </si>
  <si>
    <t>Jumlah Sub Total B-IX</t>
  </si>
  <si>
    <t>Tanah Humus</t>
  </si>
  <si>
    <t xml:space="preserve">Pengurangan </t>
  </si>
  <si>
    <t xml:space="preserve">Harga Satuan Pekerjaan (D+E) </t>
  </si>
  <si>
    <t>Balok kayu kelas III</t>
  </si>
  <si>
    <t>Jam</t>
  </si>
  <si>
    <t xml:space="preserve"> sisa galian</t>
  </si>
  <si>
    <t>Pondasi Pile Cap</t>
  </si>
  <si>
    <t>Urugan Pasir Pondasi</t>
  </si>
  <si>
    <t>PEKERJAAN SANITAIR</t>
  </si>
  <si>
    <t>arah y</t>
  </si>
  <si>
    <t>/</t>
  </si>
  <si>
    <t>Tonase besi Ulir</t>
  </si>
  <si>
    <t>Tonase besi Polos</t>
  </si>
  <si>
    <t>Pengurangan Besi</t>
  </si>
  <si>
    <t xml:space="preserve">Arah y </t>
  </si>
  <si>
    <t>Pondasi P-1</t>
  </si>
  <si>
    <t>Arah X (S1)</t>
  </si>
  <si>
    <t>Arah Y (S1)</t>
  </si>
  <si>
    <t>Jumlah Sub Total D-I</t>
  </si>
  <si>
    <t>Jumlah Sub Total D-II</t>
  </si>
  <si>
    <t>Jumlah Sub Total D-III</t>
  </si>
  <si>
    <t>Jumlah Sub Total D-IV</t>
  </si>
  <si>
    <t>Jumlah Sub Total D-VII</t>
  </si>
  <si>
    <t>Jumlah Sub Total C-V</t>
  </si>
  <si>
    <t>Jumlah Sub Total C-VI</t>
  </si>
  <si>
    <t>Jumlah Sub Total C-VII</t>
  </si>
  <si>
    <t>A.4.1.1.24A</t>
  </si>
  <si>
    <t>Tangga Miring</t>
  </si>
  <si>
    <t>Vertikal</t>
  </si>
  <si>
    <t>Bordes arah x</t>
  </si>
  <si>
    <t>Bordes arah y</t>
  </si>
  <si>
    <t>Tangga Miring arah panjang</t>
  </si>
  <si>
    <t xml:space="preserve">Vertikal </t>
  </si>
  <si>
    <t>Injakan Tangga</t>
  </si>
  <si>
    <t>Harga Satuan Pekerjaan (D+E) (Pembesian 1 Kg)</t>
  </si>
  <si>
    <t>Pengukuran/Bowplank</t>
  </si>
  <si>
    <t>Pekerjaan Tiang Pancang</t>
  </si>
  <si>
    <t>Penyambungan Tiang Pancang</t>
  </si>
  <si>
    <t>Memecah Kepala Tiang Pancang</t>
  </si>
  <si>
    <t>BANGUNAN LANTAI ATAP</t>
  </si>
  <si>
    <t>Jumlah Sub Total E-I</t>
  </si>
  <si>
    <t>Jumlah Sub Total E-II</t>
  </si>
  <si>
    <t>Jumlah Sub Total E-III</t>
  </si>
  <si>
    <t>arah x</t>
  </si>
  <si>
    <t>Kali</t>
  </si>
  <si>
    <t>Tulangan D-19 (lapangan)</t>
  </si>
  <si>
    <t xml:space="preserve"> </t>
  </si>
  <si>
    <t>Tulangan D-19 (Tumpuan)</t>
  </si>
  <si>
    <t>Pemodelan 8x8 M</t>
  </si>
  <si>
    <t>Utuh</t>
  </si>
  <si>
    <t>Bidang Miring</t>
  </si>
  <si>
    <t>UT</t>
  </si>
  <si>
    <t>Terjemahan kedalam kalimat</t>
  </si>
  <si>
    <t xml:space="preserve">terbilang      = </t>
  </si>
  <si>
    <t>BASIC  =&gt;</t>
  </si>
  <si>
    <t>satu    dua     tiga    empat   lima    enam    tujuh   delapan sembilan sepuluh</t>
  </si>
  <si>
    <t>@</t>
  </si>
  <si>
    <t xml:space="preserve">       ribu   juta   milyar   triliyun     </t>
  </si>
  <si>
    <t xml:space="preserve"> @</t>
  </si>
  <si>
    <t xml:space="preserve"> basic  @</t>
  </si>
  <si>
    <t xml:space="preserve">  perhitungan @</t>
  </si>
  <si>
    <t>angka  @</t>
  </si>
  <si>
    <t>***</t>
  </si>
  <si>
    <t>Bekisting Tangga</t>
  </si>
  <si>
    <t>Kapasitas</t>
  </si>
  <si>
    <t>:</t>
  </si>
  <si>
    <t>unit</t>
  </si>
  <si>
    <t>M</t>
  </si>
  <si>
    <t>G</t>
  </si>
  <si>
    <t>Titik</t>
  </si>
  <si>
    <t>H</t>
  </si>
  <si>
    <t>BANGUNAN LANTAI - 1</t>
  </si>
  <si>
    <t>BANGUNAN LANTAI - 2</t>
  </si>
  <si>
    <t>BANGUNAN LANTAI - 3</t>
  </si>
  <si>
    <t>Riser Tangga</t>
  </si>
  <si>
    <t>Mobilisasi dan Demobilisasi Alat Pemancang</t>
  </si>
  <si>
    <t>ANALISIS HARGA SATUAN PEKERJAAN</t>
  </si>
  <si>
    <t>(AHSP)</t>
  </si>
  <si>
    <t>Macam Pekerjaan</t>
  </si>
  <si>
    <t>Penyediaan SMK3</t>
  </si>
  <si>
    <t>Kuantitas Pekerjaan</t>
  </si>
  <si>
    <t>1 ls</t>
  </si>
  <si>
    <t>Satuan Pengukuran</t>
  </si>
  <si>
    <t>ls</t>
  </si>
  <si>
    <t>Harga Satuan</t>
  </si>
  <si>
    <t xml:space="preserve">Sumber </t>
  </si>
  <si>
    <t>Jumlah</t>
  </si>
  <si>
    <t>Penyiapan RK3K</t>
  </si>
  <si>
    <t>Pembuatan Manual, Prosedur, Instruksi Kerja, Ijin Kerja</t>
  </si>
  <si>
    <t>Lb</t>
  </si>
  <si>
    <t>Sosialisasi dan Promosi K3</t>
  </si>
  <si>
    <t>Org</t>
  </si>
  <si>
    <t>Papan Informasi K3</t>
  </si>
  <si>
    <t>Alat Pelindung Kerja</t>
  </si>
  <si>
    <t>Asuransi dan Perijinan</t>
  </si>
  <si>
    <t>Personil K3</t>
  </si>
  <si>
    <t>OB</t>
  </si>
  <si>
    <t>Fasilitas Sarana Kesehatan</t>
  </si>
  <si>
    <t>Lain-Lain Terkait Pengendalian Risiko K3</t>
  </si>
  <si>
    <t>Pelaporan dan Penyelidikan Insiden</t>
  </si>
  <si>
    <t>V1</t>
  </si>
  <si>
    <t>2x PAKAI</t>
  </si>
  <si>
    <t>(K3) Pemasangan 1 m2   bekisting untuk lantai  (2x Pakai)</t>
  </si>
  <si>
    <t>SATKER</t>
  </si>
  <si>
    <t>PAKET PEKERJAAN</t>
  </si>
  <si>
    <t>LOKASI</t>
  </si>
  <si>
    <t>TAHUN ANGGARAN</t>
  </si>
  <si>
    <t>SUMBER DATA UPAH DAN BAHAN</t>
  </si>
  <si>
    <t>Harga Standar Barang/Jasa Pemkab Tahun 2020</t>
  </si>
  <si>
    <t>Biaya Umum &amp; Keuntungan Kontraktor</t>
  </si>
  <si>
    <t xml:space="preserve">% </t>
  </si>
  <si>
    <t>(SE MENTERI PU MARET 2013)</t>
  </si>
  <si>
    <t>Rp.</t>
  </si>
  <si>
    <t>Jam kerja efektif per-hari</t>
  </si>
  <si>
    <t>Silahkan mengganti identitas proyek…….huruf biru jangan di ganti !!!!</t>
  </si>
  <si>
    <t>Tingkat Suku Bunga</t>
  </si>
  <si>
    <t>Sumber :</t>
  </si>
  <si>
    <t>Permen PUPR, No. : 28/PRT/M/2016, Tentang AHSP Bidang PU</t>
  </si>
  <si>
    <t>ANALISA BIAYA SEWA PERALATAN PER JAM KERJA</t>
  </si>
  <si>
    <t>URAIAN ANALISA ALAT</t>
  </si>
  <si>
    <t>U R A I A N</t>
  </si>
  <si>
    <t>KODE</t>
  </si>
  <si>
    <t>KOEF.</t>
  </si>
  <si>
    <t>SATUAN</t>
  </si>
  <si>
    <t>KET.</t>
  </si>
  <si>
    <t>A.</t>
  </si>
  <si>
    <t>URAIAN PERALATAN</t>
  </si>
  <si>
    <t xml:space="preserve">       1.</t>
  </si>
  <si>
    <t>Jenis Peralatan</t>
  </si>
  <si>
    <t>Trado</t>
  </si>
  <si>
    <t xml:space="preserve">       2.</t>
  </si>
  <si>
    <t>Pw</t>
  </si>
  <si>
    <t>HP</t>
  </si>
  <si>
    <t xml:space="preserve">       3.</t>
  </si>
  <si>
    <t>Cp</t>
  </si>
  <si>
    <t>Ton</t>
  </si>
  <si>
    <t xml:space="preserve">       4.</t>
  </si>
  <si>
    <t>Alat Baru                :</t>
  </si>
  <si>
    <t xml:space="preserve">  a.  Umur Ekonomis</t>
  </si>
  <si>
    <t>E49</t>
  </si>
  <si>
    <t xml:space="preserve">  b.  Jam Kerja Dalam 1 Tahun</t>
  </si>
  <si>
    <t>W</t>
  </si>
  <si>
    <t xml:space="preserve">  c.  Harga Alat</t>
  </si>
  <si>
    <t>Rupiah</t>
  </si>
  <si>
    <t xml:space="preserve">       5.</t>
  </si>
  <si>
    <t>Alat Yang Dipakai  :</t>
  </si>
  <si>
    <t>A'</t>
  </si>
  <si>
    <t xml:space="preserve">  b.  Jam Kerja Dalam 1 Tahun </t>
  </si>
  <si>
    <t>W'</t>
  </si>
  <si>
    <t xml:space="preserve">  c.  Harga Alat   (*)</t>
  </si>
  <si>
    <t>B'</t>
  </si>
  <si>
    <t>B.</t>
  </si>
  <si>
    <t>BIAYA PASTI PER JAM KERJA</t>
  </si>
  <si>
    <t>Nilai Sisa Alat</t>
  </si>
  <si>
    <t>=  10 % x B</t>
  </si>
  <si>
    <t>Faktor Angsuran Modal    =</t>
  </si>
  <si>
    <t>i x (1 + i)^A'</t>
  </si>
  <si>
    <t>(1 + i)^A' - 1</t>
  </si>
  <si>
    <t>Biaya Pasti per Jam  :</t>
  </si>
  <si>
    <t>a.  Biaya Pengembalian Modal  =</t>
  </si>
  <si>
    <t>( B' - C ) x D</t>
  </si>
  <si>
    <t xml:space="preserve"> Kondisi Alat</t>
  </si>
  <si>
    <t>b.  Asuransi, dll =</t>
  </si>
  <si>
    <t xml:space="preserve">  x   B'</t>
  </si>
  <si>
    <t xml:space="preserve"> Nilai B' dari</t>
  </si>
  <si>
    <t xml:space="preserve"> Depresiasi</t>
  </si>
  <si>
    <t>Biaya Pasti per Jam             =</t>
  </si>
  <si>
    <t>( E + F )</t>
  </si>
  <si>
    <t>C.</t>
  </si>
  <si>
    <t>BIAYA OPERASI PER JAM KERJA</t>
  </si>
  <si>
    <t xml:space="preserve">Bahan Bakar  =  (0.125-0.175 Ltr/HP/Jam)   x Pw x Ms </t>
  </si>
  <si>
    <t>Pelumas         =  (0.025-0.03 Ltr/HP/Jam) x Pw x Mp</t>
  </si>
  <si>
    <t>Perawatan dan</t>
  </si>
  <si>
    <t>(12,5 % - 17,5 %)  x  B'</t>
  </si>
  <si>
    <t>K</t>
  </si>
  <si>
    <t xml:space="preserve">        perbaikan    =</t>
  </si>
  <si>
    <t>Operator</t>
  </si>
  <si>
    <t>=   ( 1  Orang / Jam )  x  U1</t>
  </si>
  <si>
    <t>=   ( 1  Orang / Jam )  x  U2</t>
  </si>
  <si>
    <t>Biaya Operasi per Jam        =</t>
  </si>
  <si>
    <t>(H+I+K+L+M)</t>
  </si>
  <si>
    <t>D.</t>
  </si>
  <si>
    <t>TOTAL BIAYA SEWA ALAT / JAM   =   ( G + P )</t>
  </si>
  <si>
    <t>S</t>
  </si>
  <si>
    <t>E.</t>
  </si>
  <si>
    <t>LAIN - LAIN</t>
  </si>
  <si>
    <t>i</t>
  </si>
  <si>
    <t>% / Tahun</t>
  </si>
  <si>
    <t>Operator Alat Berat</t>
  </si>
  <si>
    <t>U1</t>
  </si>
  <si>
    <t>Rp./Jam</t>
  </si>
  <si>
    <t>U2</t>
  </si>
  <si>
    <t>Minyak Pertalite</t>
  </si>
  <si>
    <t>Mb</t>
  </si>
  <si>
    <t>Minyak Solar (Industri)</t>
  </si>
  <si>
    <t>Ms</t>
  </si>
  <si>
    <t xml:space="preserve">       6.</t>
  </si>
  <si>
    <t>Minyak Pelumas / Oli</t>
  </si>
  <si>
    <t>Mp</t>
  </si>
  <si>
    <t xml:space="preserve">       7.</t>
  </si>
  <si>
    <t>PPN diperhitungkan pada Lembar Rekapitulasi</t>
  </si>
  <si>
    <t>Biaya Pekerjaan</t>
  </si>
  <si>
    <t>Hidraulic Static Pile Driver (HSPD 120)</t>
  </si>
  <si>
    <t>KW</t>
  </si>
  <si>
    <t xml:space="preserve">US$120.000,00 - US$390.000,00 / Set </t>
  </si>
  <si>
    <t>CRANE 10-15 TON</t>
  </si>
  <si>
    <t>E07</t>
  </si>
  <si>
    <t>WELDING SET</t>
  </si>
  <si>
    <t>Amp</t>
  </si>
  <si>
    <t>E34</t>
  </si>
  <si>
    <t>ANALISIS PRODUKTIVITAS PEMOTONGAN TIANG PANCANG</t>
  </si>
  <si>
    <t>JENIS PEKERJAAN</t>
  </si>
  <si>
    <t>SATUAN PEMBAYARAN</t>
  </si>
  <si>
    <t>BH</t>
  </si>
  <si>
    <t xml:space="preserve">         URAIAN ANALISA HARGA SATUAN</t>
  </si>
  <si>
    <t>SAT.</t>
  </si>
  <si>
    <t>I.</t>
  </si>
  <si>
    <t>ASUMSI</t>
  </si>
  <si>
    <t>Menggunakan alat (cara manual)</t>
  </si>
  <si>
    <t>Lokasi pekerjaan : di lokasi</t>
  </si>
  <si>
    <t>Tk</t>
  </si>
  <si>
    <t>jam</t>
  </si>
  <si>
    <t>Ukuran tiang pancang (Uk)</t>
  </si>
  <si>
    <t>Uk</t>
  </si>
  <si>
    <t>II.</t>
  </si>
  <si>
    <t>URUTAN KERJA</t>
  </si>
  <si>
    <t>Pemancangan tiang telah selesai</t>
  </si>
  <si>
    <t>Pemotongan/ cutting/ bobok beton dengan alat martil</t>
  </si>
  <si>
    <t>III.</t>
  </si>
  <si>
    <t>PEMAKAIAN BAHAN, ALAT DAN TENAGA</t>
  </si>
  <si>
    <t xml:space="preserve">   1.</t>
  </si>
  <si>
    <t xml:space="preserve">   2.</t>
  </si>
  <si>
    <t>ALAT</t>
  </si>
  <si>
    <t xml:space="preserve">   2.a.</t>
  </si>
  <si>
    <t>PEMOTONGAN/ CUTTING/ BOBOK  BETON TIANG</t>
  </si>
  <si>
    <t>Waktu siklus (Ts1)</t>
  </si>
  <si>
    <t>- Waktu pemotongan</t>
  </si>
  <si>
    <t>T1</t>
  </si>
  <si>
    <t>menit</t>
  </si>
  <si>
    <t>asumsi</t>
  </si>
  <si>
    <t>Ts1</t>
  </si>
  <si>
    <t>Kapasitas prod/jam =</t>
  </si>
  <si>
    <t>V1 x 60</t>
  </si>
  <si>
    <t>Q1</t>
  </si>
  <si>
    <t>m/jam</t>
  </si>
  <si>
    <t xml:space="preserve">  Ts1</t>
  </si>
  <si>
    <t xml:space="preserve">   2.b.</t>
  </si>
  <si>
    <t>ALAT  BANTU</t>
  </si>
  <si>
    <t>Diperlukan alat-alat bantu kecil</t>
  </si>
  <si>
    <t>Lump Sump</t>
  </si>
  <si>
    <t>- Alat kecil lainnya</t>
  </si>
  <si>
    <t xml:space="preserve">   3.</t>
  </si>
  <si>
    <t>Produksi menentukan :</t>
  </si>
  <si>
    <t>m'/jam</t>
  </si>
  <si>
    <t>Produksi / hari  =  Tk x Q1</t>
  </si>
  <si>
    <t>Qt</t>
  </si>
  <si>
    <t>Kebutuhan tenaga :</t>
  </si>
  <si>
    <t>- Pekerja</t>
  </si>
  <si>
    <t>orang</t>
  </si>
  <si>
    <t>- Tukang</t>
  </si>
  <si>
    <t>- Mandor</t>
  </si>
  <si>
    <t>Koefisien tenaga / M'   :</t>
  </si>
  <si>
    <t>= (Tk x P) : Qt</t>
  </si>
  <si>
    <t>= (Tk x T) : Qt</t>
  </si>
  <si>
    <t>= (Tk x M) : Qt</t>
  </si>
  <si>
    <t>IV.</t>
  </si>
  <si>
    <t>HARGA DASAR SATUAN UPAH, BAHAN DAN ALAT</t>
  </si>
  <si>
    <t>Lihat lampiran.</t>
  </si>
  <si>
    <t>V.</t>
  </si>
  <si>
    <t>ANALISA HARGA SATUAN PEKERJAAN</t>
  </si>
  <si>
    <t>ANALISIS PRODUKTIVITAS PENYAMBUNGAN TIANG PANCANG</t>
  </si>
  <si>
    <t>Menggunakan alat (cara mekanik)</t>
  </si>
  <si>
    <t>Pemakaian Kawat las dan alat Las utk penyambungan</t>
  </si>
  <si>
    <t>Pemancangan tiang pertama akan disampungkan</t>
  </si>
  <si>
    <t>dengan tiang yang ke dua</t>
  </si>
  <si>
    <t>Penyambungan dilakukan pada saat pemancangan</t>
  </si>
  <si>
    <t>Jlh Kawat Las</t>
  </si>
  <si>
    <t>0,251 kg/m x P / Deposition Efficiency</t>
  </si>
  <si>
    <t>Deposition Efficiency</t>
  </si>
  <si>
    <t>dikeluarkan masing-masing pembuat kawat las</t>
  </si>
  <si>
    <t>Faktor efesiensi alat</t>
  </si>
  <si>
    <t>Fa</t>
  </si>
  <si>
    <t>- Waktu pengelasan</t>
  </si>
  <si>
    <t>V1 x Fa x 60</t>
  </si>
  <si>
    <t xml:space="preserve">      Ts1</t>
  </si>
  <si>
    <t>Koefisien Alat / m' =</t>
  </si>
  <si>
    <t>1 : Q1</t>
  </si>
  <si>
    <t>Produksi menentukan : WELDING SET</t>
  </si>
  <si>
    <t>ANALISIS PRODUKTIVITAS PERALATAN PEMANCANGGAN</t>
  </si>
  <si>
    <t>hal. 308 permen</t>
  </si>
  <si>
    <t>hal. 313 permen</t>
  </si>
  <si>
    <t>hal. 551 permen</t>
  </si>
  <si>
    <t>Membeli Tiang Pancang jadi dari Pabrik dan diterima</t>
  </si>
  <si>
    <t>di lokasi pekerjaan</t>
  </si>
  <si>
    <t>Tiang pancang, sambungan dan sepatu sudah tersedia</t>
  </si>
  <si>
    <t>Uk.</t>
  </si>
  <si>
    <t>Posisi alat HSPD untuk setiap titik pancang mudah diseting</t>
  </si>
  <si>
    <t>Penempatan alat HSPD di lokasi pemancangan</t>
  </si>
  <si>
    <t>Seting posisi pile driver pada titik pancang</t>
  </si>
  <si>
    <t xml:space="preserve">Pemasangan tiang pancang pada pile driver
</t>
  </si>
  <si>
    <t>Pelaksanaan pemancangan dengan pile driver</t>
  </si>
  <si>
    <t>Penyambungan dengan pile berikutnya</t>
  </si>
  <si>
    <t>Jika pemancangan belum mencapai panjang design lanjutkan</t>
  </si>
  <si>
    <t>kelangkah no. 3 sampai selesai</t>
  </si>
  <si>
    <t>Vol.</t>
  </si>
  <si>
    <t>ALAT HIDRAULIC STATIC PILE DRIVER (HSPD 120)</t>
  </si>
  <si>
    <t>Kapasitas per-jam (kontinyu)</t>
  </si>
  <si>
    <t>100 s/d 150 m/hari (spesifikasi pabrik)</t>
  </si>
  <si>
    <t>m/hari</t>
  </si>
  <si>
    <t>Pemeliharaan mesin baik</t>
  </si>
  <si>
    <t>Waktu siklus per-titik pemancangan</t>
  </si>
  <si>
    <t>- Waktu membongkar &amp; reseting HSPD pada posisi pancang</t>
  </si>
  <si>
    <t>- Memasang tiang (termasuk sambungan) dan memancang</t>
  </si>
  <si>
    <t>T2</t>
  </si>
  <si>
    <t>- Lain-lain (termasuk mengatur &amp; menggeser serta menunggu)</t>
  </si>
  <si>
    <t>T3</t>
  </si>
  <si>
    <t>V1 x Fa x T2</t>
  </si>
  <si>
    <t>- Alat ukur (theodolit/total station)</t>
  </si>
  <si>
    <t>- Rantai/ sling baja</t>
  </si>
  <si>
    <t>Produksi menentukan : ALAT HSPD</t>
  </si>
  <si>
    <t>m'/hari</t>
  </si>
  <si>
    <t>- Pekerja (bantu proses pemancangan)</t>
  </si>
  <si>
    <t>- Tukang pancang</t>
  </si>
  <si>
    <t xml:space="preserve">Mobilisasi dan Demobilisasi Peralatan Konstruksi dan Sumber Daya </t>
  </si>
  <si>
    <t>1 Ls</t>
  </si>
  <si>
    <t>Jenis Alat</t>
  </si>
  <si>
    <t>Menggunakan Trailer</t>
  </si>
  <si>
    <t>Jumlah Total</t>
  </si>
  <si>
    <t>Penyediaan Tiang Pancang Beton Bertulang K 400 uk. 25 x 25 cm</t>
  </si>
  <si>
    <t>1 m'</t>
  </si>
  <si>
    <t>Tenaga Kerja</t>
  </si>
  <si>
    <t>orang/jam</t>
  </si>
  <si>
    <t>Tiang pancang beton bertulang pracetak</t>
  </si>
  <si>
    <t>K 400 uk. 25 x 25 cm</t>
  </si>
  <si>
    <t>Crane</t>
  </si>
  <si>
    <t>Welding Set</t>
  </si>
  <si>
    <t>ANALISIS HARGA SATUAN PEKERJAAN TIANG PANCANG</t>
  </si>
  <si>
    <t>UPAH  /HARI               (Rp.)</t>
  </si>
  <si>
    <t>UPAH  /JAM                 (Rp.)</t>
  </si>
  <si>
    <t>Sewa Alat</t>
  </si>
  <si>
    <t>Total Timbunan Area Bangunan</t>
  </si>
  <si>
    <t>J</t>
  </si>
  <si>
    <t>Pintu Type P2</t>
  </si>
  <si>
    <t>Dinding Utuh</t>
  </si>
  <si>
    <t>PEKERJAAN PLAFON</t>
  </si>
  <si>
    <t>Jumlah Sub Total D-V</t>
  </si>
  <si>
    <t>Pagar Pengaman Proyek</t>
  </si>
  <si>
    <t>Seng Gelombang BJLS 0,20</t>
  </si>
  <si>
    <t>Kayu Klas III</t>
  </si>
  <si>
    <t>Pagar proyek</t>
  </si>
  <si>
    <t>BACKUP VOLUME LANTAI 1</t>
  </si>
  <si>
    <t>BACKUP VOLUME LANTAI 2</t>
  </si>
  <si>
    <t>Jendela Type J.1</t>
  </si>
  <si>
    <t>PDA Test</t>
  </si>
  <si>
    <t>titik</t>
  </si>
  <si>
    <t>Jumlah Sub Total D-VI</t>
  </si>
  <si>
    <t>Pembesian sengkang</t>
  </si>
  <si>
    <t>Kayu Klas II</t>
  </si>
  <si>
    <t>Pembesian Sengkang</t>
  </si>
  <si>
    <t>Pemasangan Plafond Gybsum boar ex. Jaya board tbl. 9 mm</t>
  </si>
  <si>
    <t>ANALISA HITUNG</t>
  </si>
  <si>
    <t>Alat Bantu</t>
  </si>
  <si>
    <t>Kepala tukang</t>
  </si>
  <si>
    <t>Floor Hardener</t>
  </si>
  <si>
    <t xml:space="preserve">1 m2 Finishing Floor Hardener 4kg/m2 </t>
  </si>
  <si>
    <t>Semen Ps</t>
  </si>
  <si>
    <t>Dihitung 5</t>
  </si>
  <si>
    <t>Dihitung 6</t>
  </si>
  <si>
    <t>Alat bantu</t>
  </si>
  <si>
    <t>Direksi Ket</t>
  </si>
  <si>
    <t>Besi D-19 Arah X (SB=5 cm )</t>
  </si>
  <si>
    <t>Besi D-19 Arah Y (SB=5 cm )</t>
  </si>
  <si>
    <t>Tulangan D-13 (Tumpuan)</t>
  </si>
  <si>
    <t>Tulangan D-13 (lapangan)</t>
  </si>
  <si>
    <t>Pengujian PDA Test</t>
  </si>
  <si>
    <t>Oh</t>
  </si>
  <si>
    <t>Lokasi                : Jalan TGK. H. M. Daud Beureueh Nomor 20 Banda Aceh</t>
  </si>
  <si>
    <t xml:space="preserve">Tahun               : 2020  </t>
  </si>
  <si>
    <t>Papan Nama Proyek + rangka kayu</t>
  </si>
  <si>
    <t>Dihitung 1</t>
  </si>
  <si>
    <t>Dihitung 8</t>
  </si>
  <si>
    <t>Dihitung 9</t>
  </si>
  <si>
    <t>Dihitung 10</t>
  </si>
  <si>
    <t>Dihitung 11</t>
  </si>
  <si>
    <t>Dihitung 12</t>
  </si>
  <si>
    <t>Dihitung 13</t>
  </si>
  <si>
    <t>Tukang Pintu</t>
  </si>
  <si>
    <t>A.2.2.1.5</t>
  </si>
  <si>
    <t>Dolken Kayu diameter 8-10/400 cm</t>
  </si>
  <si>
    <t>Kayu</t>
  </si>
  <si>
    <t>Besi Strip</t>
  </si>
  <si>
    <t>Koral Beton</t>
  </si>
  <si>
    <t>Bata Merah</t>
  </si>
  <si>
    <t>Seng Plat</t>
  </si>
  <si>
    <t>Jendela Naco</t>
  </si>
  <si>
    <t>Kunci Tanam</t>
  </si>
  <si>
    <t>Plywood 4mm</t>
  </si>
  <si>
    <t>A.2.2.1.7</t>
  </si>
  <si>
    <t>Pembuatan 1 m² gudang semen dan peralatan</t>
  </si>
  <si>
    <t>Dolken Kayu diameter φ 8 -10 / 400 cm</t>
  </si>
  <si>
    <t>Paku biasa</t>
  </si>
  <si>
    <t>Koral beton</t>
  </si>
  <si>
    <t>Seng Gelombang</t>
  </si>
  <si>
    <t>Seng Pelat</t>
  </si>
  <si>
    <t>A.2.2.1.8</t>
  </si>
  <si>
    <t>Dolken Kayu diameter 8-10 / 400 cm</t>
  </si>
  <si>
    <t>Gudang Bahan dan Peralatan</t>
  </si>
  <si>
    <t>Bahan-bahan beton Pabrikan</t>
  </si>
  <si>
    <t>Papan Nama Proyek + Rangka Terpasang</t>
  </si>
  <si>
    <t>Pembuatan Prosedur dan Instruksi Kerja</t>
  </si>
  <si>
    <t>Penyiapan Formulir</t>
  </si>
  <si>
    <t>Intruksi K3</t>
  </si>
  <si>
    <t>Pengarahan K3</t>
  </si>
  <si>
    <t>Pelatihan K3</t>
  </si>
  <si>
    <t>Simulasi K3</t>
  </si>
  <si>
    <t>Spanduk</t>
  </si>
  <si>
    <t>Poster</t>
  </si>
  <si>
    <t>- Bekerja di ketinggian</t>
  </si>
  <si>
    <t>Tali Keselamatan (Safety Line)</t>
  </si>
  <si>
    <t>Jaring Pengaman</t>
  </si>
  <si>
    <t>Pagar Pengaman</t>
  </si>
  <si>
    <t>Pembatas Area</t>
  </si>
  <si>
    <t>Topi Pelindung</t>
  </si>
  <si>
    <t>Pelindung Mata</t>
  </si>
  <si>
    <t>Tameng Muka</t>
  </si>
  <si>
    <t>Pelindung Pernapasan dan Mulut (Masker)</t>
  </si>
  <si>
    <t>Sarung Tangan</t>
  </si>
  <si>
    <t>Sepatu Keselamatan</t>
  </si>
  <si>
    <t>Penunjang Seluruh Tubuh</t>
  </si>
  <si>
    <t>Rompi Keselamatan</t>
  </si>
  <si>
    <t>Celemek</t>
  </si>
  <si>
    <t>Pelindung Jatuh</t>
  </si>
  <si>
    <t>Asuransi BPJS Kesehatan</t>
  </si>
  <si>
    <t>Ahli K3 Konstruksi</t>
  </si>
  <si>
    <t>Tenaga Ahli Struktur</t>
  </si>
  <si>
    <t>Tenaga Ahli Arsitektur</t>
  </si>
  <si>
    <t>Tenaga Ahli MEP</t>
  </si>
  <si>
    <t>Konsultasi Tenaga Ahli</t>
  </si>
  <si>
    <t>Peralatan P3K (Kotak P3K, Tandu, Obat Luka, Perban, dll)</t>
  </si>
  <si>
    <t>Peralatan Pengasapan</t>
  </si>
  <si>
    <t>Rambu Rambu yang diperlukan</t>
  </si>
  <si>
    <t>Rambu Petunjuk</t>
  </si>
  <si>
    <t>Rambu Larangan</t>
  </si>
  <si>
    <t>Rambu Peringatan</t>
  </si>
  <si>
    <t>Rambu Kewajiban</t>
  </si>
  <si>
    <t>Rambu Informasi</t>
  </si>
  <si>
    <t>Jalur Evakuasi</t>
  </si>
  <si>
    <t>Alat Pemadam Api Ringan (APAR)</t>
  </si>
  <si>
    <t>Bendera K3</t>
  </si>
  <si>
    <t>Program Inspeksi</t>
  </si>
  <si>
    <t>Pembuatan Kartu Identitas Pekerja (KIP)</t>
  </si>
  <si>
    <t>Termometer pendeteksi Covid 19 (corona)</t>
  </si>
  <si>
    <t>Hand Sanitizer (isi 1 liter)</t>
  </si>
  <si>
    <t>Sprayer Disinfectant (tanki semprot sistem gendong)</t>
  </si>
  <si>
    <t>Cairan disinfektan</t>
  </si>
  <si>
    <t>ltr</t>
  </si>
  <si>
    <t>Bilik Chamber</t>
  </si>
  <si>
    <t>Pemasangan Plafond Gybsum board ex. Jaya board tbl. 9 mm</t>
  </si>
  <si>
    <t>Pengecatan bidang tembok interior (Jotun Jotaplast)</t>
  </si>
  <si>
    <t>Pengecatan langit-langit (Jotun Jotaplast)</t>
  </si>
  <si>
    <t>Pengecatan bidang tembok eksterior (Jotun weathershield)</t>
  </si>
  <si>
    <t xml:space="preserve">Reling tangga Pipa Galvanis </t>
  </si>
  <si>
    <t xml:space="preserve">Rambu Rambu </t>
  </si>
  <si>
    <t>Alat Pelindung Kerja dan Alat Pelindung  Diri</t>
  </si>
  <si>
    <t>K3 Pencegahan COVID 19 (CORONA)</t>
  </si>
  <si>
    <t>Pondasi P-2</t>
  </si>
  <si>
    <t>Besi D-10 Arah X (SB=4 cm)</t>
  </si>
  <si>
    <t>Besi D-10 Arah Y (SB=4 cm)</t>
  </si>
  <si>
    <t>Besi D-10</t>
  </si>
  <si>
    <t>Pintu Type P1</t>
  </si>
  <si>
    <t>Jendela Type J2</t>
  </si>
  <si>
    <t>Pemasangan Rangka Furing Plafond (ketebalan 0,3mm)</t>
  </si>
  <si>
    <t>Tangga Depan</t>
  </si>
  <si>
    <t>Besi D-13</t>
  </si>
  <si>
    <t>Wiremesh m6 (1 Lapis)</t>
  </si>
  <si>
    <t>Railing Tangga Belakang Pipa Galvanis Finsh. Cat minyak (Avian)</t>
  </si>
  <si>
    <t>Kolom</t>
  </si>
  <si>
    <t>&lt;=== Bahasa &lt;1&gt; Indonesia, &lt;2&gt; Inggris</t>
  </si>
  <si>
    <t xml:space="preserve">Pekerjaan          : </t>
  </si>
  <si>
    <t>Bedeng Pekerja</t>
  </si>
  <si>
    <t>Listrik &amp; Air Kerja</t>
  </si>
  <si>
    <t>Biaya SMK 3</t>
  </si>
  <si>
    <t>Rabat Beton</t>
  </si>
  <si>
    <t>Urugan Pasir di bawah Pondasi</t>
  </si>
  <si>
    <t>Urugan Tanah Kembali Bekas Galian</t>
  </si>
  <si>
    <t>Urugan Tanah Peninggian Lantai Dipadatkan</t>
  </si>
  <si>
    <t>Pas. Batu Kali</t>
  </si>
  <si>
    <t>K1</t>
  </si>
  <si>
    <t>Kolom 40x40 Cm (K1)</t>
  </si>
  <si>
    <t>Balok 25x50 Cm (B1)</t>
  </si>
  <si>
    <t>Tonase besi Utama</t>
  </si>
  <si>
    <t>Tonase besi sengkang</t>
  </si>
  <si>
    <t xml:space="preserve">Tonase besi </t>
  </si>
  <si>
    <t>Pemasangan Plafond Gybsum board tbl. 9 mm</t>
  </si>
  <si>
    <t xml:space="preserve">Pemasangan Rangka Furing Plafond </t>
  </si>
  <si>
    <t>Pekerjaan Benangan Lobang Kusen Alumunium</t>
  </si>
  <si>
    <t xml:space="preserve">Urugan Pasir di bawah Pondasi </t>
  </si>
  <si>
    <t xml:space="preserve">Dinding Kramik Uk. (40 x 40) Cm polished </t>
  </si>
  <si>
    <t>Teras depan</t>
  </si>
  <si>
    <t>Tangga</t>
  </si>
  <si>
    <t>Plafond</t>
  </si>
  <si>
    <t>Acian tangga</t>
  </si>
  <si>
    <t>Railiing Tangga 1</t>
  </si>
  <si>
    <t>Pengecatan Minyak bidang besi dan Kayu (Avian)</t>
  </si>
  <si>
    <t>Kusen Kayu</t>
  </si>
  <si>
    <t>- Handle Silinder Stainless Steel Panjang 60 Cm</t>
  </si>
  <si>
    <t>- Frame Alumunium U 14 mm</t>
  </si>
  <si>
    <t>- Tempered 12 mm</t>
  </si>
  <si>
    <t>- Engsel Tanam ex. Dexton</t>
  </si>
  <si>
    <t>- Fitting Kaca Mati Stainless Steel ex.Dexton</t>
  </si>
  <si>
    <t>- Fitting Pintu Stainless Steel ex. Dexton</t>
  </si>
  <si>
    <t>- Engsel Pintu 4 inc</t>
  </si>
  <si>
    <t>- Door Stoop</t>
  </si>
  <si>
    <t>Tipe 1</t>
  </si>
  <si>
    <t>Tipe 2</t>
  </si>
  <si>
    <t>Tipe 3</t>
  </si>
  <si>
    <t>Tipe 4</t>
  </si>
  <si>
    <t>Tipe 5</t>
  </si>
  <si>
    <t>- Kusen Kayu kelas 1</t>
  </si>
  <si>
    <t>sisi kiri</t>
  </si>
  <si>
    <t>sisi kanan</t>
  </si>
  <si>
    <t>sisi belakang</t>
  </si>
  <si>
    <t>Tipe 6</t>
  </si>
  <si>
    <t>Jendela Type J1</t>
  </si>
  <si>
    <t>Jendela Type J.2</t>
  </si>
  <si>
    <t>daun pintu</t>
  </si>
  <si>
    <t xml:space="preserve">Membran Water Proofing </t>
  </si>
  <si>
    <t>ramp</t>
  </si>
  <si>
    <t>Bawah Lantai</t>
  </si>
  <si>
    <t>Elektroda massa ( Type Water Level Control )</t>
  </si>
  <si>
    <t>Instalasi Pipa Air Bersih Pipa PPR PN 10.</t>
  </si>
  <si>
    <t>Dia. 20 mm (1/2")</t>
  </si>
  <si>
    <t xml:space="preserve">Gate Valve Dia 15 mm (1/2") </t>
  </si>
  <si>
    <t>Instalasi Pipa Air kotor dan bekas pipa PVC class AW 10 kg/cm3.</t>
  </si>
  <si>
    <t>Dia. 150 mm (6") tinja</t>
  </si>
  <si>
    <t>Dia. 150 mm (6") Air kotor</t>
  </si>
  <si>
    <t>Dia. 100 mm (4") Air hujan</t>
  </si>
  <si>
    <t>Kloset Jongkok porselin</t>
  </si>
  <si>
    <t>Kran air Stainless staill 1/2 inc</t>
  </si>
  <si>
    <t xml:space="preserve">Floor Drain Stainless staill </t>
  </si>
  <si>
    <t>Septiktank  &amp; Resapan</t>
  </si>
  <si>
    <t xml:space="preserve">- Galian Tanah </t>
  </si>
  <si>
    <t>- Pasangan Batu-Bata 1 : 4</t>
  </si>
  <si>
    <t>- Plasteran 1 : 2 Tebal 1,5 cm</t>
  </si>
  <si>
    <t>- Beton mutu f'c=14,5 Mpa (K 175) Lantai dan Cover</t>
  </si>
  <si>
    <t>- Pembesian dengan Besi Polos</t>
  </si>
  <si>
    <t>- Bekisting plat</t>
  </si>
  <si>
    <t>- Pipa Hawa</t>
  </si>
  <si>
    <t>- Pipa PVC 4 Inc Berlobang 4 inc</t>
  </si>
  <si>
    <t>- Lapisan ijuk</t>
  </si>
  <si>
    <t>- Kerikil</t>
  </si>
  <si>
    <t>PEKERJAAN ELEKTRIKAL</t>
  </si>
  <si>
    <t>* Biaya penyambungan baru 41500 VA ; 3 Ph</t>
  </si>
  <si>
    <t>* Uang jaminan listrik ( UJL ) 41500 VA</t>
  </si>
  <si>
    <t>* Sertifikat Laik Operasi</t>
  </si>
  <si>
    <t>* Biaya Administrasi</t>
  </si>
  <si>
    <t>PANEL</t>
  </si>
  <si>
    <t>Sub Distribution Panel ( SDP ) Lantai 1</t>
  </si>
  <si>
    <t>KABEL</t>
  </si>
  <si>
    <t>PEKERJAAN GROUNDING SYSTEM ARUS KUAT</t>
  </si>
  <si>
    <t>SISTEM PENERANGAN</t>
  </si>
  <si>
    <t>Saklar tunggal</t>
  </si>
  <si>
    <t xml:space="preserve">Saklar double </t>
  </si>
  <si>
    <t>INSTALASI KABEL</t>
  </si>
  <si>
    <t>Pekerjaan Jaringan Distribusi dan KWH Meter</t>
  </si>
  <si>
    <t>Penarikan kabel grounding BC 35 mm dari MDP ke box grounding</t>
  </si>
  <si>
    <t>Grounding system max  5 ohm</t>
  </si>
  <si>
    <t>- Kabel BC 35 mm</t>
  </si>
  <si>
    <t>- CU bars 50 x 10 mm</t>
  </si>
  <si>
    <t>- splitzen</t>
  </si>
  <si>
    <t>- Pengeboran sumur grounding</t>
  </si>
  <si>
    <t>Kabel dari Box APP PLN ke MDP NYY 4 x 35 mm</t>
  </si>
  <si>
    <t>Kabel dari MDP ke SDP lantai 1  NYY 4 x 10 mm + BC 10 mm.</t>
  </si>
  <si>
    <t xml:space="preserve">Instalasi Penerangan kabel NYM 3 x 1,5 mm dalam pipa counduit high impact </t>
  </si>
  <si>
    <t>Instalasi saklar kabel NYM 3 x 1,5 mm dalam pipa counduit high impact</t>
  </si>
  <si>
    <t>Instalasi stopkontak kabel NYM 3  x 2,5 mm dalam pipa counduit</t>
  </si>
  <si>
    <t xml:space="preserve">Fiting duduk + bola Lampu essential LED 5 watt </t>
  </si>
  <si>
    <t xml:space="preserve">Fiting duduk + bola Lampu essential  LED 15 watt </t>
  </si>
  <si>
    <t>Fiting duduk + bola Lampu essential AC/DC  LED 15 watt (emergency )</t>
  </si>
  <si>
    <t>Saklar triple</t>
  </si>
  <si>
    <t>Dia. 40 mm (1 1/4")</t>
  </si>
  <si>
    <t>Dia. 32 mm (1")</t>
  </si>
  <si>
    <t>Dia. 25 mm (3/4")</t>
  </si>
  <si>
    <t>Gate Valve Dia 40 mm (1 1/4") brass kitz</t>
  </si>
  <si>
    <t>VIII</t>
  </si>
  <si>
    <t>Jumlah Sub Total C-VIII</t>
  </si>
  <si>
    <t>Sub Distribution Panel ( SDP ) Lantai 2</t>
  </si>
  <si>
    <t>Kabel dari MDP SDP ke panel SDP lantai 2  NYY 4 x 10 mm + BC 10 mm.</t>
  </si>
  <si>
    <t>Instalasi Penerangan kabel NYM 3 x 1,5 mm dalam pipa counduit high impact</t>
  </si>
  <si>
    <t>Instalasi stopkontak kabel NYM 3  x 2,5 mm dalam pipa counduit high impact</t>
  </si>
  <si>
    <t>Jumlah Sub Total D-VIII</t>
  </si>
  <si>
    <t>Sub Distribution Panel ( SDP ) Lantai 3</t>
  </si>
  <si>
    <t>Kabel dari MDP SDP ke panel SDP lantai 3  NYY 4 x 10 mm + BC 10 mm.</t>
  </si>
  <si>
    <t>Roof Drain Stainless Stell</t>
  </si>
  <si>
    <t>Lot</t>
  </si>
  <si>
    <t>st 1</t>
  </si>
  <si>
    <t>st 2</t>
  </si>
  <si>
    <t>arak x</t>
  </si>
  <si>
    <t>Va</t>
  </si>
  <si>
    <t>Sub Distribution Panel ( SDP ) Lantai Atap</t>
  </si>
  <si>
    <t>Panel power pompa booster ( Panel type Outdoor )</t>
  </si>
  <si>
    <t>Dekoratif GRC pada pasade</t>
  </si>
  <si>
    <t>Kayu  Balok 5/7 kelas III</t>
  </si>
  <si>
    <t>Kayu Papan 3/20 kelas III</t>
  </si>
  <si>
    <t>Overhead &amp; Profit (0% x C)</t>
  </si>
  <si>
    <t>A.2.3.1.2</t>
  </si>
  <si>
    <t>Penggalian 1 m³ tanah biasa sedalam 2m</t>
  </si>
  <si>
    <t>- Daun Pintu Kayu panel kelas II</t>
  </si>
  <si>
    <t>- Kunci Tanam ex. Ses</t>
  </si>
  <si>
    <t xml:space="preserve">Kaca Bening 5 mm </t>
  </si>
  <si>
    <t>- Grendel Pintu 8 Inc Stainless Stail</t>
  </si>
  <si>
    <t>Pemasangan 1 m2 water proofing membran bakar</t>
  </si>
  <si>
    <t>Membran water proofing</t>
  </si>
  <si>
    <t>Batu Gunung</t>
  </si>
  <si>
    <t>Kayu Olahan Bekisting</t>
  </si>
  <si>
    <t>Kayu Klas I</t>
  </si>
  <si>
    <t>Tripleks 4 mm</t>
  </si>
  <si>
    <t>Tripleks 9 mm</t>
  </si>
  <si>
    <t>Tripleks tebal 9 mm</t>
  </si>
  <si>
    <t>Kaca Polos 5 mm</t>
  </si>
  <si>
    <t xml:space="preserve">Kunci dan Aksesoris ex. Ses </t>
  </si>
  <si>
    <t>Pengecatan bidang tembok interior (super vinilex)</t>
  </si>
  <si>
    <t>Seng Plat bjls tbl 0.30</t>
  </si>
  <si>
    <t>PK.Elek.01</t>
  </si>
  <si>
    <t>Pasang 1 Titik Instalasi Titik Lampu dengan Kabel NYM 3x 1,5  mm</t>
  </si>
  <si>
    <t>Koefesien</t>
  </si>
  <si>
    <t>Harga Sat. Bahan                       ( Rp. )</t>
  </si>
  <si>
    <t>Jumlah Harga          ( Rp. )</t>
  </si>
  <si>
    <t>Tukang Listrik</t>
  </si>
  <si>
    <t xml:space="preserve">BAHAN </t>
  </si>
  <si>
    <t>Kabel NYM 3x1,5 mm</t>
  </si>
  <si>
    <t>Conduit</t>
  </si>
  <si>
    <t>Jumlah ( A+B+C)</t>
  </si>
  <si>
    <t>Overhead &amp; Profit (15%)</t>
  </si>
  <si>
    <t>Harga Satuan Pekerjaan  (D+E)</t>
  </si>
  <si>
    <t>Dibulatkan</t>
  </si>
  <si>
    <t>PK.Elek.02</t>
  </si>
  <si>
    <t>Pasang 1 Titik Instalasi saklar dengan Kabel NYM 3 x 1,5  mm</t>
  </si>
  <si>
    <t>PK.Elek.03</t>
  </si>
  <si>
    <t>Pasang 1 Titik Instalasi Titik Stop Kontak dengan Kabel NYM 3 x 2,5  mm</t>
  </si>
  <si>
    <t>Kabel NYM 3x2,5 mm</t>
  </si>
  <si>
    <t>PK.Elek.05</t>
  </si>
  <si>
    <t>Pasang 1 Meter instalasi power kabel NYM 3 x 2,5 mm</t>
  </si>
  <si>
    <t>PK.Elek.10</t>
  </si>
  <si>
    <t>Menarik  1 meter kabel NYY 4 x 35 mm c/w BC 25 mm</t>
  </si>
  <si>
    <t>L1</t>
  </si>
  <si>
    <t>L2</t>
  </si>
  <si>
    <t>L3</t>
  </si>
  <si>
    <t>L4</t>
  </si>
  <si>
    <t>Alat bantu ( scoon,coundom,isolasi)</t>
  </si>
  <si>
    <t>PK.Elek.11</t>
  </si>
  <si>
    <t>Menarik  1 meter kabel NYY 4 x 25 mm c/w BC 25 mm</t>
  </si>
  <si>
    <t>Kabel BC dia.25 mm</t>
  </si>
  <si>
    <t>PK.Elek.12</t>
  </si>
  <si>
    <t>Menarik  1 meter kabel NYY 4 x 16 mm c/w BC 16 mm</t>
  </si>
  <si>
    <t>Kabel NYY 4 x 16 mm</t>
  </si>
  <si>
    <t>Kabel BC dia.16 mm</t>
  </si>
  <si>
    <t>PK.Elek.13</t>
  </si>
  <si>
    <t>Menarik  1 meter kabel NYY 4 x 10 mm c/w BC 10 mm</t>
  </si>
  <si>
    <t>Kabel NYY 4 x 10 mm</t>
  </si>
  <si>
    <t>Kabel BC dia.10 mm</t>
  </si>
  <si>
    <t>PK.Elek.14</t>
  </si>
  <si>
    <t>Menarik  1 meter kabel NYY 4 x 10 mm c/w kabel BC 10 mm</t>
  </si>
  <si>
    <t>Kbel BC 10 mm</t>
  </si>
  <si>
    <t>PK.Elek.15</t>
  </si>
  <si>
    <t>Menarik  1 meter kabel NYY 4 x 6 mm c/w BC 6 mm</t>
  </si>
  <si>
    <t>Kabel NYY 4 x 6 mm</t>
  </si>
  <si>
    <t>Kabel BC dia.6 mm</t>
  </si>
  <si>
    <t>PK.Elek.16</t>
  </si>
  <si>
    <t xml:space="preserve">Menarik  1 meter kabel NYY 4 x 6 mm </t>
  </si>
  <si>
    <t>PK.Elek.17</t>
  </si>
  <si>
    <t xml:space="preserve">Menarik  1 meter kabel NYY 4 x 4 mm </t>
  </si>
  <si>
    <t>Kabel NYY 4 x 4 mm</t>
  </si>
  <si>
    <t>PK.Elek.23</t>
  </si>
  <si>
    <t xml:space="preserve">Menarik  1 meter kabel NYFGby 3 x 2,5 mm </t>
  </si>
  <si>
    <t>Kabel NYFGby 3 x 2,5 mm</t>
  </si>
  <si>
    <t>PK.Elek.24</t>
  </si>
  <si>
    <t>Menarik  1 meter kabel NYY 3 x 2,5 mm</t>
  </si>
  <si>
    <t>PK.Elek.25</t>
  </si>
  <si>
    <t>Menarik  1 meter kabel NYYHY 3 x 1,5 mm</t>
  </si>
  <si>
    <t>PK.Elek.26</t>
  </si>
  <si>
    <t>Memasang  1 buah elektroda massa</t>
  </si>
  <si>
    <t>Elektroda massa</t>
  </si>
  <si>
    <t>PK.Elek.27</t>
  </si>
  <si>
    <t>Menarik  1 meter kabel NYM 3 x 2,5 mm</t>
  </si>
  <si>
    <t>Kabel NYM 3 x 2,5 mm</t>
  </si>
  <si>
    <t>Pipa counduit</t>
  </si>
  <si>
    <t>PK.Elek.28</t>
  </si>
  <si>
    <t>Menarik  1 meter kabel NYM 4 x 2,5 mm</t>
  </si>
  <si>
    <t>PK.Elek.30</t>
  </si>
  <si>
    <t xml:space="preserve">Pasang 1 Buah Stop Kontak </t>
  </si>
  <si>
    <t>Stop kontak</t>
  </si>
  <si>
    <t>PK.Elek.31</t>
  </si>
  <si>
    <t>Pasang 1 Buah Stop Kontak  outdoor</t>
  </si>
  <si>
    <t>Stop kontak outdoor</t>
  </si>
  <si>
    <t>PK.Elek.32</t>
  </si>
  <si>
    <t xml:space="preserve">Pasang 1 Buah Saklar Tunggal </t>
  </si>
  <si>
    <t>PK.Elek.33</t>
  </si>
  <si>
    <t>Pasang 1 Buah Saklar ganda / double</t>
  </si>
  <si>
    <t>Saklar Ganda / double</t>
  </si>
  <si>
    <t>PK.Elek.34</t>
  </si>
  <si>
    <t>Pasang 1 Buah Saklar Triple</t>
  </si>
  <si>
    <t>PK.Elek.35</t>
  </si>
  <si>
    <t>Pasang 1 Buah Saklar hotel</t>
  </si>
  <si>
    <t>saklar hotel</t>
  </si>
  <si>
    <t>PK.Elek.36</t>
  </si>
  <si>
    <t>Pasang 1 Buah Stopkontak AC</t>
  </si>
  <si>
    <t>stopkontak AC</t>
  </si>
  <si>
    <t>ARMATURE LAMPU</t>
  </si>
  <si>
    <t>PK.arm.01</t>
  </si>
  <si>
    <t>Pasang 1 buah Lampu plafon LED 5 watt</t>
  </si>
  <si>
    <t>L01</t>
  </si>
  <si>
    <t>L02</t>
  </si>
  <si>
    <t>L03</t>
  </si>
  <si>
    <t>L04</t>
  </si>
  <si>
    <t>Bola lampu Esssential LED 5 watt</t>
  </si>
  <si>
    <t>Fiting duduk</t>
  </si>
  <si>
    <t>PK.arm.02</t>
  </si>
  <si>
    <t>Pasang 1 buah Lampu plafon LED 15 watt</t>
  </si>
  <si>
    <t>PK.arm.03</t>
  </si>
  <si>
    <t>Pasang 1 buah Lampu plafon AC/DC LED 15 watt</t>
  </si>
  <si>
    <t>Harga Sat. Bahan ( Rp. )</t>
  </si>
  <si>
    <t>Aksesoris</t>
  </si>
  <si>
    <t>HARGA (Rp)</t>
  </si>
  <si>
    <t>URAIAN / JENIS BAHAN BANGUNAN</t>
  </si>
  <si>
    <t>BAHAN - HAHAN PERPIPAAN</t>
  </si>
  <si>
    <t>PIPA PPR PN 10</t>
  </si>
  <si>
    <t xml:space="preserve">Pipa PPR PN 10 Ø 1/2" </t>
  </si>
  <si>
    <t xml:space="preserve">Pipa PPR PN 10 Ø 3/4" </t>
  </si>
  <si>
    <t xml:space="preserve">Pipa PPR PN 10 Ø 1" </t>
  </si>
  <si>
    <t xml:space="preserve">Pipa PPR PN 10 Ø 1 1/4" </t>
  </si>
  <si>
    <t xml:space="preserve">Pipa PPR PN 10 Ø 1 1/2" </t>
  </si>
  <si>
    <t xml:space="preserve">Pipa PPR PN 10 Ø 2" </t>
  </si>
  <si>
    <t xml:space="preserve">Pipa PPR PN 10 Ø 2 1/2" </t>
  </si>
  <si>
    <t xml:space="preserve">Pipa PPR PN 10 Ø 3" </t>
  </si>
  <si>
    <t xml:space="preserve">Pipa PPR PN 10 Ø 4" </t>
  </si>
  <si>
    <t>PIPA PPR PN 20</t>
  </si>
  <si>
    <t>Tangki air panas</t>
  </si>
  <si>
    <t xml:space="preserve">POMPA DAN ROOFTANK </t>
  </si>
  <si>
    <t>Pompa transfer</t>
  </si>
  <si>
    <t>Kabel WLC NYMhy 3 x 1,5 mm</t>
  </si>
  <si>
    <t>Roof tank febeer glass plastic kap. 5 m3</t>
  </si>
  <si>
    <t>Pompa booster</t>
  </si>
  <si>
    <t>Clean Out Dia. 100 mm ( 4" )</t>
  </si>
  <si>
    <t>Roof drain</t>
  </si>
  <si>
    <t>Stop kran / gate valve</t>
  </si>
  <si>
    <t xml:space="preserve">Stop kran / gate valve Ø 1/2" </t>
  </si>
  <si>
    <t xml:space="preserve">Stop kran / gate valve Ø 3/4" </t>
  </si>
  <si>
    <t xml:space="preserve">Stop kran / gate valve Ø 1 " </t>
  </si>
  <si>
    <t>Check valve Ø 1" Brass</t>
  </si>
  <si>
    <t>Foot valve Ø 1" Brass</t>
  </si>
  <si>
    <t xml:space="preserve">Stop kran / gate valve Ø 1 1/4" </t>
  </si>
  <si>
    <t>Check valve Ø 1 1/4" Brass</t>
  </si>
  <si>
    <t>Foot valve Ø 1 1/4" Brass</t>
  </si>
  <si>
    <t>Stop kran / gate valve Ø 1 1/2" screw</t>
  </si>
  <si>
    <t>Stop kran / gate valve Ø 2" screw</t>
  </si>
  <si>
    <t>Stop kran / gate valve Ø 2" flange</t>
  </si>
  <si>
    <t>Strainer Ø 2 " Brass</t>
  </si>
  <si>
    <t>Flexible joint dia. 2 "</t>
  </si>
  <si>
    <t>Check valve 1 1/2"</t>
  </si>
  <si>
    <t xml:space="preserve">Stop kran / gate valve Ø 1 " PVC </t>
  </si>
  <si>
    <t>Strainer Ø 1 1/2 " Brass</t>
  </si>
  <si>
    <t>Foot valve Ø 1 1/2" Brass</t>
  </si>
  <si>
    <t>PIPA PVC CLASS AW</t>
  </si>
  <si>
    <t>Pipa PVC Tipe AW Ø 1 1/2" setara Wavin</t>
  </si>
  <si>
    <t>Pipa PVC Tipe AW Ø 2" setara Wavin</t>
  </si>
  <si>
    <t>Pipa PVC Tipe AW Ø 3" setara Wavin</t>
  </si>
  <si>
    <t>Pipa PVC Tipe AW Ø 4" setara Wavin</t>
  </si>
  <si>
    <t>Pipa PVC Tipe AW Ø 6" setara Wavin</t>
  </si>
  <si>
    <t>Pipa PVC Tipe D Ø 4" setara Wavin</t>
  </si>
  <si>
    <t>Pipa PVC Tipe D Ø 6" setara Wavin</t>
  </si>
  <si>
    <t>Pipa PVC Tipe D Ø 2" setara Wavin</t>
  </si>
  <si>
    <t>LISTRIK / ACSESORIES</t>
  </si>
  <si>
    <t>Armature</t>
  </si>
  <si>
    <t>Bola Lampu essential LED 5 watt</t>
  </si>
  <si>
    <t>Bola Lampu essential LED 15 watt</t>
  </si>
  <si>
    <t>Bola Lampu essential AC/DC LED 15 watt ( emergency )</t>
  </si>
  <si>
    <t>Kabel</t>
  </si>
  <si>
    <t>Kabel Listrik NYA 2 Ø 1,5 mm</t>
  </si>
  <si>
    <t>Kabel Listrik NYA 3 Ø 1,5 mm</t>
  </si>
  <si>
    <t>Kabel NYM 2 x 1,5 mm</t>
  </si>
  <si>
    <t>Kabel NYM 2 x 2,5 mm</t>
  </si>
  <si>
    <t>Kabel NYM 3 x 1,5 mm</t>
  </si>
  <si>
    <t>Kabel NYM 3 x 4 mm</t>
  </si>
  <si>
    <t>Kabel NYM 4 x 2,5 mm</t>
  </si>
  <si>
    <t>Kabel NYM 4 x 4 mm</t>
  </si>
  <si>
    <t>Kabel NYM 4 x 6 mm</t>
  </si>
  <si>
    <t>Kabel listrik NYY 4 x 35 mm</t>
  </si>
  <si>
    <t>Kabel listrik NYY 4 x 25 mm</t>
  </si>
  <si>
    <t>Kabel listrik NYY 4 x 16 mm</t>
  </si>
  <si>
    <t>Kabel listrik NYY 4 x 10 mm</t>
  </si>
  <si>
    <t>Kabel listrik NYY 4 x 6 mm</t>
  </si>
  <si>
    <t>Kabel listrik NYY 4 x 4 mm</t>
  </si>
  <si>
    <t>Kabel listrik NYFGby 3 x 2,5 mm</t>
  </si>
  <si>
    <t>Kabel listrik NYY 3 x 2,5 mm</t>
  </si>
  <si>
    <t>Kabel NYYhy 3 x 1,5 mm</t>
  </si>
  <si>
    <t>Kabel BC 35 mm</t>
  </si>
  <si>
    <t>Kabel BC 25 mm</t>
  </si>
  <si>
    <t>Kabel BC 16 mm</t>
  </si>
  <si>
    <t>Kabel BC 10 mm</t>
  </si>
  <si>
    <t>Kabel BC 6 mm</t>
  </si>
  <si>
    <t xml:space="preserve">Stop Kontak </t>
  </si>
  <si>
    <t>Stop Kontak AC</t>
  </si>
  <si>
    <t xml:space="preserve">Saklar Tunggal </t>
  </si>
  <si>
    <t xml:space="preserve">Saklar Double </t>
  </si>
  <si>
    <t>Saklar Triple</t>
  </si>
  <si>
    <t>Saklar hotel tunggal</t>
  </si>
  <si>
    <t>Penangkal petir</t>
  </si>
  <si>
    <t>Viking sistem radius 120 meter</t>
  </si>
  <si>
    <t>bak kontrol</t>
  </si>
  <si>
    <t>UNit</t>
  </si>
  <si>
    <t>Tiang galvanis 1 1/2"</t>
  </si>
  <si>
    <t>Kabel NYY 70 mm</t>
  </si>
  <si>
    <t>BC 70 mm</t>
  </si>
  <si>
    <t>NYYHy 2 x 1,5 mm</t>
  </si>
  <si>
    <t xml:space="preserve">Lampu tower </t>
  </si>
  <si>
    <t>Splitzen 1 "</t>
  </si>
  <si>
    <t>DAFTAR HARGA BAHAN MEP</t>
  </si>
  <si>
    <t>Aksesoris elektrikal</t>
  </si>
  <si>
    <t>ANALISA PEKERJAAN ELEKTRIKAL</t>
  </si>
  <si>
    <t>Harga Satuan (Rp)</t>
  </si>
  <si>
    <t>Kabel NYY 4x35 mm</t>
  </si>
  <si>
    <t>Kabel NYY 4x25 mm</t>
  </si>
  <si>
    <t>Alat bantu/aksesoris</t>
  </si>
  <si>
    <t>Bola lampu Esssential AC/DC LED 15 w</t>
  </si>
  <si>
    <t>Bola lampu Esssential LED 15 watt</t>
  </si>
  <si>
    <t>KABEL FEDEER</t>
  </si>
  <si>
    <t>SAKLAR, STOP KONTAK</t>
  </si>
  <si>
    <t>Kabel NYM 4x2,5 mm</t>
  </si>
  <si>
    <t>Kabel NYYHy 3x1,5 mm</t>
  </si>
  <si>
    <t>Kabel NYY 3x2,5 mm</t>
  </si>
  <si>
    <t>Pk.plam.01</t>
  </si>
  <si>
    <t>Pemasangan 1 Unit Pompa transfer air bersih</t>
  </si>
  <si>
    <t>Tukang batu</t>
  </si>
  <si>
    <t>Pompa air transfer</t>
  </si>
  <si>
    <t>Pk.plam.02</t>
  </si>
  <si>
    <t>Pemasangan 1 Unit roof tank febeer glass plastic kap. 5 m3</t>
  </si>
  <si>
    <t>Rooftank kap. 5 m3</t>
  </si>
  <si>
    <t>Perlengkapan damn mobilisasi</t>
  </si>
  <si>
    <t>Pk.plam.03</t>
  </si>
  <si>
    <t xml:space="preserve">Pemasangan 1 Unit Pompa booster </t>
  </si>
  <si>
    <t>pompa booster package</t>
  </si>
  <si>
    <t>Pk.plam.04</t>
  </si>
  <si>
    <t>Pemasangan 1 buah Clean out Dia. 100 mm ( 4")</t>
  </si>
  <si>
    <t>Clean out 4"</t>
  </si>
  <si>
    <t>Pk.RF.01</t>
  </si>
  <si>
    <t>Pemasangan 1 buah Roof drain Dia. 100 mm ( 4")</t>
  </si>
  <si>
    <t>Roof drai Dia. 4"</t>
  </si>
  <si>
    <t>Pk.GV.01</t>
  </si>
  <si>
    <t>Pemasangan 1 buah stop kran / gate valve diameter 1/2”</t>
  </si>
  <si>
    <t>Gate valve / stop kran 1/2</t>
  </si>
  <si>
    <t>Seal tape</t>
  </si>
  <si>
    <t>Pk.GV.02</t>
  </si>
  <si>
    <t>Pemasangan 1 buah stop kran / gate valve diameter 3/4”</t>
  </si>
  <si>
    <t>Gate valve / stop kran 3/4</t>
  </si>
  <si>
    <t>Pk.GV.03</t>
  </si>
  <si>
    <t>Pemasangan 1 buah stop kran / Ball valve diameter 1 ”</t>
  </si>
  <si>
    <t>Ball valve / stop kran  1"</t>
  </si>
  <si>
    <t>Pk.GV.03.A</t>
  </si>
  <si>
    <t>Pemasangan 1 buah stop kran / Ball valve PVC diameter 1 ”</t>
  </si>
  <si>
    <t>Ball valve / stop kran PVC  1"</t>
  </si>
  <si>
    <t>Pk.GV.04</t>
  </si>
  <si>
    <t>Pemasangan 1 buah Check valve diameter 1”</t>
  </si>
  <si>
    <t>Check valve dia. 1" ( Brass )</t>
  </si>
  <si>
    <t>Pk.GV.05</t>
  </si>
  <si>
    <t>Pemasangan 1 buah Foot valve diameter 1”</t>
  </si>
  <si>
    <t>Foot valve dia. 1" ( Brass )</t>
  </si>
  <si>
    <t>Pk.GV.06</t>
  </si>
  <si>
    <t>Pemasangan 1 buah Gate valve diameter 1 1/4”</t>
  </si>
  <si>
    <t>Gate valve dia. 1 1/4" ( Brass )</t>
  </si>
  <si>
    <t>Pk.GV.07</t>
  </si>
  <si>
    <t>Pemasangan 1 buah check valve diameter 1 1/4”</t>
  </si>
  <si>
    <t>Pk.GV.08</t>
  </si>
  <si>
    <t>Pemasangan 1 buah Foot valve diameter 1 1/4”</t>
  </si>
  <si>
    <t>Pk.GV.09</t>
  </si>
  <si>
    <t>Pemasangan 1 buah Gate valve diameter 1 1/2”</t>
  </si>
  <si>
    <t>Gate valve dia. 1 1/2" ( Brass )</t>
  </si>
  <si>
    <t>Pk.GV.10</t>
  </si>
  <si>
    <t>Pemasangan 1 buah Gate valve diameter 2”</t>
  </si>
  <si>
    <t>Gate valve dia. 2" ( Brass )</t>
  </si>
  <si>
    <t>Pk.GV.11</t>
  </si>
  <si>
    <t>Pemasangan 1 buah Gate valve diameter 2 1/2”</t>
  </si>
  <si>
    <t>Gate valve dia. 2 1/2" ( Brass )</t>
  </si>
  <si>
    <t>Pk.GV.12</t>
  </si>
  <si>
    <t>Pemasangan 1 buah Strainer diameter 1 1/4”</t>
  </si>
  <si>
    <t>Strainer dia. 1 1/4" ( Brass )</t>
  </si>
  <si>
    <t>Pk.GV.13</t>
  </si>
  <si>
    <t>Pemasangan 1 buah Foot valve diameter 2 ”</t>
  </si>
  <si>
    <t>Foot valve dia. 2  ( Brass )</t>
  </si>
  <si>
    <t>Pk.GV.14</t>
  </si>
  <si>
    <t>Pemasangan 1 buah Flexible joint diameter 2 ”</t>
  </si>
  <si>
    <t xml:space="preserve">Flexible joint dia. 2 " </t>
  </si>
  <si>
    <t>Pk.GV.15</t>
  </si>
  <si>
    <t>Pemasangan 1 buah Flexible joint diameter 1 1/2”</t>
  </si>
  <si>
    <t>Flexible joint dia. 1 1/2 " ( Brass )</t>
  </si>
  <si>
    <t>Pk.GV.16</t>
  </si>
  <si>
    <t>Pemasangan 1 buah Check valve diameter 1 1/2”</t>
  </si>
  <si>
    <t>Check valve dia. 1 1/2 " ( Brass )</t>
  </si>
  <si>
    <t>Pk.GV.17</t>
  </si>
  <si>
    <t>Pemasangan 1 buah strainer diameter 1 1/2”</t>
  </si>
  <si>
    <t>Strainer dia. 1 1/2 " ( Brass )</t>
  </si>
  <si>
    <t>Pk.GV.18</t>
  </si>
  <si>
    <t>Pemasangan 1 buah Foot valve diameter 1 1/2”</t>
  </si>
  <si>
    <t>Foot valve valve dia. 1 1/2 " ( Brass )</t>
  </si>
  <si>
    <t>Pipa AB PPR PN 10</t>
  </si>
  <si>
    <t>Pemasangan 1 m’ Pipa PPR PN 10 diameter ½ ”</t>
  </si>
  <si>
    <t>Pipa PPR PN 1/2”</t>
  </si>
  <si>
    <t>Pipa PPR PN 3/4”</t>
  </si>
  <si>
    <t>Pemasangan 1 m’ Pipa PPR  PN 10 diameter 1 ”</t>
  </si>
  <si>
    <t>Pipa PPR PN 1”</t>
  </si>
  <si>
    <t>Pemasangan 1 m’ Pipa PPR PN 10 diameter 1 1/4 ”</t>
  </si>
  <si>
    <t>Pipa PPR PN 1 1/4”</t>
  </si>
  <si>
    <t>Pk.plam.05</t>
  </si>
  <si>
    <t>Pemasangan 1 m’ Pipa PPR PN 10 diameter 1 1/2 ”</t>
  </si>
  <si>
    <t>Pipa PPR PN 2”</t>
  </si>
  <si>
    <t>Pk.plam.06</t>
  </si>
  <si>
    <t>Pemasangan 1 m’ Pipa PPR PN 10 diameter 2 ”</t>
  </si>
  <si>
    <t>Pk.plam.07</t>
  </si>
  <si>
    <t>Pemasangan 1 m’ Pipa PPR PN 10 diameter 2 1/2 ”</t>
  </si>
  <si>
    <t>Pipa PPR PN 2 1/2”</t>
  </si>
  <si>
    <t>Pk.plam.08</t>
  </si>
  <si>
    <t>Pemasangan 1 m’ Pipa PPR PN 10 diameter 3”</t>
  </si>
  <si>
    <t>Pipa PPR PN  dia. 3”</t>
  </si>
  <si>
    <t>Pk.plam.09</t>
  </si>
  <si>
    <t>Pemasangan 1 m’ Pipa PPR PN 10 diameter 4”</t>
  </si>
  <si>
    <t>Pipa PPR PN  dia. 4”</t>
  </si>
  <si>
    <t>Pk.plam.10</t>
  </si>
  <si>
    <t>Pemasangan 1 m’ Pipa PPR PN 20 diameter 1/2”</t>
  </si>
  <si>
    <t>Pipa PPR PN 20 dia. 1/2”</t>
  </si>
  <si>
    <t xml:space="preserve">Pipa PVC AW </t>
  </si>
  <si>
    <t>Pk.plamPVC.01</t>
  </si>
  <si>
    <t>Pemasangan 1 m’ Pipa PVC Type AW diameter 1 1/2”</t>
  </si>
  <si>
    <t>Pipa PVC 2”</t>
  </si>
  <si>
    <t>Pk.plamPVC.02</t>
  </si>
  <si>
    <t>Pemasangan 1 m’ Pipa PVC Type AW diameter 2”</t>
  </si>
  <si>
    <t>Pk.plamPVC.03</t>
  </si>
  <si>
    <t>Pemasangan 1 m’ Pipa PVC Type AW diameter 3”</t>
  </si>
  <si>
    <t>Pipa PVC 3”</t>
  </si>
  <si>
    <t>Pk.plamPVC.04</t>
  </si>
  <si>
    <t>Pemasangan 1 m’ Pipa PVC Type AW diameter 4”</t>
  </si>
  <si>
    <t>Pipa PVC 4”</t>
  </si>
  <si>
    <t>Pk.plamPVC.05</t>
  </si>
  <si>
    <t>Pemasangan 1 m’ Pipa PVC Type AW diameter 6”</t>
  </si>
  <si>
    <t>Pipa PVC 6”</t>
  </si>
  <si>
    <t>Pk.plamPVC.06</t>
  </si>
  <si>
    <t>Pemasangan 1 m’ Pipa PVC Type D diameter 2”</t>
  </si>
  <si>
    <t>Pk.plam.biotek.01</t>
  </si>
  <si>
    <t>Bio septiktank  10 m3</t>
  </si>
  <si>
    <t>Pengangkutan mobilisasi</t>
  </si>
  <si>
    <t>Pk.plam.biotek.02</t>
  </si>
  <si>
    <t>Pemasangan 1 Unit grass trap kap. 500 ltr</t>
  </si>
  <si>
    <t>Grass trap 500 ltr</t>
  </si>
  <si>
    <t>Pk.plamPVC.07</t>
  </si>
  <si>
    <t>Pemasangan 1 m’ Pipa PVC Type D diameter 4”</t>
  </si>
  <si>
    <t>Pk.plamPVC.08</t>
  </si>
  <si>
    <t>Pemasangan 1 m’ Pipa PVC Type D diameter 6”</t>
  </si>
  <si>
    <t>Pipa PVC 6” type D</t>
  </si>
  <si>
    <t>Pk.plamPVC.09</t>
  </si>
  <si>
    <t>Pemasangan 1 m’ Pipa PVC Type D diameter 10”</t>
  </si>
  <si>
    <t>Pipa PVC 10” type D</t>
  </si>
  <si>
    <t>Pk.plamPVC.10</t>
  </si>
  <si>
    <t>Pemasangan 1 m’ Pipa PVC Type D diameter 12”</t>
  </si>
  <si>
    <t>Pipa PVC 12” type D</t>
  </si>
  <si>
    <t>Pk.plamPVC.14</t>
  </si>
  <si>
    <t>Pemasangan 1 m’ Pipa PVC Type D diameter 8”</t>
  </si>
  <si>
    <t>Pipa PVC 8” type D</t>
  </si>
  <si>
    <t>Pk.WLC.01</t>
  </si>
  <si>
    <t>Menarik kabel WLC NYYhy 3 x 1,5 mm</t>
  </si>
  <si>
    <t>Kabel NYMhy 3 x 1,5 mm</t>
  </si>
  <si>
    <t>Pk.WLC.02</t>
  </si>
  <si>
    <t xml:space="preserve">Memasang WLC Elektroda massa </t>
  </si>
  <si>
    <t>ANALISA PEKERJAAN SANITASI</t>
  </si>
  <si>
    <t>Pemasangan 1 Unit Bio septiktank 10 m2</t>
  </si>
  <si>
    <t xml:space="preserve">GATE VALVE </t>
  </si>
  <si>
    <t>check valve diameter 1 1/4”</t>
  </si>
  <si>
    <t>Foot valve diameter 1 1/4”</t>
  </si>
  <si>
    <t>Foot valve Ø 2" Brass</t>
  </si>
  <si>
    <t>Flexible joint dia. 1 1/2 "</t>
  </si>
  <si>
    <t>Pemasangan 1 m’ Pipa PPR PN 10 diameter 3/4 ”</t>
  </si>
  <si>
    <t>Pipa PPR PN 1 1/2”</t>
  </si>
  <si>
    <t>Pipa PVC 1 1/2”</t>
  </si>
  <si>
    <t>kabel WLC NYYhy 3 x 1,5 mm</t>
  </si>
  <si>
    <t>Biaya Penyambungn Daya</t>
  </si>
  <si>
    <t>Uang jaminan langganan ( UJL ) 53000 VA</t>
  </si>
  <si>
    <t>Sertifikat laik operasional</t>
  </si>
  <si>
    <t>Administrasi pengurusan</t>
  </si>
  <si>
    <t>Batu bata press cetak mesin</t>
  </si>
  <si>
    <t>ANS.01</t>
  </si>
  <si>
    <t>Bulldozer 100 - 150 HP</t>
  </si>
  <si>
    <t>Roller Vibro</t>
  </si>
  <si>
    <t>*14500</t>
  </si>
  <si>
    <t>Listrik dan Air kerja</t>
  </si>
  <si>
    <t>PEKERJAAN STRUKTUR</t>
  </si>
  <si>
    <t>stik besi</t>
  </si>
  <si>
    <t>Dihitung 2</t>
  </si>
  <si>
    <t>Dihitung 7</t>
  </si>
  <si>
    <t>CT range</t>
  </si>
  <si>
    <t>roll</t>
  </si>
  <si>
    <t xml:space="preserve">- MCB 16 Ampere / 1 phase </t>
  </si>
  <si>
    <t>- Rell MCB</t>
  </si>
  <si>
    <t>- Bush bar grounding</t>
  </si>
  <si>
    <t>- skun kabel</t>
  </si>
  <si>
    <t>- Pilot lamp</t>
  </si>
  <si>
    <t>- kabel wiring NYA F 0,75 mm</t>
  </si>
  <si>
    <t>Pak</t>
  </si>
  <si>
    <t>Harga satuan</t>
  </si>
  <si>
    <t>Box Panel ukuran 80 x 60 x 30 cm</t>
  </si>
  <si>
    <t xml:space="preserve">MCCB 100 Ampere / 3 phase </t>
  </si>
  <si>
    <t xml:space="preserve">MCCB 30 Ampere / 3 phase </t>
  </si>
  <si>
    <t xml:space="preserve">MCCB 25 Ampere / 3 phase </t>
  </si>
  <si>
    <t>MCCB 20 Ampere / 3 phase</t>
  </si>
  <si>
    <t xml:space="preserve">MCB 16 Ampere / 1 phase </t>
  </si>
  <si>
    <t>COS 4 pole  100 ampere</t>
  </si>
  <si>
    <t>Terminal blok</t>
  </si>
  <si>
    <t>Rell MCB</t>
  </si>
  <si>
    <t>Bush bar grounding</t>
  </si>
  <si>
    <t xml:space="preserve">Kabel duct </t>
  </si>
  <si>
    <t>Skun kabel</t>
  </si>
  <si>
    <t>Pilot lamp</t>
  </si>
  <si>
    <t>Volt meter/ Ampere  meter digital</t>
  </si>
  <si>
    <t>Selector switch</t>
  </si>
  <si>
    <t>skun kabel + sleaves</t>
  </si>
  <si>
    <t>Kabel NYA F 0,75 mm</t>
  </si>
  <si>
    <t>Rol</t>
  </si>
  <si>
    <t>Kabel NYA - F 16 mm</t>
  </si>
  <si>
    <t>Skun kabel + sleaves</t>
  </si>
  <si>
    <t>Kabel wiring NYA F 0,75 mm</t>
  </si>
  <si>
    <t>Box Panel ukuran 60 x 40 x 30 cm</t>
  </si>
  <si>
    <t xml:space="preserve">MCB 16 Ampere / 3 phase </t>
  </si>
  <si>
    <t>- Main distribution panel ( MDP ) c/w Interlock COS</t>
  </si>
  <si>
    <t>- Sub Distribution Panel ( SDP ) Lantai 1</t>
  </si>
  <si>
    <t>Panel kontrol pompa transfer</t>
  </si>
  <si>
    <t>- Box Panel ukuran 60 x 40 x 25 cm</t>
  </si>
  <si>
    <t xml:space="preserve">- MCB 25 Ampere / 3 phase </t>
  </si>
  <si>
    <t>- Relay overload</t>
  </si>
  <si>
    <t>- Kontaktor 20 ampere</t>
  </si>
  <si>
    <t>- Water level control omron</t>
  </si>
  <si>
    <t>- Kabel NYA - F 4 mm</t>
  </si>
  <si>
    <t>Box Panel ukuran 60 x 40 x 25 cm</t>
  </si>
  <si>
    <t xml:space="preserve">MCB 25 Ampere / 3 phase </t>
  </si>
  <si>
    <t>Relay overload</t>
  </si>
  <si>
    <t>Kontaktor 20 ampere</t>
  </si>
  <si>
    <t>Water level control omron</t>
  </si>
  <si>
    <t>Kabel NYA - F 4 mm</t>
  </si>
  <si>
    <t>power pompa booster</t>
  </si>
  <si>
    <t>Power pompa booster</t>
  </si>
  <si>
    <t>Aksesories</t>
  </si>
  <si>
    <t>Dihitung 14</t>
  </si>
  <si>
    <t>Instalasi Power pompa booster</t>
  </si>
  <si>
    <t>LA.01</t>
  </si>
  <si>
    <t>LA.02</t>
  </si>
  <si>
    <t>Penyediaan SMK3 tahap 1</t>
  </si>
  <si>
    <t>Dihitung 15</t>
  </si>
  <si>
    <t>Pasang 1 titik grounding elektrikal</t>
  </si>
  <si>
    <t xml:space="preserve">Splitzen </t>
  </si>
  <si>
    <t>CU bars 50 x 10 mm</t>
  </si>
  <si>
    <t>Potong</t>
  </si>
  <si>
    <t>sekmen 1-2</t>
  </si>
  <si>
    <t>sekmen 2-3</t>
  </si>
  <si>
    <t>sekmen 3-4</t>
  </si>
  <si>
    <t>Urug</t>
  </si>
  <si>
    <t>Sepatu Keselamatan (Safety Shoes) untuk staf</t>
  </si>
  <si>
    <t>Sepatu Keselamatan (Rubber Safety Shoes_andtoe cap)</t>
  </si>
  <si>
    <t>RENCANA ANGGARAN BIAYA (RAB) (UTUH)</t>
  </si>
  <si>
    <t>REKAPITULASI RENCANA ANGGARAN BIAYA (UTUH)</t>
  </si>
  <si>
    <t>: Perencanaan Pembangunan Gedung Tahfizul Qur'an-Wahdatul Ulum UIN SU</t>
  </si>
  <si>
    <t xml:space="preserve">Kampus UINSU Jl. Sutomo No. 1 </t>
  </si>
  <si>
    <t>: 2022</t>
  </si>
  <si>
    <t>PC1</t>
  </si>
  <si>
    <t>PC2</t>
  </si>
  <si>
    <t>Pile Cap tipe - PC1</t>
  </si>
  <si>
    <t>Pile Cap tipe - PC2</t>
  </si>
  <si>
    <t>Pengadaan Spun Pile Ø 30  Cm K-600</t>
  </si>
  <si>
    <t>Pemancangan Spun Pile Ø 30 Cm K-600 dengan Hydraulic Jacking System kap. 120 Ton</t>
  </si>
  <si>
    <t xml:space="preserve">Beton mutu f'c=26,4 Mpa </t>
  </si>
  <si>
    <t xml:space="preserve"> x</t>
  </si>
  <si>
    <t>Sloof 20x40 Cm (S1)</t>
  </si>
  <si>
    <t>Tulangan D-16 (Tumpuan)</t>
  </si>
  <si>
    <t>Tulangan D-16 (lapangan)</t>
  </si>
  <si>
    <t>Tulangan D-16</t>
  </si>
  <si>
    <t xml:space="preserve"> =</t>
  </si>
  <si>
    <t>pjg 360</t>
  </si>
  <si>
    <t>Balok 20x40 Cm (B2)</t>
  </si>
  <si>
    <t>Balok 15x30 Cm (B3)</t>
  </si>
  <si>
    <t xml:space="preserve"> Besi D-16 Arah X</t>
  </si>
  <si>
    <t xml:space="preserve"> Besi D-16 Arah Y</t>
  </si>
  <si>
    <t xml:space="preserve"> Besi D-13 arah X</t>
  </si>
  <si>
    <t xml:space="preserve"> Besi D-13 arah Y</t>
  </si>
  <si>
    <t xml:space="preserve">Tangga </t>
  </si>
  <si>
    <t>Tinggi 4 m</t>
  </si>
  <si>
    <t>Pintu Type KM</t>
  </si>
  <si>
    <t xml:space="preserve">Lantai Keramik Polish Uk. (60 x 60) Cm </t>
  </si>
  <si>
    <t xml:space="preserve">Lantai Keramik Unpolish Uk. (60 x 60) Cm </t>
  </si>
  <si>
    <t>Lantai Ruangan</t>
  </si>
  <si>
    <t>Selasar</t>
  </si>
  <si>
    <t>Teras belakang</t>
  </si>
  <si>
    <t>Anti Slip Lantai Uk. 7,5 x 60 cm</t>
  </si>
  <si>
    <t>Km</t>
  </si>
  <si>
    <t xml:space="preserve">Lantai Kramik Uk. (40 x 40) Cm unpolished </t>
  </si>
  <si>
    <t>Uph-Bhn</t>
  </si>
  <si>
    <t>Jumlah Sub Total B-VI</t>
  </si>
  <si>
    <t>Jumlah Sub Total B-VIII</t>
  </si>
  <si>
    <t>Perwal No 3 thn 2022</t>
  </si>
  <si>
    <t>A.4.1.1.10</t>
  </si>
  <si>
    <t>Membuat 1 m³ beton mutu f'c=26,4 Mpa (K 300); slump (12 ± 2) cm;</t>
  </si>
  <si>
    <t>Pemasangan 1 m² bekisting untuk pondasi</t>
  </si>
  <si>
    <t>A.4.1.1.18</t>
  </si>
  <si>
    <t>Vol. tiang pancang beton bertulang pracetak 6 500 per m'</t>
  </si>
  <si>
    <t>/Btg 10 mm</t>
  </si>
  <si>
    <t>REKAPITULASI RENCANA ANGGARAN BIAYA</t>
  </si>
  <si>
    <t>Jumlah B</t>
  </si>
  <si>
    <t>Jumlah C</t>
  </si>
  <si>
    <t>Jumlah D</t>
  </si>
  <si>
    <t>PPN = (1 x 11%)</t>
  </si>
  <si>
    <t>TOTAL</t>
  </si>
  <si>
    <t>Void Tangga</t>
  </si>
  <si>
    <t>Pemodelan 4x4 M</t>
  </si>
  <si>
    <t>Selasar teras</t>
  </si>
  <si>
    <t>Dinding KM arah Y</t>
  </si>
  <si>
    <t>Kolom arah X</t>
  </si>
  <si>
    <t>Kolom arah Y</t>
  </si>
  <si>
    <t xml:space="preserve"> -</t>
  </si>
  <si>
    <t>bawah tangga</t>
  </si>
  <si>
    <t xml:space="preserve">Selasar </t>
  </si>
  <si>
    <t>Ruangan</t>
  </si>
  <si>
    <t>Pintu KM</t>
  </si>
  <si>
    <t>Kusen J2</t>
  </si>
  <si>
    <t>Daun pintu J2</t>
  </si>
  <si>
    <t>DIBULATKAN</t>
  </si>
  <si>
    <t>Besi Ø-10 Arah X (SB=3 cm)</t>
  </si>
  <si>
    <t>Besi Ø-10 (SB=3cm)</t>
  </si>
  <si>
    <t>BACKUP VOLUME</t>
  </si>
  <si>
    <t>Daftar Bahan</t>
  </si>
  <si>
    <t>Dihitung</t>
  </si>
  <si>
    <t>Pembuatan 1 m² bedeng pekerja</t>
  </si>
  <si>
    <t>Excavator</t>
  </si>
  <si>
    <t>ANALISIS HARGA SATUAN PEKERJAAN TANAH</t>
  </si>
  <si>
    <t>GALIAN BIASA</t>
  </si>
  <si>
    <t>Menggunakan alat berat (cara mekanik)</t>
  </si>
  <si>
    <t>Lokasi pekerjaan : sepanjang jalan</t>
  </si>
  <si>
    <t>Kondisi jalan : baik</t>
  </si>
  <si>
    <t>Faktor pengembangan bahan</t>
  </si>
  <si>
    <t>Berat isi lepas</t>
  </si>
  <si>
    <t>Jam kerja efektif per hari</t>
  </si>
  <si>
    <t>Fk</t>
  </si>
  <si>
    <t>Bil</t>
  </si>
  <si>
    <t>ton/m3</t>
  </si>
  <si>
    <t>Tanah yang dipotong adalah jalan</t>
  </si>
  <si>
    <t>Penggalian dilakukan dengan menggunakan Excavator</t>
  </si>
  <si>
    <t>Sheetpile Beton ST 40×3 D (8xd13mm) K-350</t>
  </si>
  <si>
    <t xml:space="preserve">Spun Pile Ø 30  Cm K-600 </t>
  </si>
  <si>
    <t>Supir</t>
  </si>
  <si>
    <t>Pembantu Supir</t>
  </si>
  <si>
    <t>Jumlah (A)</t>
  </si>
  <si>
    <t>Alat Bantu (set @3 Alat)</t>
  </si>
  <si>
    <t>Jumlah (B)</t>
  </si>
  <si>
    <t>Jumlah (C)</t>
  </si>
  <si>
    <t>Total A+B+C</t>
  </si>
  <si>
    <t>Pembulatan</t>
  </si>
  <si>
    <t>Pembuatan 1 m² kantor sementara lantai plesteran</t>
  </si>
  <si>
    <t>1 m3 Meratakan dan memadatkan Lahan Menggunakan Alat</t>
  </si>
  <si>
    <t>RENCANA ANGGARAN BIAYA ( RAB )</t>
  </si>
  <si>
    <t>PEMANCANGAN TIANG PANCANG BETON</t>
  </si>
  <si>
    <t>Striping atau kupas 1 m³ top soil menggunakan Bulldozer</t>
  </si>
  <si>
    <t>Anl. hitung 1</t>
  </si>
  <si>
    <t>Buldozer  - 150 HP</t>
  </si>
  <si>
    <t>E.07.c</t>
  </si>
  <si>
    <t>Anl. hitung 2</t>
  </si>
  <si>
    <t>Anl. hitung 3</t>
  </si>
  <si>
    <t>Exavator  (Standar) - 125 HP</t>
  </si>
  <si>
    <t>E.15.d</t>
  </si>
  <si>
    <t>Tandem Roller Vibrator</t>
  </si>
  <si>
    <t xml:space="preserve">Menggali 1 m³ Saluran tanah biasa atau tanah liat berpasir kedalaman &gt; 2 - 4 m
</t>
  </si>
  <si>
    <t>LUAS</t>
  </si>
  <si>
    <t>Dinding</t>
  </si>
  <si>
    <t>Lantai</t>
  </si>
  <si>
    <t>y</t>
  </si>
  <si>
    <t>Alas Trashack</t>
  </si>
  <si>
    <t>Tapak</t>
  </si>
  <si>
    <t>Pemasangan 1 m² bekisting untuk sloof</t>
  </si>
  <si>
    <t>Paku 5 cm – 10 cm</t>
  </si>
  <si>
    <t>Minyak bekisting</t>
  </si>
  <si>
    <t>A.4.1.1.19</t>
  </si>
  <si>
    <t>ALAS</t>
  </si>
  <si>
    <t>ATAS</t>
  </si>
  <si>
    <t>PINTU KLEP</t>
  </si>
  <si>
    <t>PELIMPAH</t>
  </si>
  <si>
    <t>BALOK ATAS 20/25cm</t>
  </si>
  <si>
    <t>ULIR</t>
  </si>
  <si>
    <t>POLOS</t>
  </si>
  <si>
    <t>A.4.2.1</t>
  </si>
  <si>
    <t xml:space="preserve">HARGA SATUAN PEKERJAAN BESI DAN ALUMUNIUM </t>
  </si>
  <si>
    <t>A.4.2.1.1</t>
  </si>
  <si>
    <t>Pemasangan 1 kg besi profil</t>
  </si>
  <si>
    <t>Tukang Las Konstruksi</t>
  </si>
  <si>
    <t>Jumlah (A+B)</t>
  </si>
  <si>
    <t>Overhead &amp; Profit (Contoh 15%)</t>
  </si>
  <si>
    <t>15% x C</t>
  </si>
  <si>
    <t>Harga Satuan Pekerjaan (C+D)</t>
  </si>
  <si>
    <t>Memasang 1m' Kanstein Uk. 15.30.60cm</t>
  </si>
  <si>
    <t>Kanstein 15.30.60cm</t>
  </si>
  <si>
    <t>M³</t>
  </si>
  <si>
    <t>Anl. Dihitung 4</t>
  </si>
  <si>
    <t>A.4.1.1.8</t>
  </si>
  <si>
    <t xml:space="preserve"> Membuat 1 m3 beton mutu f’= 21.7 MPa (K 250). slump (12 ± 2) cm. w/c = 0.56</t>
  </si>
  <si>
    <t>Batu Pecah  2 - 3cm</t>
  </si>
  <si>
    <t>Overhead &amp; Profit (Contoh 15 %)</t>
  </si>
  <si>
    <t>A.4.1.1.22 A</t>
  </si>
  <si>
    <t xml:space="preserve"> Pemasangan 1 m2  bekisting untuk kolom (2x pakai)</t>
  </si>
  <si>
    <t>Paku 5 cm – 12 cm</t>
  </si>
  <si>
    <t>Plywood tebal 9 mm</t>
  </si>
  <si>
    <t>BAHAN 2X PAKAI (1/2 JLH. HARGA BAHAN)</t>
  </si>
  <si>
    <t>A.4.1.1.23 A</t>
  </si>
  <si>
    <t>Pemasangan 1 m2  bekisting untuk balok (2x pakai)</t>
  </si>
  <si>
    <t>A.4.4.3.65</t>
  </si>
  <si>
    <t>Pemasangan 1 m2 paving block tebal 8 cm</t>
  </si>
  <si>
    <t xml:space="preserve">Paving block 8 cm </t>
  </si>
  <si>
    <t>Pasir beton</t>
  </si>
  <si>
    <t>A.4.4.3</t>
  </si>
  <si>
    <t>HARGA SATUAN PEKERJAAN PENUTUP LANTAI DAN PENUTUP DINDING</t>
  </si>
  <si>
    <t>Pintu Klep</t>
  </si>
  <si>
    <t>Pelimpah</t>
  </si>
  <si>
    <t xml:space="preserve">Elevasi </t>
  </si>
  <si>
    <t>Balok</t>
  </si>
  <si>
    <t>Penahan</t>
  </si>
  <si>
    <t>AREA CAD</t>
  </si>
  <si>
    <t>Ket.</t>
  </si>
  <si>
    <t>Lantai Belakang</t>
  </si>
  <si>
    <t>Lantai Depan</t>
  </si>
  <si>
    <t>Lantai 1</t>
  </si>
  <si>
    <t>Dinding 2</t>
  </si>
  <si>
    <t>Pengukuran Kembali</t>
  </si>
  <si>
    <t>Mobilisasi dan Demobilisasi</t>
  </si>
  <si>
    <t>PEKERJAAN BONGKARAN</t>
  </si>
  <si>
    <t>Pekerjaan Pebongkaran Atap Lama</t>
  </si>
  <si>
    <t>Pekerjaan Pembongkaran ACP Lama</t>
  </si>
  <si>
    <r>
      <t>M</t>
    </r>
    <r>
      <rPr>
        <sz val="11"/>
        <rFont val="Calibri"/>
        <family val="2"/>
      </rPr>
      <t>²</t>
    </r>
  </si>
  <si>
    <t>: Renovasi Atap Gedung Paripurna DPRD Provsu</t>
  </si>
  <si>
    <t>: Jalan Imam Bonjol No. 5 Medan</t>
  </si>
  <si>
    <t>Upah Bongkaran Atap</t>
  </si>
  <si>
    <t>Upah Bongkaran Lantai</t>
  </si>
  <si>
    <t>Pemasangan Rabung Atap Spandeck</t>
  </si>
  <si>
    <t>A.4.5.2.32 A</t>
  </si>
  <si>
    <t>Jumlah
Harga
(Rp)</t>
  </si>
  <si>
    <t>kaki</t>
  </si>
  <si>
    <t>paku seng</t>
  </si>
  <si>
    <t>A.4.5.2</t>
  </si>
  <si>
    <t xml:space="preserve">HARGA SATUAN PEKERJAAN PENUTUP ATAP </t>
  </si>
  <si>
    <t>A.4.5.2.36 A</t>
  </si>
  <si>
    <t>Paku Seng</t>
  </si>
  <si>
    <t>Kaki</t>
  </si>
  <si>
    <t>PEKERJAAN SANITASI GEDUNG</t>
  </si>
  <si>
    <t xml:space="preserve">Pekerjaan Pemasangan Talang Air </t>
  </si>
  <si>
    <t>A.4.2.1.19</t>
  </si>
  <si>
    <t>Pemasangan 1 m talang ½ lingkaran D-15 cm. seng plat bjls 30 lebar 45 cm</t>
  </si>
  <si>
    <t>Seng plat</t>
  </si>
  <si>
    <t>Paku 1 cm – 2.5 cm</t>
  </si>
  <si>
    <t>Besi strip</t>
  </si>
  <si>
    <t>Pekerjaan Waterproofing Membrane Bakar</t>
  </si>
  <si>
    <t>Sewa Prencah dan Alat Bantu Kerja</t>
  </si>
  <si>
    <t>1 m2 Screeding 1SP : 2PP tebal 3 cm</t>
  </si>
  <si>
    <t>Membrane Bakar</t>
  </si>
  <si>
    <t>Prime Coat</t>
  </si>
  <si>
    <t>Prime Cote</t>
  </si>
  <si>
    <t>Scafolding</t>
  </si>
  <si>
    <t>Alat Bantu Kerja</t>
  </si>
  <si>
    <t>Set/Hari</t>
  </si>
  <si>
    <t>Hari</t>
  </si>
  <si>
    <t>Sewa Prancah dan Alat Bantu Kerja</t>
  </si>
  <si>
    <t>Paku biasa ½”-1”</t>
  </si>
  <si>
    <t>Rooflight (akrilik tbl. 12mm)</t>
  </si>
  <si>
    <t>A.4.5.2.7.A</t>
  </si>
  <si>
    <t>Pemasangan 1 m2  roof light fibreglass Bahan Akrilik 12mm</t>
  </si>
  <si>
    <t>Akrilik tbl. 12 mm</t>
  </si>
  <si>
    <t>Jumlah
Harga (Rp)</t>
  </si>
  <si>
    <t>Alumunium Composit Panel (ACP)</t>
  </si>
  <si>
    <t>Dinabolt dia. 10 mm</t>
  </si>
  <si>
    <t>Seallent</t>
  </si>
  <si>
    <t>Upah Kerja Borongan</t>
  </si>
  <si>
    <t>LS</t>
  </si>
  <si>
    <t>Alumunium Composite</t>
  </si>
  <si>
    <t>Dinabolt</t>
  </si>
  <si>
    <t>Sealent</t>
  </si>
  <si>
    <t>Memasang 1 m2 Aluminium Composit Panel (ACP)</t>
  </si>
  <si>
    <t>Pekerjaan Pemasangan Kembali ACP</t>
  </si>
  <si>
    <t>Pekerjaan Peyisipan  ACP</t>
  </si>
  <si>
    <t xml:space="preserve">Memasang Kembali 1 m2 Aluminium Composit Panel (ACP) </t>
  </si>
  <si>
    <t>Pekerjaan Screeding Lantai tebal 3 cm</t>
  </si>
  <si>
    <t>Pekerjaan Pemasangan Roof Drain</t>
  </si>
  <si>
    <t xml:space="preserve">Pemasangan Pipa PVC 5" Pembuangan Air Hujan </t>
  </si>
  <si>
    <t>Pipa PVC 5” AW</t>
  </si>
  <si>
    <t>A.5.1.1</t>
  </si>
  <si>
    <t>HARGA SATUAN PEKERJAAN SANITASI DALAM GEDUNG</t>
  </si>
  <si>
    <t>A.5.1.1.32A</t>
  </si>
  <si>
    <t>Pemasangan 1 m’ pipa PVC tipe AW diameter 5”</t>
  </si>
  <si>
    <t>35%xpipa</t>
  </si>
  <si>
    <t>Pipa PVC 5" Tipe AW</t>
  </si>
  <si>
    <t>Roof Drain 5"</t>
  </si>
  <si>
    <t xml:space="preserve">Roof Drain + Penutup </t>
  </si>
  <si>
    <t>A.5.1.1.14A</t>
  </si>
  <si>
    <t>Pemasangan 1 buah Roof drain</t>
  </si>
  <si>
    <t>i.</t>
  </si>
  <si>
    <t>ii.</t>
  </si>
  <si>
    <t>Pemasangan Listplank GRC</t>
  </si>
  <si>
    <t>Besi Hollow 40x40x2 mm</t>
  </si>
  <si>
    <t>Assesoris (perkuatan. las dll)</t>
  </si>
  <si>
    <t>35%xrangka</t>
  </si>
  <si>
    <t>GRC Tebal 6mm</t>
  </si>
  <si>
    <t>Besi Profil Hollow 40x40x2 mm</t>
  </si>
  <si>
    <t>Papan GRC Tbl 6mm</t>
  </si>
  <si>
    <t>A.4.6.1.22 A</t>
  </si>
  <si>
    <t>Pemasangan 1 m’ Lisplank GRC</t>
  </si>
  <si>
    <t>Lisplank GRC</t>
  </si>
  <si>
    <t>Paku skrup 3.5”</t>
  </si>
  <si>
    <t>Papan LIstplank GRC Tbl 6mm</t>
  </si>
  <si>
    <t>Upah + Bahan Pemasangan Rangka Furing  Plafon</t>
  </si>
  <si>
    <t>Plafon PVC</t>
  </si>
  <si>
    <t>A.4.5.1</t>
  </si>
  <si>
    <t>SATUAN PEKERJAAN LANGIT-LANGIT (PLAFOND)</t>
  </si>
  <si>
    <t>A.4.5.1.7 B</t>
  </si>
  <si>
    <t>Pemasangan 1 m2 langit-langit PVC warna</t>
  </si>
  <si>
    <t>Plafond PVC</t>
  </si>
  <si>
    <t>Paku skrup</t>
  </si>
  <si>
    <t>Atap Galvalum 0.50 mm</t>
  </si>
  <si>
    <t>Rabung Atap Galvalum 0.50 mm</t>
  </si>
  <si>
    <t>Pemasangan Atap Galvalum tbl. 0.50 mm</t>
  </si>
  <si>
    <t>ACP</t>
  </si>
  <si>
    <t>PEKERJAAN ATAP &amp; ALUMUNIUM COMPOSITE</t>
  </si>
  <si>
    <t>ATAP GALVALUM</t>
  </si>
  <si>
    <t>Sewa Mesin Pompa Perbaikan Pipa Lama</t>
  </si>
  <si>
    <t>Pekerjaan Floor Hardener Dak Atap</t>
  </si>
  <si>
    <t>Pemasangan GRC Cover Pipa PVC</t>
  </si>
  <si>
    <t>Pemasangan 1 m2 GRC + Rangka Hollow 40x40</t>
  </si>
  <si>
    <t>Crane Kap. 25-50 Ton</t>
  </si>
  <si>
    <t>Biaya Sewa Alat per ± 8 jam</t>
  </si>
  <si>
    <t>Dimensi Crane</t>
  </si>
  <si>
    <t>Crane 10-15 Ton</t>
  </si>
  <si>
    <t>Harga Satuan Pekerjaan per - Ls (3 kali rute = 3.E)</t>
  </si>
  <si>
    <t>Terbilang : Satu Milyar Empat Ratus Empat Puluh Dua Juta Sembilan Ratus Dua Puluh Ribu Rupiah,-</t>
  </si>
  <si>
    <t>Pemasangan 1 m2 Atap Galvalum</t>
  </si>
  <si>
    <t>Atap Galvalum</t>
  </si>
  <si>
    <t>Pemasangan 1 m’ nok atap Galvalum</t>
  </si>
  <si>
    <t>Nok atap Galvalum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</si>
</sst>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6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5" formatCode="_(* #,##0_);_(* \(#,##0\);_(* &quot;-&quot;_);_(@_)"/>
    <numFmt numFmtId="166" formatCode="_(* #,##0.00_);_(* \(#,##0.00\);_(* &quot;-&quot;??_);_(@_)"/>
    <numFmt numFmtId="167" formatCode="_(&quot;Rp&quot;* #,##0_);_(&quot;Rp&quot;* \(#,##0\);_(&quot;Rp&quot;* &quot;-&quot;_);_(@_)"/>
    <numFmt numFmtId="168" formatCode="_([$Rp-421]* #,##0.00_);_([$Rp-421]* \(#,##0.00\);_([$Rp-421]* &quot;-&quot;??_);_(@_)"/>
    <numFmt numFmtId="169" formatCode="_([$Rp-421]* #,##0.00_);_([$Rp-421]* \(#,##0.00\);_([$Rp-421]* &quot;-&quot;_);_(@_)"/>
    <numFmt numFmtId="170" formatCode="#,##0.00000_);\(#,##0.00000\)"/>
    <numFmt numFmtId="171" formatCode="0.000"/>
    <numFmt numFmtId="172" formatCode="_(* #,##0.000_);_(* \(#,##0.000\);_(* &quot;-&quot;??_);_(@_)"/>
    <numFmt numFmtId="173" formatCode="0.00000"/>
    <numFmt numFmtId="174" formatCode="&quot;$&quot;#,##0\ ;\(&quot;$&quot;#,##0\)"/>
    <numFmt numFmtId="175" formatCode="_(* #,##0.00_);_(* \(#,##0.00\);_(* &quot;-&quot;_);_(@_)"/>
    <numFmt numFmtId="176" formatCode="_(* #,##0_);_(* \(#,##0\);_(* &quot;-&quot;??_);_(@_)"/>
    <numFmt numFmtId="177" formatCode="_(&quot;Rp&quot;* #,##0.00_);_(&quot;Rp&quot;* \(#,##0.00\);_(&quot;Rp&quot;* &quot;-&quot;_);_(@_)"/>
    <numFmt numFmtId="178" formatCode="_-[$Rp-421]* #,##0.00_-;\-[$Rp-421]* #,##0.00_-;_-[$Rp-421]* &quot;-&quot;??_-;_-@_-"/>
    <numFmt numFmtId="179" formatCode="_(* #,##0.0000_);_(* \(#,##0.0000\);_(* &quot;-&quot;_);_(@_)"/>
    <numFmt numFmtId="180" formatCode="#,##0.0000_);\(#,##0.0000\)"/>
    <numFmt numFmtId="181" formatCode="_(* #,##0.000_);_(* \(#,##0.000\);_(* &quot;-&quot;_);_(@_)"/>
    <numFmt numFmtId="182" formatCode="_(* #,##0.000_);_(* \(#,##0.000\);_(* &quot;-&quot;???_);_(@_)"/>
    <numFmt numFmtId="183" formatCode="_(* #,##0.0000_);_(* \(#,##0.0000\);_(* &quot;-&quot;??_);_(@_)"/>
    <numFmt numFmtId="184" formatCode="_(* #,##0.00_);_(* \(#,##0.00\);_(* &quot;-&quot;???_);_(@_)"/>
    <numFmt numFmtId="185" formatCode="_(* #,##0.00000_);_(* \(#,##0.00000\);_(* &quot;-&quot;??_);_(@_)"/>
    <numFmt numFmtId="186" formatCode="&quot;Rp&quot;\ \ #,##0.00_);\(&quot;Rp&quot;#,##0.00\)"/>
    <numFmt numFmtId="187" formatCode="&quot;Rp&quot;\ \ #,##0_);\(&quot;Rp&quot;#,##0\)"/>
    <numFmt numFmtId="188" formatCode="General\."/>
    <numFmt numFmtId="189" formatCode="#,##0.0_);\(#,##0.0\)"/>
    <numFmt numFmtId="190" formatCode="&quot;Rp&quot;\ #,##0"/>
    <numFmt numFmtId="191" formatCode="0.00_);\(0.00\)"/>
    <numFmt numFmtId="192" formatCode="_(* #,##0.0_);_(* \(#,##0.0\);_(* &quot;-&quot;?_);_(@_)"/>
    <numFmt numFmtId="193" formatCode="_(* #,##0.00000_);_(* \(#,##0.00000\);_(* &quot;-&quot;?????_);_(@_)"/>
    <numFmt numFmtId="194" formatCode="_-* #,##0.000_-;\-* #,##0.000_-;_-* &quot;-&quot;???_-;_-@_-"/>
    <numFmt numFmtId="195" formatCode="0.0000"/>
    <numFmt numFmtId="196" formatCode="_(* #,##0.0_);_(* \(#,##0.0\);_(* &quot;-&quot;_);_(@_)"/>
    <numFmt numFmtId="197" formatCode="_-[$Rp-3809]* #,##0.00_-;\-[$Rp-3809]* #,##0.00_-;_-[$Rp-3809]* &quot;-&quot;??_-;_-@_-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sz val="10"/>
      <name val="Arial"/>
      <family val="2"/>
    </font>
    <font>
      <b/>
      <sz val="12"/>
      <name val="Arial Narrow"/>
      <family val="2"/>
    </font>
    <font>
      <sz val="10"/>
      <name val="Arial"/>
      <family val="2"/>
    </font>
    <font>
      <sz val="12"/>
      <name val="Arial"/>
      <family val="2"/>
    </font>
    <font>
      <sz val="12"/>
      <name val="Arial Narrow"/>
      <family val="2"/>
    </font>
    <font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sz val="9"/>
      <name val="Rockwell"/>
      <family val="1"/>
    </font>
    <font>
      <sz val="11"/>
      <name val="Helv"/>
    </font>
    <font>
      <sz val="10"/>
      <name val="Arial"/>
      <family val="2"/>
    </font>
    <font>
      <sz val="10"/>
      <name val="Arial Narrow"/>
      <family val="2"/>
    </font>
    <font>
      <b/>
      <sz val="14"/>
      <name val="Arial Narrow"/>
      <family val="2"/>
    </font>
    <font>
      <b/>
      <sz val="18"/>
      <name val="Arial Narrow"/>
      <family val="2"/>
    </font>
    <font>
      <sz val="11"/>
      <color indexed="8"/>
      <name val="Calibri"/>
      <family val="2"/>
    </font>
    <font>
      <sz val="11"/>
      <name val="Arial Narrow"/>
      <family val="2"/>
    </font>
    <font>
      <b/>
      <sz val="11"/>
      <name val="Arial Narrow"/>
      <family val="2"/>
    </font>
    <font>
      <sz val="8"/>
      <name val="Arial Narrow"/>
      <family val="2"/>
    </font>
    <font>
      <i/>
      <sz val="11"/>
      <name val="Arial Narrow"/>
      <family val="2"/>
    </font>
    <font>
      <b/>
      <sz val="8"/>
      <name val="Arial Narrow"/>
      <family val="2"/>
    </font>
    <font>
      <sz val="8"/>
      <name val="Arial"/>
      <family val="2"/>
    </font>
    <font>
      <b/>
      <u/>
      <sz val="14"/>
      <name val="Arial Narrow"/>
      <family val="2"/>
    </font>
    <font>
      <u/>
      <sz val="12"/>
      <color indexed="12"/>
      <name val="Times New Roman"/>
      <family val="1"/>
    </font>
    <font>
      <sz val="12"/>
      <name val="Times New Roman"/>
      <family val="1"/>
    </font>
    <font>
      <b/>
      <sz val="12"/>
      <color indexed="8"/>
      <name val="Arial Narrow"/>
      <family val="2"/>
    </font>
    <font>
      <b/>
      <sz val="12"/>
      <color indexed="12"/>
      <name val="Arial Narrow"/>
      <family val="2"/>
    </font>
    <font>
      <sz val="10"/>
      <name val="Helv"/>
    </font>
    <font>
      <b/>
      <sz val="10"/>
      <name val="Arial Narrow"/>
      <family val="2"/>
    </font>
    <font>
      <i/>
      <sz val="10"/>
      <name val="Arial Narrow"/>
      <family val="2"/>
    </font>
    <font>
      <sz val="11"/>
      <color indexed="8"/>
      <name val="Calibri"/>
      <family val="2"/>
      <charset val="1"/>
    </font>
    <font>
      <sz val="10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10"/>
      <name val="Arial Narrow"/>
      <family val="2"/>
    </font>
    <font>
      <b/>
      <sz val="12"/>
      <color indexed="10"/>
      <name val="Arial Narrow"/>
      <family val="2"/>
    </font>
    <font>
      <sz val="11"/>
      <color theme="1"/>
      <name val="Calibri"/>
      <family val="2"/>
      <charset val="1"/>
      <scheme val="minor"/>
    </font>
    <font>
      <u/>
      <sz val="10"/>
      <color theme="10"/>
      <name val="Arial"/>
      <family val="2"/>
    </font>
    <font>
      <u/>
      <sz val="9"/>
      <color theme="10"/>
      <name val="Arial"/>
      <family val="2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9"/>
      <name val="Arial Narrow"/>
      <family val="2"/>
    </font>
    <font>
      <sz val="11"/>
      <color rgb="FFC00000"/>
      <name val="Arial Narrow"/>
      <family val="2"/>
    </font>
    <font>
      <sz val="8"/>
      <color rgb="FFC00000"/>
      <name val="Arial Narrow"/>
      <family val="2"/>
    </font>
    <font>
      <b/>
      <sz val="11"/>
      <color rgb="FFC00000"/>
      <name val="Arial Narrow"/>
      <family val="2"/>
    </font>
    <font>
      <sz val="11"/>
      <name val="Sylfaen"/>
      <family val="1"/>
    </font>
    <font>
      <b/>
      <i/>
      <sz val="14"/>
      <name val="Calibri"/>
      <family val="2"/>
      <scheme val="minor"/>
    </font>
    <font>
      <sz val="6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6"/>
      <name val="Calibri"/>
      <family val="2"/>
      <scheme val="minor"/>
    </font>
    <font>
      <sz val="11"/>
      <name val="Calibri"/>
      <family val="2"/>
      <scheme val="minor"/>
    </font>
    <font>
      <i/>
      <sz val="11"/>
      <color rgb="FFC00000"/>
      <name val="Arial Narrow"/>
      <family val="2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0"/>
      <color rgb="FFC00000"/>
      <name val="Arial Narrow"/>
      <family val="2"/>
    </font>
    <font>
      <b/>
      <i/>
      <sz val="11"/>
      <name val="Arial Narrow"/>
      <family val="2"/>
    </font>
    <font>
      <sz val="9"/>
      <name val="Tahoma"/>
      <family val="2"/>
    </font>
    <font>
      <b/>
      <sz val="18"/>
      <name val="Century Gothic"/>
      <family val="2"/>
    </font>
    <font>
      <b/>
      <sz val="11"/>
      <name val="Century Gothic"/>
      <family val="2"/>
    </font>
    <font>
      <sz val="11"/>
      <name val="Century Gothic"/>
      <family val="2"/>
    </font>
    <font>
      <sz val="11"/>
      <color rgb="FFC00000"/>
      <name val="Century Gothic"/>
      <family val="2"/>
    </font>
    <font>
      <b/>
      <sz val="11"/>
      <color rgb="FFC00000"/>
      <name val="Century Gothic"/>
      <family val="2"/>
    </font>
    <font>
      <i/>
      <sz val="11"/>
      <name val="Century Gothic"/>
      <family val="2"/>
    </font>
    <font>
      <i/>
      <sz val="10"/>
      <name val="Century Gothic"/>
      <family val="2"/>
    </font>
    <font>
      <sz val="10"/>
      <name val="Century Gothic"/>
      <family val="2"/>
    </font>
    <font>
      <b/>
      <sz val="10"/>
      <name val="Century Gothic"/>
      <family val="2"/>
    </font>
    <font>
      <sz val="9"/>
      <name val="Century Gothic"/>
      <family val="2"/>
    </font>
    <font>
      <sz val="11"/>
      <color rgb="FFFF0000"/>
      <name val="Century Gothic"/>
      <family val="2"/>
    </font>
    <font>
      <b/>
      <sz val="14"/>
      <name val="Century Gothic"/>
      <family val="2"/>
    </font>
    <font>
      <b/>
      <i/>
      <sz val="11"/>
      <name val="Century Gothic"/>
      <family val="2"/>
    </font>
    <font>
      <b/>
      <i/>
      <sz val="14"/>
      <name val="Century Gothic"/>
      <family val="2"/>
    </font>
    <font>
      <sz val="6"/>
      <name val="Century Gothic"/>
      <family val="2"/>
    </font>
    <font>
      <b/>
      <sz val="12"/>
      <name val="Century Gothic"/>
      <family val="2"/>
    </font>
    <font>
      <b/>
      <sz val="6"/>
      <name val="Century Gothic"/>
      <family val="2"/>
    </font>
    <font>
      <b/>
      <sz val="16"/>
      <name val="Century Gothic"/>
      <family val="2"/>
    </font>
    <font>
      <sz val="12"/>
      <name val="Century Gothic"/>
      <family val="2"/>
    </font>
    <font>
      <sz val="11"/>
      <color indexed="8"/>
      <name val="Century Gothic"/>
      <family val="2"/>
    </font>
    <font>
      <b/>
      <u/>
      <sz val="11"/>
      <name val="Century Gothic"/>
      <family val="2"/>
    </font>
    <font>
      <b/>
      <sz val="11"/>
      <color indexed="36"/>
      <name val="Century Gothic"/>
      <family val="2"/>
    </font>
    <font>
      <b/>
      <u/>
      <sz val="11"/>
      <color indexed="36"/>
      <name val="Century Gothic"/>
      <family val="2"/>
    </font>
    <font>
      <sz val="11"/>
      <color indexed="36"/>
      <name val="Century Gothic"/>
      <family val="2"/>
    </font>
    <font>
      <sz val="11"/>
      <color indexed="10"/>
      <name val="Century Gothic"/>
      <family val="2"/>
    </font>
    <font>
      <sz val="10"/>
      <color indexed="60"/>
      <name val="Century Gothic"/>
      <family val="2"/>
    </font>
    <font>
      <b/>
      <sz val="10"/>
      <color indexed="60"/>
      <name val="Century Gothic"/>
      <family val="2"/>
    </font>
    <font>
      <sz val="10"/>
      <color indexed="8"/>
      <name val="Century Gothic"/>
      <family val="2"/>
    </font>
    <font>
      <sz val="10"/>
      <color rgb="FFFF0000"/>
      <name val="Century Gothic"/>
      <family val="2"/>
    </font>
    <font>
      <b/>
      <sz val="24"/>
      <name val="Century Gothic"/>
      <family val="2"/>
    </font>
    <font>
      <sz val="12"/>
      <color indexed="8"/>
      <name val="Century Gothic"/>
      <family val="2"/>
    </font>
    <font>
      <b/>
      <i/>
      <sz val="10"/>
      <name val="Century Gothic"/>
      <family val="2"/>
    </font>
    <font>
      <b/>
      <sz val="14"/>
      <color indexed="8"/>
      <name val="Century Gothic"/>
      <family val="2"/>
    </font>
    <font>
      <sz val="12"/>
      <color rgb="FFFF0000"/>
      <name val="Century Gothic"/>
      <family val="2"/>
    </font>
    <font>
      <b/>
      <sz val="11"/>
      <color indexed="8"/>
      <name val="Century Gothic"/>
      <family val="2"/>
    </font>
    <font>
      <sz val="11"/>
      <color rgb="FF0070C0"/>
      <name val="Century Gothic"/>
      <family val="2"/>
    </font>
    <font>
      <b/>
      <i/>
      <sz val="11"/>
      <color indexed="8"/>
      <name val="Century Gothic"/>
      <family val="2"/>
    </font>
    <font>
      <i/>
      <sz val="11"/>
      <color indexed="8"/>
      <name val="Century Gothic"/>
      <family val="2"/>
    </font>
    <font>
      <b/>
      <sz val="10"/>
      <color indexed="8"/>
      <name val="Century Gothic"/>
      <family val="2"/>
    </font>
    <font>
      <sz val="9"/>
      <color indexed="8"/>
      <name val="Century Gothic"/>
      <family val="2"/>
    </font>
    <font>
      <sz val="9"/>
      <color rgb="FFFF0000"/>
      <name val="Century Gothic"/>
      <family val="2"/>
    </font>
    <font>
      <b/>
      <sz val="11"/>
      <color rgb="FFFF0000"/>
      <name val="Century Gothic"/>
      <family val="2"/>
    </font>
    <font>
      <sz val="11"/>
      <color theme="0"/>
      <name val="Century Gothic"/>
      <family val="2"/>
    </font>
    <font>
      <b/>
      <u/>
      <sz val="11"/>
      <color indexed="8"/>
      <name val="Century Gothic"/>
      <family val="2"/>
    </font>
    <font>
      <sz val="14"/>
      <name val="Century Gothic"/>
      <family val="2"/>
    </font>
    <font>
      <u/>
      <sz val="11"/>
      <color indexed="36"/>
      <name val="Century Gothic"/>
      <family val="2"/>
    </font>
    <font>
      <b/>
      <sz val="11"/>
      <color indexed="10"/>
      <name val="Century Gothic"/>
      <family val="2"/>
    </font>
    <font>
      <b/>
      <sz val="13"/>
      <name val="Century Gothic"/>
      <family val="2"/>
    </font>
    <font>
      <sz val="8"/>
      <name val="Century Gothic"/>
      <family val="2"/>
    </font>
    <font>
      <u/>
      <sz val="10"/>
      <name val="Century Gothic"/>
      <family val="2"/>
    </font>
    <font>
      <sz val="10"/>
      <color indexed="10"/>
      <name val="Century Gothic"/>
      <family val="2"/>
    </font>
    <font>
      <sz val="10"/>
      <color indexed="12"/>
      <name val="Century Gothic"/>
      <family val="2"/>
    </font>
    <font>
      <sz val="10"/>
      <color indexed="9"/>
      <name val="Century Gothic"/>
      <family val="2"/>
    </font>
    <font>
      <b/>
      <sz val="10"/>
      <color indexed="12"/>
      <name val="Century Gothic"/>
      <family val="2"/>
    </font>
    <font>
      <b/>
      <u val="singleAccounting"/>
      <sz val="11"/>
      <name val="Century Gothic"/>
      <family val="2"/>
    </font>
    <font>
      <b/>
      <u/>
      <sz val="14"/>
      <name val="Century Gothic"/>
      <family val="2"/>
    </font>
    <font>
      <sz val="8"/>
      <color rgb="FFC00000"/>
      <name val="Century Gothic"/>
      <family val="2"/>
    </font>
    <font>
      <sz val="10"/>
      <color rgb="FFC00000"/>
      <name val="Century Gothic"/>
      <family val="2"/>
    </font>
    <font>
      <b/>
      <sz val="24"/>
      <color rgb="FF000000"/>
      <name val="Century Gothic"/>
      <family val="2"/>
    </font>
    <font>
      <b/>
      <sz val="10"/>
      <color rgb="FFC00000"/>
      <name val="Century Gothic"/>
      <family val="2"/>
    </font>
    <font>
      <sz val="11"/>
      <color rgb="FF000000"/>
      <name val="Century Gothic"/>
      <family val="2"/>
    </font>
    <font>
      <sz val="1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249">
    <border>
      <left/>
      <right/>
      <top/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1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double">
        <color indexed="8"/>
      </left>
      <right/>
      <top style="double">
        <color indexed="8"/>
      </top>
      <bottom/>
      <diagonal/>
    </border>
    <border>
      <left style="thin">
        <color indexed="8"/>
      </left>
      <right/>
      <top style="double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8"/>
      </left>
      <right style="double">
        <color indexed="8"/>
      </right>
      <top style="double">
        <color indexed="8"/>
      </top>
      <bottom/>
      <diagonal/>
    </border>
    <border>
      <left style="double">
        <color indexed="8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double">
        <color indexed="8"/>
      </right>
      <top/>
      <bottom/>
      <diagonal/>
    </border>
    <border>
      <left style="double">
        <color indexed="8"/>
      </left>
      <right/>
      <top/>
      <bottom style="double">
        <color indexed="8"/>
      </bottom>
      <diagonal/>
    </border>
    <border>
      <left style="thin">
        <color indexed="8"/>
      </left>
      <right/>
      <top/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 style="thin">
        <color indexed="8"/>
      </left>
      <right style="double">
        <color indexed="8"/>
      </right>
      <top/>
      <bottom style="double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double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10"/>
      </left>
      <right/>
      <top/>
      <bottom style="medium">
        <color indexed="10"/>
      </bottom>
      <diagonal/>
    </border>
    <border>
      <left/>
      <right/>
      <top/>
      <bottom style="medium">
        <color indexed="10"/>
      </bottom>
      <diagonal/>
    </border>
    <border>
      <left/>
      <right style="medium">
        <color indexed="10"/>
      </right>
      <top/>
      <bottom style="medium">
        <color indexed="10"/>
      </bottom>
      <diagonal/>
    </border>
    <border>
      <left style="medium">
        <color indexed="10"/>
      </left>
      <right/>
      <top/>
      <bottom/>
      <diagonal/>
    </border>
    <border>
      <left style="double">
        <color indexed="8"/>
      </left>
      <right/>
      <top style="double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10"/>
      </left>
      <right/>
      <top style="medium">
        <color indexed="10"/>
      </top>
      <bottom/>
      <diagonal/>
    </border>
    <border>
      <left/>
      <right/>
      <top style="medium">
        <color indexed="10"/>
      </top>
      <bottom/>
      <diagonal/>
    </border>
    <border>
      <left/>
      <right style="medium">
        <color indexed="10"/>
      </right>
      <top style="medium">
        <color indexed="10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double">
        <color auto="1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</borders>
  <cellStyleXfs count="196">
    <xf numFmtId="0" fontId="0" fillId="0" borderId="0"/>
    <xf numFmtId="166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>
      <alignment vertical="top"/>
      <protection locked="0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5" fillId="0" borderId="0" applyFont="0" applyFill="0" applyBorder="0" applyAlignment="0" applyProtection="0"/>
    <xf numFmtId="170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>
      <alignment vertical="top"/>
      <protection locked="0"/>
    </xf>
    <xf numFmtId="169" fontId="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3" fontId="10" fillId="0" borderId="0" applyFont="0" applyFill="0" applyBorder="0" applyAlignment="0" applyProtection="0"/>
    <xf numFmtId="167" fontId="3" fillId="0" borderId="0" applyFont="0" applyFill="0" applyBorder="0" applyAlignment="0" applyProtection="0"/>
    <xf numFmtId="174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2" fontId="10" fillId="0" borderId="0" applyFon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39" fillId="0" borderId="0"/>
    <xf numFmtId="0" fontId="3" fillId="0" borderId="0"/>
    <xf numFmtId="0" fontId="3" fillId="0" borderId="0"/>
    <xf numFmtId="0" fontId="3" fillId="0" borderId="0"/>
    <xf numFmtId="0" fontId="39" fillId="0" borderId="0"/>
    <xf numFmtId="0" fontId="39" fillId="0" borderId="0"/>
    <xf numFmtId="0" fontId="39" fillId="0" borderId="0"/>
    <xf numFmtId="3" fontId="3" fillId="0" borderId="0"/>
    <xf numFmtId="0" fontId="42" fillId="0" borderId="0"/>
    <xf numFmtId="0" fontId="3" fillId="0" borderId="0"/>
    <xf numFmtId="0" fontId="5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1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13" fillId="0" borderId="0"/>
    <xf numFmtId="39" fontId="14" fillId="0" borderId="0"/>
    <xf numFmtId="39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0"/>
    <xf numFmtId="0" fontId="3" fillId="0" borderId="0" applyProtection="0"/>
    <xf numFmtId="0" fontId="5" fillId="0" borderId="0"/>
    <xf numFmtId="0" fontId="6" fillId="0" borderId="0"/>
    <xf numFmtId="0" fontId="12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42" fillId="0" borderId="0"/>
    <xf numFmtId="0" fontId="3" fillId="0" borderId="0"/>
    <xf numFmtId="0" fontId="5" fillId="0" borderId="0"/>
    <xf numFmtId="0" fontId="39" fillId="0" borderId="0"/>
    <xf numFmtId="0" fontId="3" fillId="0" borderId="0"/>
    <xf numFmtId="0" fontId="5" fillId="0" borderId="0"/>
    <xf numFmtId="0" fontId="3" fillId="0" borderId="0"/>
    <xf numFmtId="0" fontId="3" fillId="0" borderId="0">
      <alignment vertical="center"/>
    </xf>
    <xf numFmtId="0" fontId="5" fillId="0" borderId="0"/>
    <xf numFmtId="0" fontId="31" fillId="0" borderId="0"/>
    <xf numFmtId="0" fontId="31" fillId="0" borderId="0"/>
    <xf numFmtId="172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>
      <protection locked="0"/>
    </xf>
    <xf numFmtId="0" fontId="28" fillId="0" borderId="0">
      <protection locked="0"/>
    </xf>
    <xf numFmtId="0" fontId="28" fillId="0" borderId="0"/>
    <xf numFmtId="0" fontId="3" fillId="0" borderId="0"/>
    <xf numFmtId="0" fontId="12" fillId="0" borderId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3" fillId="0" borderId="0" applyFont="0" applyFill="0" applyBorder="0" applyAlignment="0" applyProtection="0"/>
    <xf numFmtId="165" fontId="19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6" fillId="0" borderId="0"/>
  </cellStyleXfs>
  <cellXfs count="3257">
    <xf numFmtId="0" fontId="0" fillId="0" borderId="0" xfId="0"/>
    <xf numFmtId="0" fontId="20" fillId="0" borderId="0" xfId="118" applyFont="1"/>
    <xf numFmtId="0" fontId="21" fillId="0" borderId="0" xfId="118" applyFont="1" applyAlignment="1">
      <alignment horizontal="center"/>
    </xf>
    <xf numFmtId="0" fontId="20" fillId="0" borderId="0" xfId="118" applyFont="1" applyAlignment="1"/>
    <xf numFmtId="166" fontId="21" fillId="0" borderId="15" xfId="42" applyFont="1" applyBorder="1" applyAlignment="1">
      <alignment horizontal="center"/>
    </xf>
    <xf numFmtId="181" fontId="21" fillId="0" borderId="16" xfId="2" applyNumberFormat="1" applyFont="1" applyBorder="1" applyAlignment="1">
      <alignment horizontal="center"/>
    </xf>
    <xf numFmtId="166" fontId="21" fillId="0" borderId="16" xfId="42" applyFont="1" applyBorder="1" applyAlignment="1">
      <alignment horizontal="center"/>
    </xf>
    <xf numFmtId="181" fontId="21" fillId="0" borderId="17" xfId="2" applyNumberFormat="1" applyFont="1" applyBorder="1" applyAlignment="1">
      <alignment horizontal="center"/>
    </xf>
    <xf numFmtId="0" fontId="21" fillId="0" borderId="19" xfId="118" applyFont="1" applyBorder="1" applyAlignment="1">
      <alignment horizontal="center"/>
    </xf>
    <xf numFmtId="0" fontId="20" fillId="0" borderId="0" xfId="131" applyFont="1" applyFill="1" applyAlignment="1">
      <alignment horizontal="left"/>
    </xf>
    <xf numFmtId="166" fontId="20" fillId="0" borderId="0" xfId="131" applyNumberFormat="1" applyFont="1" applyFill="1" applyAlignment="1"/>
    <xf numFmtId="0" fontId="20" fillId="0" borderId="0" xfId="131" applyFont="1" applyFill="1" applyAlignment="1"/>
    <xf numFmtId="166" fontId="20" fillId="0" borderId="0" xfId="131" applyNumberFormat="1" applyFont="1" applyFill="1" applyAlignment="1">
      <alignment horizontal="left"/>
    </xf>
    <xf numFmtId="0" fontId="21" fillId="0" borderId="0" xfId="131" applyFont="1" applyFill="1" applyAlignment="1">
      <alignment horizontal="center"/>
    </xf>
    <xf numFmtId="0" fontId="21" fillId="0" borderId="20" xfId="131" applyFont="1" applyFill="1" applyBorder="1" applyAlignment="1">
      <alignment horizontal="center" vertical="center"/>
    </xf>
    <xf numFmtId="0" fontId="21" fillId="0" borderId="21" xfId="131" applyFont="1" applyFill="1" applyBorder="1" applyAlignment="1">
      <alignment horizontal="center" vertical="center"/>
    </xf>
    <xf numFmtId="0" fontId="20" fillId="0" borderId="0" xfId="118" applyFont="1" applyAlignment="1">
      <alignment horizontal="center"/>
    </xf>
    <xf numFmtId="0" fontId="20" fillId="0" borderId="0" xfId="132" applyFont="1" applyBorder="1" applyAlignment="1">
      <alignment vertical="center"/>
    </xf>
    <xf numFmtId="175" fontId="21" fillId="0" borderId="0" xfId="118" applyNumberFormat="1" applyFont="1"/>
    <xf numFmtId="166" fontId="22" fillId="0" borderId="22" xfId="42" applyFont="1" applyBorder="1" applyAlignment="1">
      <alignment horizontal="center" vertical="center"/>
    </xf>
    <xf numFmtId="172" fontId="20" fillId="0" borderId="22" xfId="42" applyNumberFormat="1" applyFont="1" applyBorder="1" applyAlignment="1">
      <alignment horizontal="center"/>
    </xf>
    <xf numFmtId="181" fontId="20" fillId="0" borderId="26" xfId="42" applyNumberFormat="1" applyFont="1" applyBorder="1" applyAlignment="1">
      <alignment horizontal="center"/>
    </xf>
    <xf numFmtId="172" fontId="20" fillId="0" borderId="22" xfId="42" applyNumberFormat="1" applyFont="1" applyFill="1" applyBorder="1" applyAlignment="1">
      <alignment horizontal="center"/>
    </xf>
    <xf numFmtId="172" fontId="22" fillId="0" borderId="22" xfId="42" applyNumberFormat="1" applyFont="1" applyFill="1" applyBorder="1" applyAlignment="1">
      <alignment horizontal="center" vertical="center"/>
    </xf>
    <xf numFmtId="172" fontId="22" fillId="0" borderId="22" xfId="42" applyNumberFormat="1" applyFont="1" applyBorder="1" applyAlignment="1">
      <alignment horizontal="center" vertical="center"/>
    </xf>
    <xf numFmtId="166" fontId="20" fillId="0" borderId="24" xfId="42" applyFont="1" applyBorder="1"/>
    <xf numFmtId="181" fontId="20" fillId="0" borderId="24" xfId="2" applyNumberFormat="1" applyFont="1" applyBorder="1"/>
    <xf numFmtId="181" fontId="20" fillId="0" borderId="29" xfId="2" applyNumberFormat="1" applyFont="1" applyBorder="1"/>
    <xf numFmtId="181" fontId="21" fillId="0" borderId="30" xfId="2" applyNumberFormat="1" applyFont="1" applyBorder="1"/>
    <xf numFmtId="166" fontId="20" fillId="0" borderId="22" xfId="1" applyFont="1" applyBorder="1" applyAlignment="1">
      <alignment horizontal="center"/>
    </xf>
    <xf numFmtId="166" fontId="20" fillId="0" borderId="0" xfId="42" applyFont="1" applyBorder="1" applyAlignment="1"/>
    <xf numFmtId="166" fontId="22" fillId="0" borderId="24" xfId="42" applyFont="1" applyBorder="1" applyAlignment="1">
      <alignment horizontal="center" vertical="center"/>
    </xf>
    <xf numFmtId="0" fontId="20" fillId="0" borderId="0" xfId="118" applyFont="1" applyFill="1"/>
    <xf numFmtId="0" fontId="20" fillId="0" borderId="0" xfId="118" applyFont="1" applyFill="1" applyAlignment="1"/>
    <xf numFmtId="0" fontId="20" fillId="0" borderId="0" xfId="118" applyFont="1" applyFill="1" applyAlignment="1">
      <alignment horizontal="center"/>
    </xf>
    <xf numFmtId="166" fontId="20" fillId="0" borderId="22" xfId="1" applyFont="1" applyFill="1" applyBorder="1" applyAlignment="1">
      <alignment horizontal="center"/>
    </xf>
    <xf numFmtId="0" fontId="20" fillId="0" borderId="0" xfId="132" applyFont="1" applyBorder="1" applyAlignment="1">
      <alignment horizontal="center" vertical="center"/>
    </xf>
    <xf numFmtId="166" fontId="20" fillId="0" borderId="0" xfId="118" applyNumberFormat="1" applyFont="1"/>
    <xf numFmtId="0" fontId="20" fillId="0" borderId="0" xfId="118" applyFont="1" applyBorder="1" applyAlignment="1">
      <alignment horizontal="center"/>
    </xf>
    <xf numFmtId="181" fontId="20" fillId="0" borderId="0" xfId="2" applyNumberFormat="1" applyFont="1" applyBorder="1" applyAlignment="1">
      <alignment horizontal="right"/>
    </xf>
    <xf numFmtId="166" fontId="20" fillId="0" borderId="0" xfId="42" applyFont="1" applyBorder="1" applyAlignment="1">
      <alignment horizontal="right"/>
    </xf>
    <xf numFmtId="166" fontId="20" fillId="0" borderId="31" xfId="118" applyNumberFormat="1" applyFont="1" applyBorder="1" applyAlignment="1">
      <alignment horizontal="right"/>
    </xf>
    <xf numFmtId="181" fontId="21" fillId="0" borderId="0" xfId="2" applyNumberFormat="1" applyFont="1" applyBorder="1"/>
    <xf numFmtId="166" fontId="20" fillId="0" borderId="0" xfId="1" applyFont="1"/>
    <xf numFmtId="181" fontId="24" fillId="0" borderId="16" xfId="2" applyNumberFormat="1" applyFont="1" applyBorder="1" applyAlignment="1">
      <alignment horizontal="center"/>
    </xf>
    <xf numFmtId="181" fontId="22" fillId="0" borderId="0" xfId="2" applyNumberFormat="1" applyFont="1" applyBorder="1" applyAlignment="1"/>
    <xf numFmtId="181" fontId="22" fillId="0" borderId="0" xfId="2" applyNumberFormat="1" applyFont="1" applyBorder="1" applyAlignment="1">
      <alignment horizontal="right"/>
    </xf>
    <xf numFmtId="181" fontId="22" fillId="0" borderId="24" xfId="2" applyNumberFormat="1" applyFont="1" applyBorder="1"/>
    <xf numFmtId="181" fontId="24" fillId="0" borderId="15" xfId="2" applyNumberFormat="1" applyFont="1" applyBorder="1" applyAlignment="1">
      <alignment horizontal="center"/>
    </xf>
    <xf numFmtId="166" fontId="20" fillId="0" borderId="31" xfId="118" applyNumberFormat="1" applyFont="1" applyFill="1" applyBorder="1" applyAlignment="1">
      <alignment horizontal="right"/>
    </xf>
    <xf numFmtId="0" fontId="21" fillId="0" borderId="0" xfId="118" applyFont="1" applyFill="1" applyAlignment="1">
      <alignment horizontal="center"/>
    </xf>
    <xf numFmtId="166" fontId="20" fillId="0" borderId="0" xfId="1" applyFont="1" applyFill="1"/>
    <xf numFmtId="0" fontId="21" fillId="0" borderId="19" xfId="118" applyFont="1" applyFill="1" applyBorder="1" applyAlignment="1">
      <alignment horizontal="center"/>
    </xf>
    <xf numFmtId="0" fontId="21" fillId="0" borderId="0" xfId="118" applyFont="1" applyFill="1"/>
    <xf numFmtId="175" fontId="21" fillId="0" borderId="0" xfId="118" applyNumberFormat="1" applyFont="1" applyFill="1"/>
    <xf numFmtId="0" fontId="20" fillId="0" borderId="0" xfId="118" applyFont="1" applyFill="1" applyBorder="1"/>
    <xf numFmtId="0" fontId="20" fillId="0" borderId="0" xfId="118" applyFont="1" applyFill="1" applyBorder="1" applyAlignment="1">
      <alignment horizontal="center"/>
    </xf>
    <xf numFmtId="183" fontId="21" fillId="0" borderId="16" xfId="42" applyNumberFormat="1" applyFont="1" applyBorder="1" applyAlignment="1">
      <alignment horizontal="center"/>
    </xf>
    <xf numFmtId="183" fontId="20" fillId="0" borderId="24" xfId="42" applyNumberFormat="1" applyFont="1" applyBorder="1"/>
    <xf numFmtId="0" fontId="20" fillId="0" borderId="0" xfId="132" applyFont="1" applyAlignment="1">
      <alignment horizontal="center" vertical="center"/>
    </xf>
    <xf numFmtId="0" fontId="20" fillId="0" borderId="0" xfId="132" applyFont="1" applyAlignment="1">
      <alignment vertical="center"/>
    </xf>
    <xf numFmtId="0" fontId="22" fillId="0" borderId="0" xfId="118" applyFont="1" applyAlignment="1">
      <alignment horizontal="center"/>
    </xf>
    <xf numFmtId="166" fontId="20" fillId="0" borderId="28" xfId="1" applyFont="1" applyBorder="1"/>
    <xf numFmtId="166" fontId="20" fillId="0" borderId="26" xfId="1" applyFont="1" applyBorder="1"/>
    <xf numFmtId="0" fontId="20" fillId="0" borderId="0" xfId="132" applyNumberFormat="1" applyFont="1" applyBorder="1" applyAlignment="1">
      <alignment vertical="center"/>
    </xf>
    <xf numFmtId="0" fontId="22" fillId="0" borderId="46" xfId="118" applyFont="1" applyBorder="1" applyAlignment="1">
      <alignment horizontal="center"/>
    </xf>
    <xf numFmtId="0" fontId="21" fillId="0" borderId="0" xfId="118" applyFont="1"/>
    <xf numFmtId="0" fontId="20" fillId="0" borderId="0" xfId="118" applyFont="1" applyAlignment="1">
      <alignment vertical="center"/>
    </xf>
    <xf numFmtId="166" fontId="20" fillId="0" borderId="47" xfId="42" applyFont="1" applyBorder="1" applyAlignment="1"/>
    <xf numFmtId="181" fontId="22" fillId="0" borderId="38" xfId="2" applyNumberFormat="1" applyFont="1" applyBorder="1" applyAlignment="1"/>
    <xf numFmtId="181" fontId="20" fillId="0" borderId="38" xfId="2" applyNumberFormat="1" applyFont="1" applyBorder="1" applyAlignment="1">
      <alignment horizontal="right"/>
    </xf>
    <xf numFmtId="181" fontId="22" fillId="0" borderId="38" xfId="2" applyNumberFormat="1" applyFont="1" applyBorder="1" applyAlignment="1">
      <alignment horizontal="right"/>
    </xf>
    <xf numFmtId="166" fontId="20" fillId="0" borderId="38" xfId="42" applyFont="1" applyBorder="1" applyAlignment="1">
      <alignment horizontal="right"/>
    </xf>
    <xf numFmtId="183" fontId="20" fillId="0" borderId="38" xfId="42" applyNumberFormat="1" applyFont="1" applyBorder="1" applyAlignment="1">
      <alignment horizontal="right"/>
    </xf>
    <xf numFmtId="172" fontId="20" fillId="0" borderId="0" xfId="42" applyNumberFormat="1" applyFont="1" applyBorder="1" applyAlignment="1">
      <alignment horizontal="right"/>
    </xf>
    <xf numFmtId="0" fontId="7" fillId="0" borderId="0" xfId="0" applyFont="1"/>
    <xf numFmtId="0" fontId="30" fillId="0" borderId="0" xfId="0" applyFont="1" applyAlignment="1">
      <alignment horizontal="left"/>
    </xf>
    <xf numFmtId="0" fontId="29" fillId="0" borderId="0" xfId="0" applyFont="1" applyFill="1" applyAlignment="1">
      <alignment horizontal="center" vertical="center"/>
    </xf>
    <xf numFmtId="166" fontId="4" fillId="0" borderId="0" xfId="0" applyNumberFormat="1" applyFont="1" applyAlignment="1">
      <alignment vertical="center"/>
    </xf>
    <xf numFmtId="166" fontId="4" fillId="0" borderId="0" xfId="0" applyNumberFormat="1" applyFont="1" applyFill="1" applyAlignment="1">
      <alignment horizontal="left" vertical="center"/>
    </xf>
    <xf numFmtId="0" fontId="7" fillId="0" borderId="0" xfId="0" applyFont="1" applyAlignment="1">
      <alignment horizontal="center"/>
    </xf>
    <xf numFmtId="166" fontId="37" fillId="0" borderId="0" xfId="0" applyNumberFormat="1" applyFont="1"/>
    <xf numFmtId="166" fontId="7" fillId="0" borderId="0" xfId="0" applyNumberFormat="1" applyFont="1" applyFill="1" applyBorder="1" applyAlignment="1">
      <alignment vertical="center"/>
    </xf>
    <xf numFmtId="0" fontId="37" fillId="0" borderId="0" xfId="0" applyFont="1" applyAlignment="1">
      <alignment horizontal="left"/>
    </xf>
    <xf numFmtId="166" fontId="38" fillId="0" borderId="0" xfId="0" applyNumberFormat="1" applyFont="1" applyAlignment="1">
      <alignment horizontal="right" vertical="center"/>
    </xf>
    <xf numFmtId="0" fontId="38" fillId="0" borderId="0" xfId="0" applyFont="1"/>
    <xf numFmtId="164" fontId="37" fillId="0" borderId="0" xfId="0" applyNumberFormat="1" applyFont="1" applyAlignment="1">
      <alignment horizontal="left"/>
    </xf>
    <xf numFmtId="166" fontId="38" fillId="0" borderId="0" xfId="0" applyNumberFormat="1" applyFont="1" applyAlignment="1"/>
    <xf numFmtId="166" fontId="38" fillId="0" borderId="0" xfId="0" applyNumberFormat="1" applyFont="1"/>
    <xf numFmtId="0" fontId="37" fillId="0" borderId="57" xfId="0" applyFont="1" applyBorder="1" applyAlignment="1">
      <alignment horizontal="left"/>
    </xf>
    <xf numFmtId="0" fontId="7" fillId="0" borderId="58" xfId="0" applyFont="1" applyBorder="1" applyAlignment="1">
      <alignment horizontal="center"/>
    </xf>
    <xf numFmtId="166" fontId="37" fillId="0" borderId="58" xfId="0" applyNumberFormat="1" applyFont="1" applyBorder="1"/>
    <xf numFmtId="0" fontId="38" fillId="0" borderId="58" xfId="0" applyFont="1" applyBorder="1"/>
    <xf numFmtId="0" fontId="7" fillId="0" borderId="58" xfId="0" applyFont="1" applyBorder="1"/>
    <xf numFmtId="0" fontId="7" fillId="0" borderId="59" xfId="0" applyFont="1" applyBorder="1"/>
    <xf numFmtId="0" fontId="37" fillId="0" borderId="0" xfId="179" applyFont="1" applyFill="1" applyAlignment="1">
      <alignment horizontal="left"/>
    </xf>
    <xf numFmtId="0" fontId="7" fillId="0" borderId="0" xfId="0" applyFont="1" applyAlignment="1">
      <alignment horizontal="left"/>
    </xf>
    <xf numFmtId="0" fontId="37" fillId="0" borderId="0" xfId="0" applyFont="1"/>
    <xf numFmtId="166" fontId="7" fillId="0" borderId="0" xfId="0" applyNumberFormat="1" applyFont="1"/>
    <xf numFmtId="175" fontId="21" fillId="0" borderId="0" xfId="6" applyNumberFormat="1" applyFont="1"/>
    <xf numFmtId="175" fontId="21" fillId="0" borderId="0" xfId="2" applyNumberFormat="1" applyFont="1"/>
    <xf numFmtId="0" fontId="20" fillId="0" borderId="0" xfId="131" applyFont="1" applyFill="1"/>
    <xf numFmtId="0" fontId="21" fillId="0" borderId="0" xfId="131" applyFont="1" applyFill="1" applyBorder="1" applyAlignment="1">
      <alignment horizontal="center"/>
    </xf>
    <xf numFmtId="0" fontId="21" fillId="0" borderId="100" xfId="131" applyFont="1" applyFill="1" applyBorder="1" applyAlignment="1">
      <alignment horizontal="center" vertical="center"/>
    </xf>
    <xf numFmtId="0" fontId="21" fillId="0" borderId="0" xfId="131" applyFont="1" applyFill="1" applyAlignment="1">
      <alignment vertical="center"/>
    </xf>
    <xf numFmtId="166" fontId="20" fillId="0" borderId="101" xfId="131" applyNumberFormat="1" applyFont="1" applyFill="1" applyBorder="1" applyAlignment="1">
      <alignment horizontal="center" vertical="center"/>
    </xf>
    <xf numFmtId="165" fontId="20" fillId="0" borderId="0" xfId="2" applyFont="1" applyFill="1"/>
    <xf numFmtId="0" fontId="20" fillId="0" borderId="0" xfId="131" applyFont="1" applyFill="1" applyAlignment="1">
      <alignment horizontal="right"/>
    </xf>
    <xf numFmtId="0" fontId="21" fillId="0" borderId="117" xfId="131" applyFont="1" applyFill="1" applyBorder="1" applyAlignment="1">
      <alignment horizontal="center" vertical="center"/>
    </xf>
    <xf numFmtId="0" fontId="21" fillId="0" borderId="118" xfId="131" applyFont="1" applyFill="1" applyBorder="1" applyAlignment="1">
      <alignment horizontal="left" vertical="center"/>
    </xf>
    <xf numFmtId="0" fontId="21" fillId="0" borderId="0" xfId="118" applyFont="1" applyAlignment="1"/>
    <xf numFmtId="175" fontId="20" fillId="0" borderId="0" xfId="2" applyNumberFormat="1" applyFont="1" applyBorder="1"/>
    <xf numFmtId="0" fontId="21" fillId="0" borderId="0" xfId="132" applyFont="1" applyBorder="1" applyAlignment="1">
      <alignment vertical="center"/>
    </xf>
    <xf numFmtId="0" fontId="20" fillId="0" borderId="0" xfId="132" applyFont="1" applyFill="1" applyBorder="1" applyAlignment="1">
      <alignment horizontal="center" vertical="center"/>
    </xf>
    <xf numFmtId="0" fontId="20" fillId="0" borderId="0" xfId="132" applyFont="1" applyFill="1" applyBorder="1" applyAlignment="1">
      <alignment vertical="center"/>
    </xf>
    <xf numFmtId="0" fontId="20" fillId="0" borderId="25" xfId="118" applyFont="1" applyBorder="1" applyAlignment="1">
      <alignment horizontal="center"/>
    </xf>
    <xf numFmtId="166" fontId="22" fillId="0" borderId="23" xfId="42" applyFont="1" applyBorder="1" applyAlignment="1">
      <alignment horizontal="center"/>
    </xf>
    <xf numFmtId="166" fontId="20" fillId="0" borderId="18" xfId="1" applyFont="1" applyBorder="1" applyAlignment="1">
      <alignment horizontal="center"/>
    </xf>
    <xf numFmtId="0" fontId="21" fillId="0" borderId="0" xfId="118" applyFont="1" applyBorder="1" applyAlignment="1">
      <alignment horizontal="center"/>
    </xf>
    <xf numFmtId="0" fontId="21" fillId="0" borderId="0" xfId="118" applyFont="1" applyFill="1" applyAlignment="1"/>
    <xf numFmtId="166" fontId="20" fillId="0" borderId="0" xfId="118" applyNumberFormat="1" applyFont="1" applyFill="1"/>
    <xf numFmtId="166" fontId="20" fillId="0" borderId="0" xfId="42" applyNumberFormat="1" applyFont="1" applyFill="1" applyBorder="1" applyAlignment="1">
      <alignment horizontal="center"/>
    </xf>
    <xf numFmtId="0" fontId="20" fillId="0" borderId="0" xfId="118" applyFont="1" applyBorder="1"/>
    <xf numFmtId="193" fontId="20" fillId="0" borderId="0" xfId="118" applyNumberFormat="1" applyFont="1" applyFill="1"/>
    <xf numFmtId="0" fontId="20" fillId="0" borderId="0" xfId="0" applyFont="1" applyFill="1"/>
    <xf numFmtId="0" fontId="21" fillId="0" borderId="177" xfId="118" applyFont="1" applyBorder="1" applyAlignment="1">
      <alignment horizontal="center"/>
    </xf>
    <xf numFmtId="0" fontId="20" fillId="0" borderId="4" xfId="132" quotePrefix="1" applyNumberFormat="1" applyFont="1" applyFill="1" applyBorder="1" applyAlignment="1">
      <alignment horizontal="right" vertical="center"/>
    </xf>
    <xf numFmtId="184" fontId="20" fillId="0" borderId="120" xfId="65" applyNumberFormat="1" applyFont="1" applyFill="1" applyBorder="1" applyAlignment="1">
      <alignment vertical="center"/>
    </xf>
    <xf numFmtId="184" fontId="20" fillId="0" borderId="120" xfId="65" applyNumberFormat="1" applyFont="1" applyFill="1" applyBorder="1" applyAlignment="1">
      <alignment horizontal="center" vertical="center"/>
    </xf>
    <xf numFmtId="182" fontId="20" fillId="0" borderId="0" xfId="118" applyNumberFormat="1" applyFont="1" applyBorder="1"/>
    <xf numFmtId="172" fontId="20" fillId="0" borderId="0" xfId="42" applyNumberFormat="1" applyFont="1" applyBorder="1"/>
    <xf numFmtId="166" fontId="20" fillId="0" borderId="0" xfId="118" applyNumberFormat="1" applyFont="1" applyBorder="1"/>
    <xf numFmtId="194" fontId="20" fillId="0" borderId="0" xfId="118" applyNumberFormat="1" applyFont="1" applyBorder="1"/>
    <xf numFmtId="166" fontId="20" fillId="0" borderId="0" xfId="1" applyFont="1" applyFill="1" applyAlignment="1">
      <alignment vertical="center"/>
    </xf>
    <xf numFmtId="0" fontId="21" fillId="0" borderId="0" xfId="0" applyFont="1"/>
    <xf numFmtId="166" fontId="20" fillId="0" borderId="156" xfId="2" applyNumberFormat="1" applyFont="1" applyFill="1" applyBorder="1" applyAlignment="1">
      <alignment horizontal="right" vertical="center"/>
    </xf>
    <xf numFmtId="166" fontId="20" fillId="0" borderId="146" xfId="2" applyNumberFormat="1" applyFont="1" applyFill="1" applyBorder="1" applyAlignment="1">
      <alignment horizontal="right" vertical="center"/>
    </xf>
    <xf numFmtId="0" fontId="20" fillId="0" borderId="0" xfId="0" applyNumberFormat="1" applyFont="1" applyAlignment="1">
      <alignment horizontal="center"/>
    </xf>
    <xf numFmtId="0" fontId="20" fillId="0" borderId="103" xfId="0" applyFont="1" applyBorder="1"/>
    <xf numFmtId="166" fontId="20" fillId="0" borderId="103" xfId="118" applyNumberFormat="1" applyFont="1" applyBorder="1" applyAlignment="1">
      <alignment horizontal="right"/>
    </xf>
    <xf numFmtId="0" fontId="20" fillId="0" borderId="103" xfId="118" applyFont="1" applyFill="1" applyBorder="1" applyAlignment="1">
      <alignment horizontal="right"/>
    </xf>
    <xf numFmtId="0" fontId="21" fillId="0" borderId="197" xfId="118" applyFont="1" applyBorder="1" applyAlignment="1">
      <alignment horizontal="center"/>
    </xf>
    <xf numFmtId="0" fontId="20" fillId="0" borderId="128" xfId="0" applyFont="1" applyBorder="1"/>
    <xf numFmtId="0" fontId="20" fillId="0" borderId="200" xfId="0" applyFont="1" applyBorder="1"/>
    <xf numFmtId="0" fontId="20" fillId="0" borderId="21" xfId="0" applyFont="1" applyBorder="1"/>
    <xf numFmtId="166" fontId="20" fillId="0" borderId="128" xfId="118" applyNumberFormat="1" applyFont="1" applyBorder="1" applyAlignment="1">
      <alignment horizontal="left"/>
    </xf>
    <xf numFmtId="0" fontId="20" fillId="0" borderId="103" xfId="0" applyFont="1" applyBorder="1" applyAlignment="1">
      <alignment horizontal="right"/>
    </xf>
    <xf numFmtId="166" fontId="20" fillId="0" borderId="103" xfId="118" applyNumberFormat="1" applyFont="1" applyBorder="1" applyAlignment="1">
      <alignment horizontal="left"/>
    </xf>
    <xf numFmtId="0" fontId="20" fillId="0" borderId="104" xfId="0" applyFont="1" applyBorder="1"/>
    <xf numFmtId="166" fontId="20" fillId="0" borderId="128" xfId="118" applyNumberFormat="1" applyFont="1" applyBorder="1" applyAlignment="1">
      <alignment horizontal="right"/>
    </xf>
    <xf numFmtId="166" fontId="20" fillId="0" borderId="200" xfId="118" applyNumberFormat="1" applyFont="1" applyBorder="1" applyAlignment="1">
      <alignment horizontal="right"/>
    </xf>
    <xf numFmtId="166" fontId="20" fillId="0" borderId="103" xfId="118" applyNumberFormat="1" applyFont="1" applyBorder="1" applyAlignment="1">
      <alignment horizontal="center"/>
    </xf>
    <xf numFmtId="0" fontId="20" fillId="0" borderId="129" xfId="42" applyNumberFormat="1" applyFont="1" applyBorder="1" applyAlignment="1">
      <alignment horizontal="center"/>
    </xf>
    <xf numFmtId="0" fontId="20" fillId="0" borderId="0" xfId="42" applyNumberFormat="1" applyFont="1" applyAlignment="1">
      <alignment horizontal="center"/>
    </xf>
    <xf numFmtId="0" fontId="21" fillId="0" borderId="15" xfId="42" applyNumberFormat="1" applyFont="1" applyBorder="1" applyAlignment="1">
      <alignment horizontal="center"/>
    </xf>
    <xf numFmtId="0" fontId="21" fillId="0" borderId="15" xfId="42" applyNumberFormat="1" applyFont="1" applyFill="1" applyBorder="1" applyAlignment="1">
      <alignment horizontal="center"/>
    </xf>
    <xf numFmtId="0" fontId="20" fillId="0" borderId="0" xfId="42" applyNumberFormat="1" applyFont="1" applyBorder="1" applyAlignment="1">
      <alignment horizontal="center"/>
    </xf>
    <xf numFmtId="0" fontId="20" fillId="0" borderId="24" xfId="42" applyNumberFormat="1" applyFont="1" applyFill="1" applyBorder="1" applyAlignment="1">
      <alignment horizontal="center"/>
    </xf>
    <xf numFmtId="0" fontId="21" fillId="0" borderId="198" xfId="42" applyNumberFormat="1" applyFont="1" applyBorder="1" applyAlignment="1">
      <alignment horizontal="center"/>
    </xf>
    <xf numFmtId="0" fontId="21" fillId="0" borderId="129" xfId="42" applyNumberFormat="1" applyFont="1" applyBorder="1" applyAlignment="1">
      <alignment horizontal="center"/>
    </xf>
    <xf numFmtId="0" fontId="20" fillId="0" borderId="36" xfId="42" applyNumberFormat="1" applyFont="1" applyBorder="1" applyAlignment="1">
      <alignment horizontal="center"/>
    </xf>
    <xf numFmtId="0" fontId="21" fillId="0" borderId="172" xfId="42" applyNumberFormat="1" applyFont="1" applyBorder="1" applyAlignment="1">
      <alignment horizontal="center"/>
    </xf>
    <xf numFmtId="0" fontId="20" fillId="0" borderId="0" xfId="2" applyNumberFormat="1" applyFont="1" applyAlignment="1">
      <alignment horizontal="center"/>
    </xf>
    <xf numFmtId="0" fontId="21" fillId="0" borderId="16" xfId="2" applyNumberFormat="1" applyFont="1" applyBorder="1" applyAlignment="1">
      <alignment horizontal="center"/>
    </xf>
    <xf numFmtId="0" fontId="21" fillId="0" borderId="16" xfId="2" applyNumberFormat="1" applyFont="1" applyFill="1" applyBorder="1" applyAlignment="1">
      <alignment horizontal="center"/>
    </xf>
    <xf numFmtId="0" fontId="20" fillId="0" borderId="0" xfId="2" applyNumberFormat="1" applyFont="1" applyBorder="1" applyAlignment="1">
      <alignment horizontal="center"/>
    </xf>
    <xf numFmtId="0" fontId="21" fillId="0" borderId="15" xfId="2" applyNumberFormat="1" applyFont="1" applyFill="1" applyBorder="1" applyAlignment="1">
      <alignment horizontal="center"/>
    </xf>
    <xf numFmtId="0" fontId="21" fillId="0" borderId="198" xfId="2" applyNumberFormat="1" applyFont="1" applyBorder="1" applyAlignment="1">
      <alignment horizontal="center"/>
    </xf>
    <xf numFmtId="0" fontId="21" fillId="0" borderId="129" xfId="2" applyNumberFormat="1" applyFont="1" applyBorder="1" applyAlignment="1">
      <alignment horizontal="center"/>
    </xf>
    <xf numFmtId="0" fontId="21" fillId="0" borderId="15" xfId="2" applyNumberFormat="1" applyFont="1" applyBorder="1" applyAlignment="1">
      <alignment horizontal="center"/>
    </xf>
    <xf numFmtId="0" fontId="20" fillId="0" borderId="36" xfId="0" applyNumberFormat="1" applyFont="1" applyBorder="1" applyAlignment="1">
      <alignment horizontal="center"/>
    </xf>
    <xf numFmtId="0" fontId="21" fillId="0" borderId="172" xfId="2" applyNumberFormat="1" applyFont="1" applyBorder="1" applyAlignment="1">
      <alignment horizontal="center"/>
    </xf>
    <xf numFmtId="0" fontId="20" fillId="0" borderId="7" xfId="42" applyNumberFormat="1" applyFont="1" applyFill="1" applyBorder="1" applyAlignment="1">
      <alignment horizontal="center"/>
    </xf>
    <xf numFmtId="0" fontId="20" fillId="0" borderId="129" xfId="2" applyNumberFormat="1" applyFont="1" applyBorder="1" applyAlignment="1">
      <alignment horizontal="center"/>
    </xf>
    <xf numFmtId="0" fontId="20" fillId="0" borderId="38" xfId="42" applyNumberFormat="1" applyFont="1" applyBorder="1" applyAlignment="1">
      <alignment horizontal="center"/>
    </xf>
    <xf numFmtId="0" fontId="20" fillId="0" borderId="27" xfId="2" applyNumberFormat="1" applyFont="1" applyBorder="1" applyAlignment="1">
      <alignment horizontal="center"/>
    </xf>
    <xf numFmtId="0" fontId="20" fillId="0" borderId="0" xfId="42" applyNumberFormat="1" applyFont="1" applyFill="1" applyAlignment="1">
      <alignment horizontal="center"/>
    </xf>
    <xf numFmtId="0" fontId="20" fillId="0" borderId="0" xfId="2" applyNumberFormat="1" applyFont="1" applyFill="1" applyAlignment="1">
      <alignment horizontal="center"/>
    </xf>
    <xf numFmtId="0" fontId="20" fillId="0" borderId="27" xfId="42" applyNumberFormat="1" applyFont="1" applyBorder="1" applyAlignment="1">
      <alignment horizontal="center"/>
    </xf>
    <xf numFmtId="0" fontId="20" fillId="0" borderId="38" xfId="42" applyNumberFormat="1" applyFont="1" applyFill="1" applyBorder="1" applyAlignment="1">
      <alignment horizontal="center"/>
    </xf>
    <xf numFmtId="0" fontId="20" fillId="0" borderId="27" xfId="2" applyNumberFormat="1" applyFont="1" applyFill="1" applyBorder="1" applyAlignment="1">
      <alignment horizontal="center"/>
    </xf>
    <xf numFmtId="0" fontId="20" fillId="0" borderId="0" xfId="42" applyNumberFormat="1" applyFont="1" applyFill="1" applyBorder="1" applyAlignment="1">
      <alignment horizontal="center"/>
    </xf>
    <xf numFmtId="0" fontId="20" fillId="0" borderId="0" xfId="2" applyNumberFormat="1" applyFont="1" applyFill="1" applyBorder="1" applyAlignment="1">
      <alignment horizontal="center"/>
    </xf>
    <xf numFmtId="0" fontId="20" fillId="0" borderId="27" xfId="42" applyNumberFormat="1" applyFont="1" applyFill="1" applyBorder="1" applyAlignment="1">
      <alignment horizontal="center"/>
    </xf>
    <xf numFmtId="0" fontId="20" fillId="0" borderId="24" xfId="2" applyNumberFormat="1" applyFont="1" applyFill="1" applyBorder="1" applyAlignment="1">
      <alignment horizontal="center"/>
    </xf>
    <xf numFmtId="0" fontId="20" fillId="0" borderId="40" xfId="42" applyNumberFormat="1" applyFont="1" applyBorder="1" applyAlignment="1">
      <alignment horizontal="center"/>
    </xf>
    <xf numFmtId="0" fontId="20" fillId="0" borderId="40" xfId="2" applyNumberFormat="1" applyFont="1" applyBorder="1" applyAlignment="1">
      <alignment horizontal="center"/>
    </xf>
    <xf numFmtId="0" fontId="20" fillId="0" borderId="7" xfId="42" applyNumberFormat="1" applyFont="1" applyBorder="1" applyAlignment="1">
      <alignment horizontal="center"/>
    </xf>
    <xf numFmtId="0" fontId="20" fillId="0" borderId="7" xfId="2" applyNumberFormat="1" applyFont="1" applyBorder="1" applyAlignment="1">
      <alignment horizontal="center"/>
    </xf>
    <xf numFmtId="0" fontId="20" fillId="0" borderId="7" xfId="2" applyNumberFormat="1" applyFont="1" applyFill="1" applyBorder="1" applyAlignment="1">
      <alignment horizontal="center"/>
    </xf>
    <xf numFmtId="0" fontId="20" fillId="0" borderId="141" xfId="0" applyNumberFormat="1" applyFont="1" applyBorder="1" applyAlignment="1">
      <alignment horizontal="center"/>
    </xf>
    <xf numFmtId="0" fontId="20" fillId="0" borderId="35" xfId="42" applyNumberFormat="1" applyFont="1" applyBorder="1" applyAlignment="1">
      <alignment horizontal="center"/>
    </xf>
    <xf numFmtId="0" fontId="20" fillId="0" borderId="35" xfId="0" applyNumberFormat="1" applyFont="1" applyBorder="1" applyAlignment="1">
      <alignment horizontal="center"/>
    </xf>
    <xf numFmtId="0" fontId="20" fillId="0" borderId="203" xfId="42" applyNumberFormat="1" applyFont="1" applyBorder="1" applyAlignment="1">
      <alignment horizontal="center"/>
    </xf>
    <xf numFmtId="0" fontId="20" fillId="0" borderId="203" xfId="0" applyNumberFormat="1" applyFont="1" applyBorder="1" applyAlignment="1">
      <alignment horizontal="center"/>
    </xf>
    <xf numFmtId="0" fontId="20" fillId="0" borderId="36" xfId="2" applyNumberFormat="1" applyFont="1" applyBorder="1" applyAlignment="1">
      <alignment horizontal="center"/>
    </xf>
    <xf numFmtId="0" fontId="20" fillId="0" borderId="47" xfId="0" applyNumberFormat="1" applyFont="1" applyBorder="1" applyAlignment="1">
      <alignment horizontal="center"/>
    </xf>
    <xf numFmtId="0" fontId="20" fillId="0" borderId="129" xfId="0" applyNumberFormat="1" applyFont="1" applyBorder="1" applyAlignment="1">
      <alignment horizontal="center"/>
    </xf>
    <xf numFmtId="0" fontId="21" fillId="0" borderId="0" xfId="0" applyNumberFormat="1" applyFont="1" applyAlignment="1">
      <alignment horizontal="center"/>
    </xf>
    <xf numFmtId="0" fontId="20" fillId="0" borderId="36" xfId="42" applyNumberFormat="1" applyFont="1" applyFill="1" applyBorder="1" applyAlignment="1">
      <alignment horizontal="center"/>
    </xf>
    <xf numFmtId="0" fontId="20" fillId="0" borderId="0" xfId="1" applyNumberFormat="1" applyFont="1" applyAlignment="1">
      <alignment horizontal="center"/>
    </xf>
    <xf numFmtId="0" fontId="21" fillId="0" borderId="16" xfId="42" applyNumberFormat="1" applyFont="1" applyBorder="1" applyAlignment="1">
      <alignment horizontal="center"/>
    </xf>
    <xf numFmtId="0" fontId="21" fillId="0" borderId="16" xfId="1" applyNumberFormat="1" applyFont="1" applyBorder="1" applyAlignment="1">
      <alignment horizontal="center"/>
    </xf>
    <xf numFmtId="0" fontId="20" fillId="0" borderId="27" xfId="1" applyNumberFormat="1" applyFont="1" applyBorder="1" applyAlignment="1">
      <alignment horizontal="center"/>
    </xf>
    <xf numFmtId="0" fontId="20" fillId="0" borderId="0" xfId="1" applyNumberFormat="1" applyFont="1" applyBorder="1" applyAlignment="1">
      <alignment horizontal="center"/>
    </xf>
    <xf numFmtId="0" fontId="20" fillId="0" borderId="0" xfId="1" applyNumberFormat="1" applyFont="1" applyFill="1" applyAlignment="1">
      <alignment horizontal="center"/>
    </xf>
    <xf numFmtId="0" fontId="21" fillId="0" borderId="16" xfId="42" applyNumberFormat="1" applyFont="1" applyFill="1" applyBorder="1" applyAlignment="1">
      <alignment horizontal="center"/>
    </xf>
    <xf numFmtId="0" fontId="21" fillId="0" borderId="16" xfId="1" applyNumberFormat="1" applyFont="1" applyFill="1" applyBorder="1" applyAlignment="1">
      <alignment horizontal="center"/>
    </xf>
    <xf numFmtId="0" fontId="20" fillId="0" borderId="0" xfId="118" applyNumberFormat="1" applyFont="1" applyBorder="1" applyAlignment="1">
      <alignment horizontal="center"/>
    </xf>
    <xf numFmtId="0" fontId="20" fillId="0" borderId="24" xfId="1" applyNumberFormat="1" applyFont="1" applyFill="1" applyBorder="1" applyAlignment="1">
      <alignment horizontal="center"/>
    </xf>
    <xf numFmtId="0" fontId="20" fillId="0" borderId="27" xfId="1" applyNumberFormat="1" applyFont="1" applyFill="1" applyBorder="1" applyAlignment="1">
      <alignment horizontal="center"/>
    </xf>
    <xf numFmtId="0" fontId="20" fillId="0" borderId="0" xfId="1" applyNumberFormat="1" applyFont="1" applyFill="1" applyBorder="1" applyAlignment="1">
      <alignment horizontal="center"/>
    </xf>
    <xf numFmtId="0" fontId="21" fillId="0" borderId="15" xfId="1" applyNumberFormat="1" applyFont="1" applyFill="1" applyBorder="1" applyAlignment="1">
      <alignment horizontal="center"/>
    </xf>
    <xf numFmtId="0" fontId="20" fillId="0" borderId="0" xfId="118" applyNumberFormat="1" applyFont="1" applyFill="1" applyBorder="1" applyAlignment="1">
      <alignment horizontal="center"/>
    </xf>
    <xf numFmtId="0" fontId="20" fillId="0" borderId="27" xfId="118" applyNumberFormat="1" applyFont="1" applyBorder="1" applyAlignment="1">
      <alignment horizontal="center"/>
    </xf>
    <xf numFmtId="0" fontId="20" fillId="0" borderId="46" xfId="118" applyNumberFormat="1" applyFont="1" applyBorder="1" applyAlignment="1">
      <alignment horizontal="center"/>
    </xf>
    <xf numFmtId="0" fontId="20" fillId="0" borderId="0" xfId="118" applyNumberFormat="1" applyFont="1" applyAlignment="1">
      <alignment horizontal="center"/>
    </xf>
    <xf numFmtId="0" fontId="20" fillId="0" borderId="129" xfId="42" applyNumberFormat="1" applyFont="1" applyFill="1" applyBorder="1" applyAlignment="1">
      <alignment horizontal="center"/>
    </xf>
    <xf numFmtId="0" fontId="20" fillId="0" borderId="7" xfId="1" applyNumberFormat="1" applyFont="1" applyBorder="1" applyAlignment="1">
      <alignment horizontal="center"/>
    </xf>
    <xf numFmtId="0" fontId="20" fillId="0" borderId="36" xfId="2" applyNumberFormat="1" applyFont="1" applyFill="1" applyBorder="1" applyAlignment="1">
      <alignment horizontal="center"/>
    </xf>
    <xf numFmtId="0" fontId="20" fillId="0" borderId="36" xfId="1" applyNumberFormat="1" applyFont="1" applyBorder="1" applyAlignment="1">
      <alignment horizontal="center"/>
    </xf>
    <xf numFmtId="0" fontId="20" fillId="0" borderId="129" xfId="1" applyNumberFormat="1" applyFont="1" applyBorder="1" applyAlignment="1">
      <alignment horizontal="center"/>
    </xf>
    <xf numFmtId="0" fontId="21" fillId="0" borderId="198" xfId="1" applyNumberFormat="1" applyFont="1" applyBorder="1" applyAlignment="1">
      <alignment horizontal="center"/>
    </xf>
    <xf numFmtId="0" fontId="20" fillId="0" borderId="141" xfId="42" applyNumberFormat="1" applyFont="1" applyFill="1" applyBorder="1" applyAlignment="1">
      <alignment horizontal="center"/>
    </xf>
    <xf numFmtId="175" fontId="20" fillId="0" borderId="0" xfId="2" applyNumberFormat="1" applyFont="1"/>
    <xf numFmtId="175" fontId="20" fillId="0" borderId="0" xfId="2" applyNumberFormat="1" applyFont="1" applyAlignment="1">
      <alignment horizontal="center"/>
    </xf>
    <xf numFmtId="175" fontId="21" fillId="0" borderId="17" xfId="2" applyNumberFormat="1" applyFont="1" applyBorder="1" applyAlignment="1">
      <alignment horizontal="center"/>
    </xf>
    <xf numFmtId="175" fontId="21" fillId="0" borderId="30" xfId="42" applyNumberFormat="1" applyFont="1" applyBorder="1"/>
    <xf numFmtId="175" fontId="20" fillId="0" borderId="0" xfId="42" applyNumberFormat="1" applyFont="1" applyBorder="1"/>
    <xf numFmtId="175" fontId="20" fillId="0" borderId="0" xfId="2" applyNumberFormat="1" applyFont="1" applyFill="1"/>
    <xf numFmtId="175" fontId="21" fillId="0" borderId="17" xfId="2" applyNumberFormat="1" applyFont="1" applyFill="1" applyBorder="1" applyAlignment="1">
      <alignment horizontal="center"/>
    </xf>
    <xf numFmtId="175" fontId="21" fillId="0" borderId="30" xfId="2" applyNumberFormat="1" applyFont="1" applyBorder="1"/>
    <xf numFmtId="175" fontId="21" fillId="0" borderId="0" xfId="2" applyNumberFormat="1" applyFont="1" applyBorder="1"/>
    <xf numFmtId="175" fontId="21" fillId="0" borderId="30" xfId="42" applyNumberFormat="1" applyFont="1" applyFill="1" applyBorder="1"/>
    <xf numFmtId="175" fontId="21" fillId="0" borderId="0" xfId="42" applyNumberFormat="1" applyFont="1" applyFill="1" applyBorder="1"/>
    <xf numFmtId="175" fontId="20" fillId="0" borderId="30" xfId="2" applyNumberFormat="1" applyFont="1" applyFill="1" applyBorder="1"/>
    <xf numFmtId="175" fontId="20" fillId="0" borderId="0" xfId="2" applyNumberFormat="1" applyFont="1" applyFill="1" applyBorder="1"/>
    <xf numFmtId="175" fontId="20" fillId="0" borderId="29" xfId="2" applyNumberFormat="1" applyFont="1" applyFill="1" applyBorder="1"/>
    <xf numFmtId="175" fontId="21" fillId="0" borderId="41" xfId="2" applyNumberFormat="1" applyFont="1" applyBorder="1"/>
    <xf numFmtId="175" fontId="21" fillId="0" borderId="0" xfId="2" applyNumberFormat="1" applyFont="1" applyFill="1" applyBorder="1"/>
    <xf numFmtId="175" fontId="21" fillId="0" borderId="30" xfId="2" applyNumberFormat="1" applyFont="1" applyFill="1" applyBorder="1"/>
    <xf numFmtId="175" fontId="20" fillId="0" borderId="0" xfId="0" applyNumberFormat="1" applyFont="1"/>
    <xf numFmtId="175" fontId="21" fillId="0" borderId="199" xfId="2" applyNumberFormat="1" applyFont="1" applyBorder="1" applyAlignment="1">
      <alignment horizontal="center"/>
    </xf>
    <xf numFmtId="175" fontId="21" fillId="0" borderId="130" xfId="2" applyNumberFormat="1" applyFont="1" applyBorder="1" applyAlignment="1">
      <alignment horizontal="center"/>
    </xf>
    <xf numFmtId="175" fontId="20" fillId="0" borderId="55" xfId="2" applyNumberFormat="1" applyFont="1" applyBorder="1"/>
    <xf numFmtId="175" fontId="20" fillId="0" borderId="55" xfId="0" applyNumberFormat="1" applyFont="1" applyBorder="1"/>
    <xf numFmtId="175" fontId="20" fillId="0" borderId="201" xfId="0" applyNumberFormat="1" applyFont="1" applyBorder="1"/>
    <xf numFmtId="175" fontId="20" fillId="0" borderId="179" xfId="0" applyNumberFormat="1" applyFont="1" applyBorder="1"/>
    <xf numFmtId="175" fontId="20" fillId="0" borderId="130" xfId="2" applyNumberFormat="1" applyFont="1" applyBorder="1"/>
    <xf numFmtId="175" fontId="20" fillId="0" borderId="102" xfId="2" applyNumberFormat="1" applyFont="1" applyBorder="1"/>
    <xf numFmtId="175" fontId="21" fillId="0" borderId="204" xfId="2" applyNumberFormat="1" applyFont="1" applyBorder="1"/>
    <xf numFmtId="175" fontId="20" fillId="0" borderId="201" xfId="2" applyNumberFormat="1" applyFont="1" applyBorder="1"/>
    <xf numFmtId="175" fontId="20" fillId="0" borderId="102" xfId="0" applyNumberFormat="1" applyFont="1" applyBorder="1"/>
    <xf numFmtId="175" fontId="20" fillId="0" borderId="48" xfId="0" applyNumberFormat="1" applyFont="1" applyBorder="1"/>
    <xf numFmtId="175" fontId="21" fillId="0" borderId="178" xfId="2" applyNumberFormat="1" applyFont="1" applyBorder="1" applyAlignment="1">
      <alignment horizontal="center"/>
    </xf>
    <xf numFmtId="175" fontId="20" fillId="0" borderId="130" xfId="0" applyNumberFormat="1" applyFont="1" applyBorder="1"/>
    <xf numFmtId="175" fontId="21" fillId="0" borderId="0" xfId="0" applyNumberFormat="1" applyFont="1"/>
    <xf numFmtId="0" fontId="20" fillId="0" borderId="129" xfId="2" applyNumberFormat="1" applyFont="1" applyFill="1" applyBorder="1" applyAlignment="1">
      <alignment horizontal="center"/>
    </xf>
    <xf numFmtId="0" fontId="20" fillId="0" borderId="103" xfId="0" applyFont="1" applyBorder="1" applyAlignment="1">
      <alignment horizontal="left"/>
    </xf>
    <xf numFmtId="0" fontId="20" fillId="0" borderId="7" xfId="1" applyNumberFormat="1" applyFont="1" applyFill="1" applyBorder="1" applyAlignment="1">
      <alignment horizontal="center"/>
    </xf>
    <xf numFmtId="175" fontId="20" fillId="0" borderId="55" xfId="42" applyNumberFormat="1" applyFont="1" applyFill="1" applyBorder="1" applyAlignment="1">
      <alignment horizontal="center"/>
    </xf>
    <xf numFmtId="175" fontId="20" fillId="0" borderId="103" xfId="2" applyNumberFormat="1" applyFont="1" applyBorder="1" applyAlignment="1">
      <alignment horizontal="left"/>
    </xf>
    <xf numFmtId="173" fontId="20" fillId="0" borderId="129" xfId="1" applyNumberFormat="1" applyFont="1" applyBorder="1" applyAlignment="1">
      <alignment horizontal="center"/>
    </xf>
    <xf numFmtId="173" fontId="20" fillId="0" borderId="36" xfId="1" applyNumberFormat="1" applyFont="1" applyBorder="1" applyAlignment="1">
      <alignment horizontal="center"/>
    </xf>
    <xf numFmtId="173" fontId="20" fillId="0" borderId="27" xfId="1" applyNumberFormat="1" applyFont="1" applyBorder="1" applyAlignment="1">
      <alignment horizontal="center"/>
    </xf>
    <xf numFmtId="2" fontId="20" fillId="0" borderId="129" xfId="42" applyNumberFormat="1" applyFont="1" applyBorder="1" applyAlignment="1">
      <alignment horizontal="center"/>
    </xf>
    <xf numFmtId="175" fontId="20" fillId="0" borderId="55" xfId="2" applyNumberFormat="1" applyFont="1" applyFill="1" applyBorder="1"/>
    <xf numFmtId="166" fontId="20" fillId="0" borderId="21" xfId="118" applyNumberFormat="1" applyFont="1" applyBorder="1" applyAlignment="1">
      <alignment horizontal="right"/>
    </xf>
    <xf numFmtId="2" fontId="20" fillId="0" borderId="35" xfId="0" applyNumberFormat="1" applyFont="1" applyBorder="1" applyAlignment="1">
      <alignment horizontal="center"/>
    </xf>
    <xf numFmtId="2" fontId="20" fillId="0" borderId="47" xfId="0" applyNumberFormat="1" applyFont="1" applyBorder="1" applyAlignment="1">
      <alignment horizontal="center"/>
    </xf>
    <xf numFmtId="2" fontId="20" fillId="0" borderId="129" xfId="0" applyNumberFormat="1" applyFont="1" applyBorder="1" applyAlignment="1">
      <alignment horizontal="center"/>
    </xf>
    <xf numFmtId="175" fontId="20" fillId="0" borderId="130" xfId="2" applyNumberFormat="1" applyFont="1" applyFill="1" applyBorder="1"/>
    <xf numFmtId="175" fontId="20" fillId="0" borderId="201" xfId="2" applyNumberFormat="1" applyFont="1" applyFill="1" applyBorder="1"/>
    <xf numFmtId="2" fontId="20" fillId="0" borderId="141" xfId="0" applyNumberFormat="1" applyFont="1" applyBorder="1" applyAlignment="1">
      <alignment horizontal="center"/>
    </xf>
    <xf numFmtId="166" fontId="20" fillId="0" borderId="128" xfId="118" applyNumberFormat="1" applyFont="1" applyBorder="1" applyAlignment="1">
      <alignment horizontal="center"/>
    </xf>
    <xf numFmtId="166" fontId="20" fillId="0" borderId="128" xfId="118" applyNumberFormat="1" applyFont="1" applyFill="1" applyBorder="1" applyAlignment="1">
      <alignment horizontal="right"/>
    </xf>
    <xf numFmtId="0" fontId="20" fillId="0" borderId="129" xfId="1" applyNumberFormat="1" applyFont="1" applyFill="1" applyBorder="1" applyAlignment="1">
      <alignment horizontal="center"/>
    </xf>
    <xf numFmtId="166" fontId="20" fillId="0" borderId="128" xfId="118" applyNumberFormat="1" applyFont="1" applyFill="1" applyBorder="1" applyAlignment="1">
      <alignment horizontal="left"/>
    </xf>
    <xf numFmtId="166" fontId="20" fillId="0" borderId="103" xfId="118" applyNumberFormat="1" applyFont="1" applyFill="1" applyBorder="1" applyAlignment="1">
      <alignment horizontal="right"/>
    </xf>
    <xf numFmtId="166" fontId="20" fillId="0" borderId="103" xfId="118" applyNumberFormat="1" applyFont="1" applyFill="1" applyBorder="1" applyAlignment="1">
      <alignment horizontal="center"/>
    </xf>
    <xf numFmtId="173" fontId="20" fillId="0" borderId="7" xfId="1" applyNumberFormat="1" applyFont="1" applyFill="1" applyBorder="1" applyAlignment="1">
      <alignment horizontal="center"/>
    </xf>
    <xf numFmtId="166" fontId="20" fillId="0" borderId="103" xfId="118" applyNumberFormat="1" applyFont="1" applyFill="1" applyBorder="1" applyAlignment="1">
      <alignment horizontal="left"/>
    </xf>
    <xf numFmtId="166" fontId="20" fillId="0" borderId="200" xfId="118" applyNumberFormat="1" applyFont="1" applyFill="1" applyBorder="1" applyAlignment="1">
      <alignment horizontal="right"/>
    </xf>
    <xf numFmtId="0" fontId="20" fillId="0" borderId="36" xfId="1" applyNumberFormat="1" applyFont="1" applyFill="1" applyBorder="1" applyAlignment="1">
      <alignment horizontal="center"/>
    </xf>
    <xf numFmtId="166" fontId="20" fillId="0" borderId="128" xfId="118" applyNumberFormat="1" applyFont="1" applyFill="1" applyBorder="1" applyAlignment="1">
      <alignment horizontal="center"/>
    </xf>
    <xf numFmtId="166" fontId="23" fillId="0" borderId="103" xfId="118" applyNumberFormat="1" applyFont="1" applyFill="1" applyBorder="1" applyAlignment="1">
      <alignment horizontal="left"/>
    </xf>
    <xf numFmtId="173" fontId="20" fillId="0" borderId="0" xfId="1" applyNumberFormat="1" applyFont="1" applyBorder="1" applyAlignment="1">
      <alignment horizontal="center"/>
    </xf>
    <xf numFmtId="173" fontId="21" fillId="0" borderId="16" xfId="1" applyNumberFormat="1" applyFont="1" applyBorder="1" applyAlignment="1">
      <alignment horizontal="center"/>
    </xf>
    <xf numFmtId="0" fontId="20" fillId="0" borderId="103" xfId="118" applyFont="1" applyBorder="1" applyAlignment="1">
      <alignment horizontal="right"/>
    </xf>
    <xf numFmtId="0" fontId="20" fillId="0" borderId="195" xfId="118" applyFont="1" applyBorder="1" applyAlignment="1">
      <alignment horizontal="right"/>
    </xf>
    <xf numFmtId="175" fontId="20" fillId="0" borderId="103" xfId="2" applyNumberFormat="1" applyFont="1" applyBorder="1" applyAlignment="1">
      <alignment horizontal="right"/>
    </xf>
    <xf numFmtId="173" fontId="20" fillId="0" borderId="7" xfId="1" applyNumberFormat="1" applyFont="1" applyBorder="1" applyAlignment="1">
      <alignment horizontal="center"/>
    </xf>
    <xf numFmtId="0" fontId="20" fillId="0" borderId="103" xfId="118" applyFont="1" applyBorder="1" applyAlignment="1">
      <alignment horizontal="center"/>
    </xf>
    <xf numFmtId="175" fontId="20" fillId="0" borderId="55" xfId="42" applyNumberFormat="1" applyFont="1" applyBorder="1" applyAlignment="1">
      <alignment horizontal="center"/>
    </xf>
    <xf numFmtId="175" fontId="20" fillId="0" borderId="103" xfId="2" applyNumberFormat="1" applyFont="1" applyFill="1" applyBorder="1" applyAlignment="1">
      <alignment horizontal="left"/>
    </xf>
    <xf numFmtId="175" fontId="20" fillId="0" borderId="201" xfId="42" applyNumberFormat="1" applyFont="1" applyBorder="1"/>
    <xf numFmtId="166" fontId="20" fillId="0" borderId="109" xfId="118" applyNumberFormat="1" applyFont="1" applyBorder="1" applyAlignment="1">
      <alignment horizontal="left"/>
    </xf>
    <xf numFmtId="0" fontId="20" fillId="0" borderId="128" xfId="118" applyFont="1" applyFill="1" applyBorder="1"/>
    <xf numFmtId="175" fontId="20" fillId="0" borderId="130" xfId="42" applyNumberFormat="1" applyFont="1" applyFill="1" applyBorder="1" applyAlignment="1">
      <alignment horizontal="center"/>
    </xf>
    <xf numFmtId="0" fontId="23" fillId="0" borderId="103" xfId="118" applyFont="1" applyFill="1" applyBorder="1" applyAlignment="1">
      <alignment horizontal="right"/>
    </xf>
    <xf numFmtId="0" fontId="20" fillId="0" borderId="103" xfId="118" applyFont="1" applyFill="1" applyBorder="1"/>
    <xf numFmtId="0" fontId="20" fillId="0" borderId="200" xfId="118" applyFont="1" applyFill="1" applyBorder="1"/>
    <xf numFmtId="175" fontId="20" fillId="0" borderId="201" xfId="42" applyNumberFormat="1" applyFont="1" applyFill="1" applyBorder="1" applyAlignment="1">
      <alignment horizontal="center"/>
    </xf>
    <xf numFmtId="0" fontId="20" fillId="0" borderId="128" xfId="118" applyFont="1" applyFill="1" applyBorder="1" applyAlignment="1">
      <alignment horizontal="right"/>
    </xf>
    <xf numFmtId="175" fontId="20" fillId="0" borderId="200" xfId="2" applyNumberFormat="1" applyFont="1" applyFill="1" applyBorder="1"/>
    <xf numFmtId="175" fontId="20" fillId="0" borderId="201" xfId="42" applyNumberFormat="1" applyFont="1" applyFill="1" applyBorder="1"/>
    <xf numFmtId="175" fontId="20" fillId="0" borderId="187" xfId="2" applyNumberFormat="1" applyFont="1" applyFill="1" applyBorder="1"/>
    <xf numFmtId="175" fontId="20" fillId="0" borderId="179" xfId="42" applyNumberFormat="1" applyFont="1" applyFill="1" applyBorder="1"/>
    <xf numFmtId="166" fontId="20" fillId="0" borderId="128" xfId="118" applyNumberFormat="1" applyFont="1" applyBorder="1"/>
    <xf numFmtId="166" fontId="20" fillId="0" borderId="200" xfId="42" applyFont="1" applyBorder="1" applyAlignment="1">
      <alignment horizontal="left"/>
    </xf>
    <xf numFmtId="166" fontId="20" fillId="0" borderId="128" xfId="42" applyFont="1" applyBorder="1"/>
    <xf numFmtId="166" fontId="20" fillId="0" borderId="103" xfId="42" applyFont="1" applyBorder="1" applyAlignment="1">
      <alignment horizontal="right"/>
    </xf>
    <xf numFmtId="166" fontId="20" fillId="0" borderId="200" xfId="118" applyNumberFormat="1" applyFont="1" applyBorder="1"/>
    <xf numFmtId="166" fontId="23" fillId="0" borderId="200" xfId="42" applyFont="1" applyBorder="1" applyAlignment="1">
      <alignment horizontal="left"/>
    </xf>
    <xf numFmtId="175" fontId="21" fillId="0" borderId="201" xfId="42" applyNumberFormat="1" applyFont="1" applyBorder="1"/>
    <xf numFmtId="175" fontId="20" fillId="0" borderId="128" xfId="2" applyNumberFormat="1" applyFont="1" applyBorder="1" applyAlignment="1">
      <alignment horizontal="center"/>
    </xf>
    <xf numFmtId="175" fontId="20" fillId="0" borderId="130" xfId="42" applyNumberFormat="1" applyFont="1" applyBorder="1" applyAlignment="1">
      <alignment horizontal="center"/>
    </xf>
    <xf numFmtId="175" fontId="20" fillId="0" borderId="128" xfId="2" applyNumberFormat="1" applyFont="1" applyBorder="1" applyAlignment="1">
      <alignment horizontal="right"/>
    </xf>
    <xf numFmtId="0" fontId="20" fillId="0" borderId="128" xfId="118" applyFont="1" applyBorder="1" applyAlignment="1">
      <alignment horizontal="center"/>
    </xf>
    <xf numFmtId="0" fontId="21" fillId="0" borderId="7" xfId="42" applyNumberFormat="1" applyFont="1" applyBorder="1" applyAlignment="1">
      <alignment horizontal="center"/>
    </xf>
    <xf numFmtId="0" fontId="21" fillId="0" borderId="7" xfId="2" applyNumberFormat="1" applyFont="1" applyBorder="1" applyAlignment="1">
      <alignment horizontal="center"/>
    </xf>
    <xf numFmtId="175" fontId="21" fillId="0" borderId="55" xfId="2" applyNumberFormat="1" applyFont="1" applyBorder="1" applyAlignment="1">
      <alignment horizontal="center"/>
    </xf>
    <xf numFmtId="0" fontId="20" fillId="0" borderId="155" xfId="132" applyFont="1" applyFill="1" applyBorder="1" applyAlignment="1">
      <alignment horizontal="right" vertical="center"/>
    </xf>
    <xf numFmtId="166" fontId="20" fillId="0" borderId="129" xfId="0" applyNumberFormat="1" applyFont="1" applyBorder="1" applyAlignment="1">
      <alignment horizontal="center"/>
    </xf>
    <xf numFmtId="0" fontId="20" fillId="0" borderId="21" xfId="0" applyFont="1" applyBorder="1" applyAlignment="1">
      <alignment horizontal="right"/>
    </xf>
    <xf numFmtId="0" fontId="20" fillId="0" borderId="0" xfId="0" applyFont="1"/>
    <xf numFmtId="0" fontId="20" fillId="0" borderId="104" xfId="0" applyFont="1" applyBorder="1" applyAlignment="1">
      <alignment horizontal="right"/>
    </xf>
    <xf numFmtId="166" fontId="20" fillId="0" borderId="7" xfId="1" applyFont="1" applyBorder="1"/>
    <xf numFmtId="166" fontId="20" fillId="0" borderId="7" xfId="1" applyFont="1" applyFill="1" applyBorder="1" applyAlignment="1">
      <alignment horizontal="center"/>
    </xf>
    <xf numFmtId="166" fontId="20" fillId="0" borderId="7" xfId="1" applyFont="1" applyBorder="1" applyAlignment="1">
      <alignment horizontal="center"/>
    </xf>
    <xf numFmtId="166" fontId="20" fillId="0" borderId="36" xfId="1" applyFont="1" applyBorder="1" applyAlignment="1">
      <alignment horizontal="center"/>
    </xf>
    <xf numFmtId="166" fontId="20" fillId="0" borderId="129" xfId="1" applyFont="1" applyBorder="1" applyAlignment="1">
      <alignment horizontal="center"/>
    </xf>
    <xf numFmtId="0" fontId="20" fillId="0" borderId="0" xfId="0" applyNumberFormat="1" applyFont="1" applyFill="1" applyAlignment="1">
      <alignment vertical="center"/>
    </xf>
    <xf numFmtId="0" fontId="20" fillId="0" borderId="0" xfId="0" applyNumberFormat="1" applyFont="1" applyFill="1" applyAlignment="1">
      <alignment horizontal="center" vertical="center"/>
    </xf>
    <xf numFmtId="165" fontId="20" fillId="0" borderId="0" xfId="2" applyFont="1" applyFill="1" applyAlignment="1">
      <alignment vertical="center"/>
    </xf>
    <xf numFmtId="172" fontId="20" fillId="0" borderId="0" xfId="43" applyNumberFormat="1" applyFont="1" applyFill="1" applyAlignment="1">
      <alignment vertical="center"/>
    </xf>
    <xf numFmtId="0" fontId="20" fillId="0" borderId="0" xfId="0" applyFont="1" applyFill="1" applyAlignment="1">
      <alignment vertical="center"/>
    </xf>
    <xf numFmtId="0" fontId="20" fillId="0" borderId="7" xfId="0" applyFont="1" applyFill="1" applyBorder="1" applyAlignment="1">
      <alignment horizontal="center"/>
    </xf>
    <xf numFmtId="0" fontId="20" fillId="0" borderId="0" xfId="0" applyFont="1" applyBorder="1"/>
    <xf numFmtId="0" fontId="20" fillId="0" borderId="0" xfId="0" applyNumberFormat="1" applyFont="1" applyBorder="1" applyAlignment="1">
      <alignment horizontal="center"/>
    </xf>
    <xf numFmtId="175" fontId="20" fillId="0" borderId="0" xfId="0" applyNumberFormat="1" applyFont="1" applyBorder="1"/>
    <xf numFmtId="0" fontId="45" fillId="0" borderId="0" xfId="132" applyFont="1" applyAlignment="1">
      <alignment horizontal="center" vertical="center"/>
    </xf>
    <xf numFmtId="0" fontId="45" fillId="0" borderId="0" xfId="132" applyFont="1" applyAlignment="1">
      <alignment vertical="center"/>
    </xf>
    <xf numFmtId="0" fontId="45" fillId="0" borderId="0" xfId="118" applyFont="1" applyAlignment="1">
      <alignment horizontal="center"/>
    </xf>
    <xf numFmtId="0" fontId="46" fillId="0" borderId="0" xfId="118" applyFont="1" applyAlignment="1">
      <alignment horizontal="center"/>
    </xf>
    <xf numFmtId="166" fontId="45" fillId="0" borderId="0" xfId="42" applyFont="1" applyBorder="1" applyAlignment="1"/>
    <xf numFmtId="181" fontId="46" fillId="0" borderId="0" xfId="2" applyNumberFormat="1" applyFont="1" applyBorder="1" applyAlignment="1"/>
    <xf numFmtId="181" fontId="45" fillId="0" borderId="0" xfId="2" applyNumberFormat="1" applyFont="1" applyBorder="1" applyAlignment="1">
      <alignment horizontal="right"/>
    </xf>
    <xf numFmtId="181" fontId="46" fillId="0" borderId="0" xfId="2" applyNumberFormat="1" applyFont="1" applyBorder="1" applyAlignment="1">
      <alignment horizontal="right"/>
    </xf>
    <xf numFmtId="166" fontId="45" fillId="0" borderId="0" xfId="42" applyFont="1" applyBorder="1" applyAlignment="1">
      <alignment horizontal="right"/>
    </xf>
    <xf numFmtId="181" fontId="47" fillId="0" borderId="0" xfId="2" applyNumberFormat="1" applyFont="1" applyBorder="1"/>
    <xf numFmtId="0" fontId="45" fillId="0" borderId="0" xfId="118" applyFont="1"/>
    <xf numFmtId="0" fontId="47" fillId="0" borderId="0" xfId="118" applyFont="1" applyAlignment="1">
      <alignment horizontal="center"/>
    </xf>
    <xf numFmtId="183" fontId="45" fillId="0" borderId="0" xfId="42" applyNumberFormat="1" applyFont="1" applyBorder="1" applyAlignment="1">
      <alignment horizontal="right"/>
    </xf>
    <xf numFmtId="166" fontId="20" fillId="0" borderId="129" xfId="42" applyNumberFormat="1" applyFont="1" applyFill="1" applyBorder="1" applyAlignment="1">
      <alignment horizontal="center"/>
    </xf>
    <xf numFmtId="43" fontId="20" fillId="0" borderId="0" xfId="131" applyNumberFormat="1" applyFont="1" applyFill="1"/>
    <xf numFmtId="0" fontId="20" fillId="0" borderId="4" xfId="165" applyFont="1" applyFill="1" applyBorder="1" applyAlignment="1">
      <alignment horizontal="left"/>
    </xf>
    <xf numFmtId="0" fontId="20" fillId="0" borderId="121" xfId="165" applyFont="1" applyFill="1" applyBorder="1" applyAlignment="1">
      <alignment horizontal="left"/>
    </xf>
    <xf numFmtId="0" fontId="20" fillId="0" borderId="6" xfId="165" quotePrefix="1" applyFont="1" applyFill="1" applyBorder="1" applyAlignment="1">
      <alignment horizontal="left"/>
    </xf>
    <xf numFmtId="0" fontId="20" fillId="0" borderId="119" xfId="132" applyNumberFormat="1" applyFont="1" applyFill="1" applyBorder="1" applyAlignment="1">
      <alignment vertical="center"/>
    </xf>
    <xf numFmtId="0" fontId="48" fillId="0" borderId="0" xfId="131" applyFont="1"/>
    <xf numFmtId="0" fontId="49" fillId="0" borderId="209" xfId="184" applyFont="1" applyBorder="1" applyAlignment="1">
      <alignment horizontal="center" vertical="center"/>
    </xf>
    <xf numFmtId="0" fontId="50" fillId="0" borderId="210" xfId="184" applyFont="1" applyBorder="1" applyAlignment="1">
      <alignment vertical="center"/>
    </xf>
    <xf numFmtId="166" fontId="50" fillId="0" borderId="210" xfId="184" applyNumberFormat="1" applyFont="1" applyBorder="1" applyAlignment="1">
      <alignment vertical="center"/>
    </xf>
    <xf numFmtId="39" fontId="50" fillId="0" borderId="210" xfId="184" applyNumberFormat="1" applyFont="1" applyBorder="1" applyAlignment="1">
      <alignment vertical="center"/>
    </xf>
    <xf numFmtId="165" fontId="50" fillId="0" borderId="210" xfId="2" applyFont="1" applyFill="1" applyBorder="1" applyAlignment="1" applyProtection="1">
      <alignment vertical="center"/>
    </xf>
    <xf numFmtId="0" fontId="50" fillId="0" borderId="211" xfId="184" applyFont="1" applyBorder="1" applyAlignment="1">
      <alignment vertical="center"/>
    </xf>
    <xf numFmtId="0" fontId="50" fillId="0" borderId="114" xfId="184" applyFont="1" applyBorder="1" applyAlignment="1">
      <alignment horizontal="center" vertical="center"/>
    </xf>
    <xf numFmtId="0" fontId="50" fillId="0" borderId="0" xfId="184" applyFont="1" applyAlignment="1">
      <alignment vertical="center"/>
    </xf>
    <xf numFmtId="166" fontId="50" fillId="0" borderId="0" xfId="184" applyNumberFormat="1" applyFont="1" applyAlignment="1">
      <alignment vertical="center"/>
    </xf>
    <xf numFmtId="39" fontId="50" fillId="0" borderId="0" xfId="184" applyNumberFormat="1" applyFont="1" applyAlignment="1">
      <alignment vertical="center"/>
    </xf>
    <xf numFmtId="165" fontId="50" fillId="0" borderId="0" xfId="2" applyFont="1" applyFill="1" applyBorder="1" applyAlignment="1" applyProtection="1">
      <alignment vertical="center"/>
    </xf>
    <xf numFmtId="0" fontId="50" fillId="0" borderId="49" xfId="184" applyFont="1" applyBorder="1" applyAlignment="1">
      <alignment vertical="center"/>
    </xf>
    <xf numFmtId="0" fontId="50" fillId="0" borderId="0" xfId="184" applyFont="1" applyAlignment="1" applyProtection="1">
      <alignment vertical="center"/>
      <protection locked="0"/>
    </xf>
    <xf numFmtId="166" fontId="50" fillId="0" borderId="0" xfId="184" applyNumberFormat="1" applyFont="1" applyAlignment="1" applyProtection="1">
      <alignment vertical="center"/>
      <protection locked="0"/>
    </xf>
    <xf numFmtId="0" fontId="52" fillId="0" borderId="115" xfId="184" applyFont="1" applyBorder="1" applyAlignment="1">
      <alignment horizontal="left" vertical="center"/>
    </xf>
    <xf numFmtId="0" fontId="50" fillId="0" borderId="116" xfId="184" applyFont="1" applyBorder="1" applyAlignment="1">
      <alignment vertical="center"/>
    </xf>
    <xf numFmtId="166" fontId="50" fillId="0" borderId="116" xfId="184" applyNumberFormat="1" applyFont="1" applyBorder="1" applyAlignment="1">
      <alignment vertical="center"/>
    </xf>
    <xf numFmtId="165" fontId="50" fillId="0" borderId="116" xfId="2" applyFont="1" applyFill="1" applyBorder="1" applyAlignment="1" applyProtection="1">
      <alignment vertical="center"/>
    </xf>
    <xf numFmtId="0" fontId="53" fillId="0" borderId="212" xfId="184" applyFont="1" applyBorder="1" applyAlignment="1">
      <alignment vertical="center"/>
    </xf>
    <xf numFmtId="0" fontId="50" fillId="0" borderId="213" xfId="184" applyFont="1" applyBorder="1" applyAlignment="1">
      <alignment vertical="center"/>
    </xf>
    <xf numFmtId="166" fontId="50" fillId="0" borderId="213" xfId="184" applyNumberFormat="1" applyFont="1" applyBorder="1" applyAlignment="1">
      <alignment vertical="center"/>
    </xf>
    <xf numFmtId="0" fontId="50" fillId="0" borderId="214" xfId="184" applyFont="1" applyBorder="1" applyAlignment="1">
      <alignment vertical="center"/>
    </xf>
    <xf numFmtId="165" fontId="53" fillId="0" borderId="0" xfId="2" applyFont="1" applyFill="1" applyBorder="1" applyAlignment="1" applyProtection="1">
      <alignment horizontal="fill" vertical="center"/>
    </xf>
    <xf numFmtId="0" fontId="53" fillId="0" borderId="86" xfId="184" applyFont="1" applyBorder="1" applyAlignment="1">
      <alignment vertical="center"/>
    </xf>
    <xf numFmtId="0" fontId="50" fillId="0" borderId="88" xfId="184" applyFont="1" applyBorder="1" applyAlignment="1">
      <alignment vertical="center"/>
    </xf>
    <xf numFmtId="166" fontId="50" fillId="0" borderId="88" xfId="184" applyNumberFormat="1" applyFont="1" applyBorder="1" applyAlignment="1">
      <alignment vertical="center"/>
    </xf>
    <xf numFmtId="0" fontId="50" fillId="0" borderId="215" xfId="184" applyFont="1" applyBorder="1" applyAlignment="1">
      <alignment vertical="center"/>
    </xf>
    <xf numFmtId="165" fontId="50" fillId="0" borderId="0" xfId="2" applyFont="1" applyFill="1" applyBorder="1" applyAlignment="1" applyProtection="1">
      <alignment horizontal="fill" vertical="center"/>
    </xf>
    <xf numFmtId="0" fontId="53" fillId="0" borderId="114" xfId="184" applyFont="1" applyBorder="1" applyAlignment="1">
      <alignment horizontal="center" vertical="center"/>
    </xf>
    <xf numFmtId="0" fontId="53" fillId="0" borderId="0" xfId="184" applyFont="1" applyAlignment="1">
      <alignment horizontal="fill" vertical="center"/>
    </xf>
    <xf numFmtId="166" fontId="53" fillId="0" borderId="0" xfId="184" applyNumberFormat="1" applyFont="1" applyAlignment="1">
      <alignment horizontal="fill" vertical="center"/>
    </xf>
    <xf numFmtId="0" fontId="50" fillId="0" borderId="91" xfId="184" applyFont="1" applyBorder="1" applyAlignment="1">
      <alignment vertical="center"/>
    </xf>
    <xf numFmtId="0" fontId="50" fillId="0" borderId="94" xfId="184" applyFont="1" applyBorder="1" applyAlignment="1">
      <alignment vertical="center"/>
    </xf>
    <xf numFmtId="0" fontId="50" fillId="0" borderId="67" xfId="184" applyFont="1" applyBorder="1" applyAlignment="1">
      <alignment vertical="center"/>
    </xf>
    <xf numFmtId="0" fontId="50" fillId="0" borderId="95" xfId="184" applyFont="1" applyBorder="1" applyAlignment="1">
      <alignment vertical="center"/>
    </xf>
    <xf numFmtId="0" fontId="50" fillId="0" borderId="96" xfId="184" applyFont="1" applyBorder="1" applyAlignment="1">
      <alignment vertical="center"/>
    </xf>
    <xf numFmtId="0" fontId="50" fillId="0" borderId="97" xfId="184" applyFont="1" applyBorder="1" applyAlignment="1">
      <alignment vertical="center"/>
    </xf>
    <xf numFmtId="165" fontId="50" fillId="0" borderId="0" xfId="2" applyFont="1" applyFill="1" applyBorder="1" applyAlignment="1" applyProtection="1">
      <alignment horizontal="center" vertical="center"/>
    </xf>
    <xf numFmtId="0" fontId="50" fillId="0" borderId="93" xfId="184" applyFont="1" applyBorder="1" applyAlignment="1">
      <alignment vertical="center"/>
    </xf>
    <xf numFmtId="166" fontId="50" fillId="0" borderId="93" xfId="184" applyNumberFormat="1" applyFont="1" applyBorder="1" applyAlignment="1">
      <alignment vertical="center"/>
    </xf>
    <xf numFmtId="165" fontId="50" fillId="0" borderId="93" xfId="2" applyFont="1" applyFill="1" applyBorder="1" applyAlignment="1" applyProtection="1">
      <alignment vertical="center"/>
    </xf>
    <xf numFmtId="0" fontId="50" fillId="0" borderId="77" xfId="184" applyFont="1" applyBorder="1" applyAlignment="1">
      <alignment vertical="center"/>
    </xf>
    <xf numFmtId="166" fontId="50" fillId="0" borderId="77" xfId="184" applyNumberFormat="1" applyFont="1" applyBorder="1" applyAlignment="1">
      <alignment vertical="center"/>
    </xf>
    <xf numFmtId="165" fontId="50" fillId="0" borderId="77" xfId="2" applyFont="1" applyFill="1" applyBorder="1" applyAlignment="1" applyProtection="1">
      <alignment vertical="center"/>
    </xf>
    <xf numFmtId="0" fontId="50" fillId="0" borderId="111" xfId="184" applyFont="1" applyBorder="1" applyAlignment="1">
      <alignment horizontal="center" vertical="center"/>
    </xf>
    <xf numFmtId="0" fontId="50" fillId="0" borderId="112" xfId="184" applyFont="1" applyBorder="1" applyAlignment="1">
      <alignment vertical="center"/>
    </xf>
    <xf numFmtId="166" fontId="50" fillId="0" borderId="112" xfId="184" applyNumberFormat="1" applyFont="1" applyBorder="1" applyAlignment="1">
      <alignment vertical="center"/>
    </xf>
    <xf numFmtId="165" fontId="50" fillId="0" borderId="112" xfId="2" applyFont="1" applyFill="1" applyBorder="1" applyAlignment="1">
      <alignment vertical="center"/>
    </xf>
    <xf numFmtId="0" fontId="50" fillId="0" borderId="113" xfId="184" applyFont="1" applyBorder="1" applyAlignment="1">
      <alignment vertical="center"/>
    </xf>
    <xf numFmtId="0" fontId="54" fillId="0" borderId="0" xfId="0" applyFont="1" applyAlignment="1">
      <alignment horizontal="center" vertical="center"/>
    </xf>
    <xf numFmtId="0" fontId="54" fillId="0" borderId="0" xfId="0" applyFont="1" applyAlignment="1">
      <alignment vertical="center"/>
    </xf>
    <xf numFmtId="166" fontId="54" fillId="0" borderId="0" xfId="0" applyNumberFormat="1" applyFont="1" applyAlignment="1">
      <alignment vertical="center"/>
    </xf>
    <xf numFmtId="165" fontId="54" fillId="0" borderId="0" xfId="2" applyFont="1" applyFill="1" applyAlignment="1">
      <alignment vertical="center"/>
    </xf>
    <xf numFmtId="172" fontId="54" fillId="0" borderId="0" xfId="43" applyNumberFormat="1" applyFont="1" applyFill="1" applyAlignment="1">
      <alignment vertical="center"/>
    </xf>
    <xf numFmtId="0" fontId="20" fillId="0" borderId="131" xfId="118" applyFont="1" applyBorder="1" applyAlignment="1">
      <alignment horizontal="center"/>
    </xf>
    <xf numFmtId="0" fontId="20" fillId="0" borderId="7" xfId="0" applyNumberFormat="1" applyFont="1" applyBorder="1" applyAlignment="1">
      <alignment horizontal="center"/>
    </xf>
    <xf numFmtId="0" fontId="20" fillId="0" borderId="187" xfId="0" applyFont="1" applyBorder="1"/>
    <xf numFmtId="166" fontId="20" fillId="0" borderId="23" xfId="42" applyFont="1" applyBorder="1" applyAlignment="1">
      <alignment horizontal="center"/>
    </xf>
    <xf numFmtId="175" fontId="21" fillId="0" borderId="0" xfId="6" applyNumberFormat="1" applyFont="1" applyFill="1"/>
    <xf numFmtId="182" fontId="21" fillId="0" borderId="0" xfId="118" applyNumberFormat="1" applyFont="1"/>
    <xf numFmtId="0" fontId="45" fillId="0" borderId="0" xfId="132" applyFont="1" applyFill="1" applyAlignment="1">
      <alignment vertical="center"/>
    </xf>
    <xf numFmtId="166" fontId="45" fillId="0" borderId="0" xfId="1" applyFont="1" applyFill="1" applyAlignment="1">
      <alignment vertical="center"/>
    </xf>
    <xf numFmtId="166" fontId="45" fillId="0" borderId="146" xfId="2" applyNumberFormat="1" applyFont="1" applyFill="1" applyBorder="1" applyAlignment="1">
      <alignment horizontal="right" vertical="center"/>
    </xf>
    <xf numFmtId="166" fontId="45" fillId="0" borderId="0" xfId="132" applyNumberFormat="1" applyFont="1" applyFill="1" applyAlignment="1">
      <alignment vertical="center"/>
    </xf>
    <xf numFmtId="184" fontId="45" fillId="0" borderId="7" xfId="65" applyNumberFormat="1" applyFont="1" applyFill="1" applyBorder="1" applyAlignment="1">
      <alignment vertical="center"/>
    </xf>
    <xf numFmtId="184" fontId="45" fillId="0" borderId="7" xfId="65" applyNumberFormat="1" applyFont="1" applyFill="1" applyBorder="1" applyAlignment="1">
      <alignment horizontal="center" vertical="center"/>
    </xf>
    <xf numFmtId="175" fontId="45" fillId="0" borderId="0" xfId="2" applyNumberFormat="1" applyFont="1" applyFill="1" applyBorder="1" applyAlignment="1">
      <alignment vertical="center"/>
    </xf>
    <xf numFmtId="0" fontId="45" fillId="0" borderId="0" xfId="132" applyFont="1" applyFill="1" applyBorder="1" applyAlignment="1">
      <alignment vertical="center"/>
    </xf>
    <xf numFmtId="0" fontId="45" fillId="0" borderId="0" xfId="118" applyFont="1" applyAlignment="1"/>
    <xf numFmtId="0" fontId="45" fillId="0" borderId="0" xfId="42" applyNumberFormat="1" applyFont="1" applyAlignment="1">
      <alignment horizontal="center"/>
    </xf>
    <xf numFmtId="0" fontId="45" fillId="0" borderId="0" xfId="2" applyNumberFormat="1" applyFont="1" applyAlignment="1">
      <alignment horizontal="center"/>
    </xf>
    <xf numFmtId="0" fontId="45" fillId="0" borderId="0" xfId="1" applyNumberFormat="1" applyFont="1" applyAlignment="1">
      <alignment horizontal="center"/>
    </xf>
    <xf numFmtId="175" fontId="45" fillId="0" borderId="0" xfId="2" applyNumberFormat="1" applyFont="1"/>
    <xf numFmtId="0" fontId="47" fillId="0" borderId="0" xfId="118" applyFont="1"/>
    <xf numFmtId="0" fontId="47" fillId="0" borderId="0" xfId="118" applyFont="1" applyAlignment="1"/>
    <xf numFmtId="175" fontId="47" fillId="0" borderId="0" xfId="6" applyNumberFormat="1" applyFont="1"/>
    <xf numFmtId="175" fontId="45" fillId="0" borderId="0" xfId="2" applyNumberFormat="1" applyFont="1" applyBorder="1"/>
    <xf numFmtId="0" fontId="45" fillId="0" borderId="0" xfId="42" applyNumberFormat="1" applyFont="1" applyBorder="1" applyAlignment="1">
      <alignment horizontal="center"/>
    </xf>
    <xf numFmtId="0" fontId="45" fillId="0" borderId="0" xfId="2" applyNumberFormat="1" applyFont="1" applyBorder="1" applyAlignment="1">
      <alignment horizontal="center"/>
    </xf>
    <xf numFmtId="0" fontId="45" fillId="0" borderId="0" xfId="1" applyNumberFormat="1" applyFont="1" applyBorder="1" applyAlignment="1">
      <alignment horizontal="center"/>
    </xf>
    <xf numFmtId="175" fontId="45" fillId="0" borderId="0" xfId="42" applyNumberFormat="1" applyFont="1" applyBorder="1"/>
    <xf numFmtId="0" fontId="45" fillId="0" borderId="0" xfId="132" applyNumberFormat="1" applyFont="1" applyBorder="1" applyAlignment="1">
      <alignment vertical="center"/>
    </xf>
    <xf numFmtId="0" fontId="47" fillId="0" borderId="0" xfId="118" applyFont="1" applyFill="1" applyAlignment="1">
      <alignment horizontal="center"/>
    </xf>
    <xf numFmtId="0" fontId="45" fillId="0" borderId="0" xfId="118" applyFont="1" applyFill="1"/>
    <xf numFmtId="0" fontId="45" fillId="0" borderId="0" xfId="42" applyNumberFormat="1" applyFont="1" applyFill="1" applyAlignment="1">
      <alignment horizontal="center"/>
    </xf>
    <xf numFmtId="0" fontId="45" fillId="0" borderId="0" xfId="2" applyNumberFormat="1" applyFont="1" applyFill="1" applyAlignment="1">
      <alignment horizontal="center"/>
    </xf>
    <xf numFmtId="0" fontId="45" fillId="0" borderId="0" xfId="1" applyNumberFormat="1" applyFont="1" applyFill="1" applyAlignment="1">
      <alignment horizontal="center"/>
    </xf>
    <xf numFmtId="175" fontId="45" fillId="0" borderId="0" xfId="2" applyNumberFormat="1" applyFont="1" applyFill="1"/>
    <xf numFmtId="0" fontId="47" fillId="0" borderId="0" xfId="118" applyFont="1" applyFill="1"/>
    <xf numFmtId="0" fontId="45" fillId="0" borderId="0" xfId="118" applyFont="1" applyFill="1" applyAlignment="1"/>
    <xf numFmtId="166" fontId="45" fillId="0" borderId="0" xfId="42" applyFont="1" applyBorder="1" applyAlignment="1">
      <alignment horizontal="center"/>
    </xf>
    <xf numFmtId="175" fontId="47" fillId="0" borderId="0" xfId="42" applyNumberFormat="1" applyFont="1" applyBorder="1"/>
    <xf numFmtId="0" fontId="45" fillId="0" borderId="0" xfId="118" applyFont="1" applyBorder="1" applyAlignment="1">
      <alignment horizontal="center"/>
    </xf>
    <xf numFmtId="175" fontId="47" fillId="0" borderId="0" xfId="2" applyNumberFormat="1" applyFont="1" applyBorder="1"/>
    <xf numFmtId="0" fontId="45" fillId="0" borderId="0" xfId="118" applyNumberFormat="1" applyFont="1" applyBorder="1" applyAlignment="1">
      <alignment horizontal="center"/>
    </xf>
    <xf numFmtId="175" fontId="47" fillId="0" borderId="0" xfId="118" applyNumberFormat="1" applyFont="1" applyFill="1"/>
    <xf numFmtId="166" fontId="45" fillId="0" borderId="0" xfId="42" applyNumberFormat="1" applyFont="1" applyFill="1" applyBorder="1" applyAlignment="1">
      <alignment horizontal="center"/>
    </xf>
    <xf numFmtId="0" fontId="45" fillId="0" borderId="0" xfId="42" applyNumberFormat="1" applyFont="1" applyFill="1" applyBorder="1" applyAlignment="1">
      <alignment horizontal="center"/>
    </xf>
    <xf numFmtId="0" fontId="45" fillId="0" borderId="0" xfId="2" applyNumberFormat="1" applyFont="1" applyFill="1" applyBorder="1" applyAlignment="1">
      <alignment horizontal="center"/>
    </xf>
    <xf numFmtId="0" fontId="45" fillId="0" borderId="0" xfId="1" applyNumberFormat="1" applyFont="1" applyFill="1" applyBorder="1" applyAlignment="1">
      <alignment horizontal="center"/>
    </xf>
    <xf numFmtId="175" fontId="47" fillId="0" borderId="0" xfId="42" applyNumberFormat="1" applyFont="1" applyFill="1" applyBorder="1"/>
    <xf numFmtId="0" fontId="45" fillId="0" borderId="0" xfId="118" applyFont="1" applyFill="1" applyBorder="1" applyAlignment="1">
      <alignment horizontal="center"/>
    </xf>
    <xf numFmtId="0" fontId="45" fillId="0" borderId="0" xfId="118" applyNumberFormat="1" applyFont="1" applyFill="1" applyBorder="1" applyAlignment="1">
      <alignment horizontal="center"/>
    </xf>
    <xf numFmtId="0" fontId="45" fillId="0" borderId="0" xfId="132" applyFont="1" applyBorder="1" applyAlignment="1">
      <alignment horizontal="center" vertical="center"/>
    </xf>
    <xf numFmtId="0" fontId="45" fillId="0" borderId="0" xfId="132" applyFont="1" applyBorder="1" applyAlignment="1">
      <alignment vertical="center"/>
    </xf>
    <xf numFmtId="166" fontId="45" fillId="0" borderId="200" xfId="118" applyNumberFormat="1" applyFont="1" applyBorder="1" applyAlignment="1">
      <alignment horizontal="right"/>
    </xf>
    <xf numFmtId="0" fontId="45" fillId="0" borderId="0" xfId="118" applyFont="1" applyBorder="1"/>
    <xf numFmtId="0" fontId="45" fillId="0" borderId="0" xfId="132" applyFont="1" applyFill="1" applyBorder="1" applyAlignment="1">
      <alignment horizontal="center" vertical="center"/>
    </xf>
    <xf numFmtId="173" fontId="45" fillId="0" borderId="0" xfId="1" applyNumberFormat="1" applyFont="1" applyBorder="1" applyAlignment="1">
      <alignment horizontal="center"/>
    </xf>
    <xf numFmtId="175" fontId="47" fillId="0" borderId="0" xfId="2" applyNumberFormat="1" applyFont="1" applyFill="1" applyBorder="1"/>
    <xf numFmtId="0" fontId="45" fillId="0" borderId="0" xfId="118" applyNumberFormat="1" applyFont="1" applyAlignment="1">
      <alignment horizontal="center"/>
    </xf>
    <xf numFmtId="175" fontId="45" fillId="0" borderId="55" xfId="0" applyNumberFormat="1" applyFont="1" applyBorder="1"/>
    <xf numFmtId="0" fontId="45" fillId="0" borderId="0" xfId="0" applyFont="1"/>
    <xf numFmtId="0" fontId="47" fillId="0" borderId="0" xfId="0" applyFont="1"/>
    <xf numFmtId="0" fontId="45" fillId="0" borderId="200" xfId="0" applyFont="1" applyBorder="1"/>
    <xf numFmtId="0" fontId="45" fillId="0" borderId="104" xfId="0" applyFont="1" applyBorder="1"/>
    <xf numFmtId="0" fontId="45" fillId="0" borderId="0" xfId="0" applyNumberFormat="1" applyFont="1" applyAlignment="1">
      <alignment horizontal="center"/>
    </xf>
    <xf numFmtId="175" fontId="45" fillId="0" borderId="102" xfId="0" applyNumberFormat="1" applyFont="1" applyBorder="1"/>
    <xf numFmtId="175" fontId="45" fillId="0" borderId="0" xfId="0" applyNumberFormat="1" applyFont="1"/>
    <xf numFmtId="0" fontId="22" fillId="0" borderId="0" xfId="2" applyNumberFormat="1" applyFont="1" applyAlignment="1">
      <alignment horizontal="center"/>
    </xf>
    <xf numFmtId="0" fontId="46" fillId="0" borderId="0" xfId="2" applyNumberFormat="1" applyFont="1" applyAlignment="1">
      <alignment horizontal="center"/>
    </xf>
    <xf numFmtId="0" fontId="46" fillId="0" borderId="0" xfId="2" applyNumberFormat="1" applyFont="1" applyBorder="1" applyAlignment="1">
      <alignment horizontal="center"/>
    </xf>
    <xf numFmtId="0" fontId="46" fillId="0" borderId="0" xfId="2" applyNumberFormat="1" applyFont="1" applyFill="1" applyAlignment="1">
      <alignment horizontal="center"/>
    </xf>
    <xf numFmtId="0" fontId="46" fillId="0" borderId="0" xfId="42" applyNumberFormat="1" applyFont="1" applyBorder="1" applyAlignment="1">
      <alignment horizontal="center"/>
    </xf>
    <xf numFmtId="0" fontId="46" fillId="0" borderId="0" xfId="118" applyNumberFormat="1" applyFont="1" applyBorder="1" applyAlignment="1">
      <alignment horizontal="center"/>
    </xf>
    <xf numFmtId="0" fontId="46" fillId="0" borderId="0" xfId="42" applyNumberFormat="1" applyFont="1" applyFill="1" applyBorder="1" applyAlignment="1">
      <alignment horizontal="center"/>
    </xf>
    <xf numFmtId="0" fontId="46" fillId="0" borderId="0" xfId="2" applyNumberFormat="1" applyFont="1" applyFill="1" applyBorder="1" applyAlignment="1">
      <alignment horizontal="center"/>
    </xf>
    <xf numFmtId="0" fontId="46" fillId="0" borderId="0" xfId="118" applyNumberFormat="1" applyFont="1" applyFill="1" applyBorder="1" applyAlignment="1">
      <alignment horizontal="center"/>
    </xf>
    <xf numFmtId="0" fontId="46" fillId="0" borderId="0" xfId="118" applyNumberFormat="1" applyFont="1" applyAlignment="1">
      <alignment horizontal="center"/>
    </xf>
    <xf numFmtId="0" fontId="46" fillId="0" borderId="35" xfId="0" applyNumberFormat="1" applyFont="1" applyBorder="1" applyAlignment="1">
      <alignment horizontal="center"/>
    </xf>
    <xf numFmtId="0" fontId="46" fillId="0" borderId="7" xfId="0" applyNumberFormat="1" applyFont="1" applyBorder="1" applyAlignment="1">
      <alignment horizontal="center"/>
    </xf>
    <xf numFmtId="0" fontId="46" fillId="0" borderId="0" xfId="0" applyNumberFormat="1" applyFont="1" applyAlignment="1">
      <alignment horizontal="center"/>
    </xf>
    <xf numFmtId="0" fontId="24" fillId="0" borderId="15" xfId="2" applyNumberFormat="1" applyFont="1" applyBorder="1" applyAlignment="1">
      <alignment horizontal="center"/>
    </xf>
    <xf numFmtId="0" fontId="24" fillId="0" borderId="16" xfId="2" applyNumberFormat="1" applyFont="1" applyBorder="1" applyAlignment="1">
      <alignment horizontal="center"/>
    </xf>
    <xf numFmtId="0" fontId="22" fillId="0" borderId="129" xfId="2" applyNumberFormat="1" applyFont="1" applyBorder="1" applyAlignment="1">
      <alignment horizontal="center" vertical="center"/>
    </xf>
    <xf numFmtId="0" fontId="22" fillId="0" borderId="129" xfId="2" applyNumberFormat="1" applyFont="1" applyBorder="1" applyAlignment="1">
      <alignment horizontal="center"/>
    </xf>
    <xf numFmtId="0" fontId="22" fillId="0" borderId="7" xfId="2" applyNumberFormat="1" applyFont="1" applyBorder="1" applyAlignment="1">
      <alignment horizontal="center" vertical="center"/>
    </xf>
    <xf numFmtId="0" fontId="22" fillId="0" borderId="7" xfId="2" applyNumberFormat="1" applyFont="1" applyBorder="1" applyAlignment="1">
      <alignment horizontal="center"/>
    </xf>
    <xf numFmtId="0" fontId="22" fillId="0" borderId="27" xfId="42" applyNumberFormat="1" applyFont="1" applyBorder="1" applyAlignment="1">
      <alignment horizontal="center"/>
    </xf>
    <xf numFmtId="0" fontId="22" fillId="0" borderId="27" xfId="2" applyNumberFormat="1" applyFont="1" applyBorder="1" applyAlignment="1">
      <alignment horizontal="center"/>
    </xf>
    <xf numFmtId="0" fontId="22" fillId="0" borderId="0" xfId="2" applyNumberFormat="1" applyFont="1" applyBorder="1" applyAlignment="1">
      <alignment horizontal="center"/>
    </xf>
    <xf numFmtId="0" fontId="20" fillId="0" borderId="119" xfId="165" applyFont="1" applyFill="1" applyBorder="1" applyAlignment="1">
      <alignment horizontal="left"/>
    </xf>
    <xf numFmtId="166" fontId="45" fillId="0" borderId="36" xfId="1" applyFont="1" applyBorder="1" applyAlignment="1">
      <alignment horizontal="center"/>
    </xf>
    <xf numFmtId="0" fontId="22" fillId="0" borderId="0" xfId="2" applyNumberFormat="1" applyFont="1" applyFill="1" applyAlignment="1">
      <alignment horizontal="center"/>
    </xf>
    <xf numFmtId="0" fontId="24" fillId="0" borderId="15" xfId="2" applyNumberFormat="1" applyFont="1" applyFill="1" applyBorder="1" applyAlignment="1">
      <alignment horizontal="center"/>
    </xf>
    <xf numFmtId="0" fontId="24" fillId="0" borderId="16" xfId="2" applyNumberFormat="1" applyFont="1" applyFill="1" applyBorder="1" applyAlignment="1">
      <alignment horizontal="center"/>
    </xf>
    <xf numFmtId="0" fontId="22" fillId="0" borderId="129" xfId="42" applyNumberFormat="1" applyFont="1" applyFill="1" applyBorder="1" applyAlignment="1">
      <alignment horizontal="center" vertical="center"/>
    </xf>
    <xf numFmtId="0" fontId="22" fillId="0" borderId="129" xfId="42" applyNumberFormat="1" applyFont="1" applyFill="1" applyBorder="1" applyAlignment="1">
      <alignment horizontal="center"/>
    </xf>
    <xf numFmtId="166" fontId="22" fillId="0" borderId="7" xfId="1" applyFont="1" applyFill="1" applyBorder="1" applyAlignment="1">
      <alignment horizontal="center" vertical="center"/>
    </xf>
    <xf numFmtId="166" fontId="22" fillId="0" borderId="7" xfId="1" applyFont="1" applyFill="1" applyBorder="1" applyAlignment="1">
      <alignment horizontal="center"/>
    </xf>
    <xf numFmtId="166" fontId="20" fillId="0" borderId="55" xfId="1" applyFont="1" applyFill="1" applyBorder="1" applyAlignment="1">
      <alignment horizontal="center"/>
    </xf>
    <xf numFmtId="166" fontId="22" fillId="0" borderId="36" xfId="1" applyFont="1" applyBorder="1" applyAlignment="1">
      <alignment horizontal="center"/>
    </xf>
    <xf numFmtId="166" fontId="21" fillId="0" borderId="201" xfId="1" applyFont="1" applyBorder="1"/>
    <xf numFmtId="0" fontId="22" fillId="0" borderId="7" xfId="42" applyNumberFormat="1" applyFont="1" applyFill="1" applyBorder="1" applyAlignment="1">
      <alignment horizontal="center" vertical="center"/>
    </xf>
    <xf numFmtId="0" fontId="22" fillId="0" borderId="7" xfId="42" applyNumberFormat="1" applyFont="1" applyFill="1" applyBorder="1" applyAlignment="1">
      <alignment horizontal="center"/>
    </xf>
    <xf numFmtId="0" fontId="22" fillId="0" borderId="129" xfId="42" applyNumberFormat="1" applyFont="1" applyBorder="1" applyAlignment="1">
      <alignment horizontal="center" vertical="center"/>
    </xf>
    <xf numFmtId="166" fontId="22" fillId="0" borderId="7" xfId="1" applyFont="1" applyBorder="1" applyAlignment="1">
      <alignment horizontal="center"/>
    </xf>
    <xf numFmtId="166" fontId="22" fillId="0" borderId="7" xfId="1" applyFont="1" applyBorder="1" applyAlignment="1">
      <alignment horizontal="center" vertical="center"/>
    </xf>
    <xf numFmtId="166" fontId="20" fillId="0" borderId="55" xfId="1" applyFont="1" applyBorder="1"/>
    <xf numFmtId="166" fontId="20" fillId="0" borderId="7" xfId="42" applyNumberFormat="1" applyFont="1" applyBorder="1" applyAlignment="1">
      <alignment horizontal="center"/>
    </xf>
    <xf numFmtId="0" fontId="22" fillId="0" borderId="7" xfId="42" applyNumberFormat="1" applyFont="1" applyBorder="1" applyAlignment="1">
      <alignment horizontal="center" vertical="center"/>
    </xf>
    <xf numFmtId="0" fontId="22" fillId="0" borderId="7" xfId="42" applyNumberFormat="1" applyFont="1" applyBorder="1" applyAlignment="1">
      <alignment horizontal="center"/>
    </xf>
    <xf numFmtId="0" fontId="22" fillId="0" borderId="36" xfId="2" applyNumberFormat="1" applyFont="1" applyBorder="1" applyAlignment="1">
      <alignment horizontal="center"/>
    </xf>
    <xf numFmtId="0" fontId="22" fillId="0" borderId="38" xfId="118" applyNumberFormat="1" applyFont="1" applyBorder="1" applyAlignment="1">
      <alignment horizontal="center"/>
    </xf>
    <xf numFmtId="166" fontId="22" fillId="0" borderId="7" xfId="42" applyNumberFormat="1" applyFont="1" applyBorder="1" applyAlignment="1">
      <alignment horizontal="center" vertical="center"/>
    </xf>
    <xf numFmtId="166" fontId="22" fillId="0" borderId="35" xfId="1" applyFont="1" applyBorder="1" applyAlignment="1">
      <alignment horizontal="center"/>
    </xf>
    <xf numFmtId="175" fontId="20" fillId="0" borderId="7" xfId="42" applyNumberFormat="1" applyFont="1" applyBorder="1" applyAlignment="1">
      <alignment horizontal="center"/>
    </xf>
    <xf numFmtId="0" fontId="22" fillId="0" borderId="0" xfId="42" applyNumberFormat="1" applyFont="1" applyFill="1" applyBorder="1" applyAlignment="1">
      <alignment horizontal="center"/>
    </xf>
    <xf numFmtId="0" fontId="22" fillId="0" borderId="0" xfId="2" applyNumberFormat="1" applyFont="1" applyFill="1" applyBorder="1" applyAlignment="1">
      <alignment horizontal="center"/>
    </xf>
    <xf numFmtId="0" fontId="22" fillId="0" borderId="36" xfId="42" applyNumberFormat="1" applyFont="1" applyFill="1" applyBorder="1" applyAlignment="1">
      <alignment horizontal="center"/>
    </xf>
    <xf numFmtId="0" fontId="22" fillId="0" borderId="27" xfId="42" applyNumberFormat="1" applyFont="1" applyFill="1" applyBorder="1" applyAlignment="1">
      <alignment horizontal="center"/>
    </xf>
    <xf numFmtId="0" fontId="22" fillId="0" borderId="27" xfId="2" applyNumberFormat="1" applyFont="1" applyFill="1" applyBorder="1" applyAlignment="1">
      <alignment horizontal="center"/>
    </xf>
    <xf numFmtId="166" fontId="20" fillId="0" borderId="129" xfId="1" applyNumberFormat="1" applyFont="1" applyBorder="1" applyAlignment="1">
      <alignment horizontal="center"/>
    </xf>
    <xf numFmtId="166" fontId="20" fillId="0" borderId="7" xfId="42" applyNumberFormat="1" applyFont="1" applyFill="1" applyBorder="1" applyAlignment="1">
      <alignment horizontal="center"/>
    </xf>
    <xf numFmtId="0" fontId="20" fillId="0" borderId="129" xfId="118" applyFont="1" applyFill="1" applyBorder="1"/>
    <xf numFmtId="0" fontId="20" fillId="0" borderId="130" xfId="1" applyNumberFormat="1" applyFont="1" applyFill="1" applyBorder="1" applyAlignment="1">
      <alignment horizontal="center"/>
    </xf>
    <xf numFmtId="0" fontId="20" fillId="0" borderId="7" xfId="118" applyFont="1" applyFill="1" applyBorder="1"/>
    <xf numFmtId="0" fontId="20" fillId="0" borderId="55" xfId="1" applyNumberFormat="1" applyFont="1" applyFill="1" applyBorder="1" applyAlignment="1">
      <alignment horizontal="center"/>
    </xf>
    <xf numFmtId="0" fontId="22" fillId="0" borderId="141" xfId="42" applyNumberFormat="1" applyFont="1" applyFill="1" applyBorder="1" applyAlignment="1">
      <alignment horizontal="center"/>
    </xf>
    <xf numFmtId="0" fontId="22" fillId="0" borderId="150" xfId="42" applyNumberFormat="1" applyFont="1" applyFill="1" applyBorder="1" applyAlignment="1">
      <alignment horizontal="center"/>
    </xf>
    <xf numFmtId="0" fontId="20" fillId="0" borderId="150" xfId="1" applyNumberFormat="1" applyFont="1" applyFill="1" applyBorder="1" applyAlignment="1">
      <alignment horizontal="center"/>
    </xf>
    <xf numFmtId="0" fontId="22" fillId="0" borderId="129" xfId="2" applyNumberFormat="1" applyFont="1" applyFill="1" applyBorder="1" applyAlignment="1">
      <alignment horizontal="center"/>
    </xf>
    <xf numFmtId="0" fontId="22" fillId="0" borderId="7" xfId="2" applyNumberFormat="1" applyFont="1" applyFill="1" applyBorder="1" applyAlignment="1">
      <alignment horizontal="center"/>
    </xf>
    <xf numFmtId="0" fontId="22" fillId="0" borderId="7" xfId="2" applyNumberFormat="1" applyFont="1" applyFill="1" applyBorder="1" applyAlignment="1">
      <alignment horizontal="center" vertical="center"/>
    </xf>
    <xf numFmtId="0" fontId="22" fillId="0" borderId="36" xfId="42" applyNumberFormat="1" applyFont="1" applyFill="1" applyBorder="1" applyAlignment="1">
      <alignment horizontal="center" vertical="center"/>
    </xf>
    <xf numFmtId="0" fontId="22" fillId="0" borderId="36" xfId="2" applyNumberFormat="1" applyFont="1" applyFill="1" applyBorder="1" applyAlignment="1">
      <alignment horizontal="center"/>
    </xf>
    <xf numFmtId="0" fontId="22" fillId="0" borderId="38" xfId="2" applyNumberFormat="1" applyFont="1" applyFill="1" applyBorder="1" applyAlignment="1">
      <alignment horizontal="center"/>
    </xf>
    <xf numFmtId="0" fontId="22" fillId="0" borderId="38" xfId="118" applyNumberFormat="1" applyFont="1" applyFill="1" applyBorder="1" applyAlignment="1">
      <alignment horizontal="center"/>
    </xf>
    <xf numFmtId="0" fontId="22" fillId="0" borderId="0" xfId="118" applyNumberFormat="1" applyFont="1" applyFill="1" applyBorder="1" applyAlignment="1">
      <alignment horizontal="center"/>
    </xf>
    <xf numFmtId="166" fontId="45" fillId="0" borderId="201" xfId="1" applyFont="1" applyBorder="1"/>
    <xf numFmtId="0" fontId="22" fillId="0" borderId="0" xfId="118" applyNumberFormat="1" applyFont="1" applyBorder="1" applyAlignment="1">
      <alignment horizontal="center"/>
    </xf>
    <xf numFmtId="166" fontId="20" fillId="0" borderId="50" xfId="1" applyFont="1" applyBorder="1" applyAlignment="1">
      <alignment horizontal="center"/>
    </xf>
    <xf numFmtId="166" fontId="20" fillId="0" borderId="55" xfId="1" applyFont="1" applyBorder="1" applyAlignment="1">
      <alignment horizontal="center"/>
    </xf>
    <xf numFmtId="166" fontId="20" fillId="0" borderId="35" xfId="1" applyFont="1" applyFill="1" applyBorder="1" applyAlignment="1">
      <alignment horizontal="center"/>
    </xf>
    <xf numFmtId="0" fontId="20" fillId="0" borderId="104" xfId="118" applyFont="1" applyFill="1" applyBorder="1" applyAlignment="1">
      <alignment horizontal="right"/>
    </xf>
    <xf numFmtId="166" fontId="22" fillId="0" borderId="35" xfId="1" applyFont="1" applyFill="1" applyBorder="1" applyAlignment="1">
      <alignment horizontal="center" vertical="center"/>
    </xf>
    <xf numFmtId="166" fontId="22" fillId="0" borderId="35" xfId="1" applyFont="1" applyFill="1" applyBorder="1" applyAlignment="1">
      <alignment horizontal="center"/>
    </xf>
    <xf numFmtId="166" fontId="22" fillId="0" borderId="35" xfId="1" applyFont="1" applyBorder="1" applyAlignment="1">
      <alignment horizontal="center" vertical="center"/>
    </xf>
    <xf numFmtId="166" fontId="20" fillId="0" borderId="201" xfId="1" applyFont="1" applyBorder="1"/>
    <xf numFmtId="0" fontId="22" fillId="0" borderId="27" xfId="118" applyNumberFormat="1" applyFont="1" applyBorder="1" applyAlignment="1">
      <alignment horizontal="center"/>
    </xf>
    <xf numFmtId="0" fontId="22" fillId="0" borderId="36" xfId="42" applyNumberFormat="1" applyFont="1" applyBorder="1" applyAlignment="1">
      <alignment horizontal="center" vertical="center"/>
    </xf>
    <xf numFmtId="0" fontId="22" fillId="0" borderId="39" xfId="118" applyNumberFormat="1" applyFont="1" applyBorder="1" applyAlignment="1">
      <alignment horizontal="center"/>
    </xf>
    <xf numFmtId="0" fontId="22" fillId="0" borderId="40" xfId="2" applyNumberFormat="1" applyFont="1" applyBorder="1" applyAlignment="1">
      <alignment horizontal="center"/>
    </xf>
    <xf numFmtId="166" fontId="20" fillId="0" borderId="40" xfId="1" applyFont="1" applyBorder="1" applyAlignment="1">
      <alignment horizontal="center"/>
    </xf>
    <xf numFmtId="166" fontId="22" fillId="0" borderId="129" xfId="1" applyFont="1" applyBorder="1" applyAlignment="1">
      <alignment horizontal="center" vertical="center"/>
    </xf>
    <xf numFmtId="166" fontId="20" fillId="0" borderId="18" xfId="1" applyFont="1" applyFill="1" applyBorder="1" applyAlignment="1">
      <alignment horizontal="center"/>
    </xf>
    <xf numFmtId="166" fontId="22" fillId="0" borderId="18" xfId="1" applyFont="1" applyBorder="1" applyAlignment="1">
      <alignment horizontal="center" vertical="center"/>
    </xf>
    <xf numFmtId="166" fontId="22" fillId="0" borderId="18" xfId="1" applyFont="1" applyBorder="1" applyAlignment="1">
      <alignment horizontal="center"/>
    </xf>
    <xf numFmtId="185" fontId="20" fillId="0" borderId="18" xfId="1" applyNumberFormat="1" applyFont="1" applyBorder="1" applyAlignment="1">
      <alignment horizontal="center"/>
    </xf>
    <xf numFmtId="166" fontId="22" fillId="2" borderId="18" xfId="1" applyFont="1" applyFill="1" applyBorder="1" applyAlignment="1">
      <alignment horizontal="center" vertical="center"/>
    </xf>
    <xf numFmtId="166" fontId="22" fillId="0" borderId="22" xfId="1" applyFont="1" applyBorder="1" applyAlignment="1">
      <alignment horizontal="center" vertical="center"/>
    </xf>
    <xf numFmtId="166" fontId="22" fillId="0" borderId="22" xfId="1" applyFont="1" applyBorder="1" applyAlignment="1">
      <alignment horizontal="center"/>
    </xf>
    <xf numFmtId="185" fontId="20" fillId="0" borderId="22" xfId="1" applyNumberFormat="1" applyFont="1" applyBorder="1" applyAlignment="1">
      <alignment horizontal="center"/>
    </xf>
    <xf numFmtId="166" fontId="22" fillId="2" borderId="22" xfId="1" applyFont="1" applyFill="1" applyBorder="1" applyAlignment="1">
      <alignment horizontal="center" vertical="center"/>
    </xf>
    <xf numFmtId="166" fontId="22" fillId="0" borderId="129" xfId="1" applyFont="1" applyBorder="1" applyAlignment="1">
      <alignment horizontal="center"/>
    </xf>
    <xf numFmtId="166" fontId="22" fillId="0" borderId="129" xfId="1" quotePrefix="1" applyFont="1" applyBorder="1" applyAlignment="1">
      <alignment horizontal="center" vertical="center"/>
    </xf>
    <xf numFmtId="166" fontId="20" fillId="0" borderId="130" xfId="1" applyFont="1" applyBorder="1"/>
    <xf numFmtId="166" fontId="20" fillId="0" borderId="129" xfId="1" applyFont="1" applyFill="1" applyBorder="1" applyAlignment="1">
      <alignment horizontal="center"/>
    </xf>
    <xf numFmtId="166" fontId="20" fillId="0" borderId="27" xfId="1" applyFont="1" applyBorder="1" applyAlignment="1">
      <alignment horizontal="center"/>
    </xf>
    <xf numFmtId="166" fontId="45" fillId="0" borderId="36" xfId="1" applyFont="1" applyFill="1" applyBorder="1" applyAlignment="1">
      <alignment horizontal="center"/>
    </xf>
    <xf numFmtId="166" fontId="46" fillId="0" borderId="36" xfId="1" applyFont="1" applyFill="1" applyBorder="1" applyAlignment="1">
      <alignment horizontal="center"/>
    </xf>
    <xf numFmtId="0" fontId="24" fillId="0" borderId="129" xfId="2" applyNumberFormat="1" applyFont="1" applyBorder="1" applyAlignment="1">
      <alignment horizontal="center"/>
    </xf>
    <xf numFmtId="0" fontId="24" fillId="0" borderId="162" xfId="2" applyNumberFormat="1" applyFont="1" applyBorder="1" applyAlignment="1">
      <alignment horizontal="center"/>
    </xf>
    <xf numFmtId="0" fontId="21" fillId="0" borderId="162" xfId="2" applyNumberFormat="1" applyFont="1" applyBorder="1" applyAlignment="1">
      <alignment horizontal="center"/>
    </xf>
    <xf numFmtId="0" fontId="21" fillId="0" borderId="162" xfId="42" applyNumberFormat="1" applyFont="1" applyBorder="1" applyAlignment="1">
      <alignment horizontal="center"/>
    </xf>
    <xf numFmtId="0" fontId="21" fillId="0" borderId="162" xfId="1" applyNumberFormat="1" applyFont="1" applyBorder="1" applyAlignment="1">
      <alignment horizontal="center"/>
    </xf>
    <xf numFmtId="166" fontId="20" fillId="0" borderId="34" xfId="1" applyFont="1" applyFill="1" applyBorder="1" applyAlignment="1">
      <alignment horizontal="center"/>
    </xf>
    <xf numFmtId="166" fontId="22" fillId="0" borderId="34" xfId="1" applyFont="1" applyBorder="1" applyAlignment="1">
      <alignment horizontal="center" vertical="center"/>
    </xf>
    <xf numFmtId="166" fontId="20" fillId="0" borderId="34" xfId="1" applyFont="1" applyBorder="1" applyAlignment="1">
      <alignment horizontal="center"/>
    </xf>
    <xf numFmtId="166" fontId="20" fillId="0" borderId="101" xfId="1" applyFont="1" applyBorder="1"/>
    <xf numFmtId="166" fontId="45" fillId="0" borderId="35" xfId="1" applyFont="1" applyBorder="1" applyAlignment="1">
      <alignment horizontal="center"/>
    </xf>
    <xf numFmtId="166" fontId="20" fillId="0" borderId="36" xfId="1" applyFont="1" applyFill="1" applyBorder="1" applyAlignment="1">
      <alignment horizontal="center"/>
    </xf>
    <xf numFmtId="166" fontId="22" fillId="0" borderId="36" xfId="1" applyFont="1" applyFill="1" applyBorder="1" applyAlignment="1">
      <alignment horizontal="center"/>
    </xf>
    <xf numFmtId="166" fontId="22" fillId="0" borderId="129" xfId="1" applyFont="1" applyFill="1" applyBorder="1" applyAlignment="1">
      <alignment horizontal="center" vertical="center"/>
    </xf>
    <xf numFmtId="166" fontId="20" fillId="0" borderId="130" xfId="1" applyFont="1" applyFill="1" applyBorder="1"/>
    <xf numFmtId="166" fontId="20" fillId="0" borderId="55" xfId="1" applyFont="1" applyFill="1" applyBorder="1"/>
    <xf numFmtId="166" fontId="45" fillId="0" borderId="201" xfId="1" applyFont="1" applyFill="1" applyBorder="1"/>
    <xf numFmtId="0" fontId="22" fillId="0" borderId="24" xfId="2" applyNumberFormat="1" applyFont="1" applyFill="1" applyBorder="1" applyAlignment="1">
      <alignment horizontal="center"/>
    </xf>
    <xf numFmtId="166" fontId="20" fillId="0" borderId="201" xfId="1" applyFont="1" applyFill="1" applyBorder="1"/>
    <xf numFmtId="166" fontId="21" fillId="0" borderId="30" xfId="1" applyFont="1" applyFill="1" applyBorder="1"/>
    <xf numFmtId="166" fontId="20" fillId="0" borderId="27" xfId="1" applyFont="1" applyFill="1" applyBorder="1" applyAlignment="1">
      <alignment horizontal="center"/>
    </xf>
    <xf numFmtId="0" fontId="22" fillId="0" borderId="0" xfId="118" applyNumberFormat="1" applyFont="1" applyAlignment="1">
      <alignment horizontal="center"/>
    </xf>
    <xf numFmtId="0" fontId="22" fillId="0" borderId="7" xfId="0" applyNumberFormat="1" applyFont="1" applyBorder="1" applyAlignment="1">
      <alignment horizontal="center"/>
    </xf>
    <xf numFmtId="166" fontId="22" fillId="0" borderId="129" xfId="1" applyFont="1" applyFill="1" applyBorder="1" applyAlignment="1">
      <alignment horizontal="center"/>
    </xf>
    <xf numFmtId="166" fontId="46" fillId="0" borderId="36" xfId="1" applyFont="1" applyFill="1" applyBorder="1" applyAlignment="1">
      <alignment horizontal="center" vertical="center"/>
    </xf>
    <xf numFmtId="185" fontId="20" fillId="0" borderId="129" xfId="1" applyNumberFormat="1" applyFont="1" applyBorder="1" applyAlignment="1">
      <alignment horizontal="center"/>
    </xf>
    <xf numFmtId="185" fontId="20" fillId="0" borderId="7" xfId="1" applyNumberFormat="1" applyFont="1" applyFill="1" applyBorder="1" applyAlignment="1">
      <alignment horizontal="center"/>
    </xf>
    <xf numFmtId="185" fontId="20" fillId="0" borderId="7" xfId="1" applyNumberFormat="1" applyFont="1" applyBorder="1" applyAlignment="1">
      <alignment horizontal="center"/>
    </xf>
    <xf numFmtId="166" fontId="20" fillId="0" borderId="129" xfId="1" applyNumberFormat="1" applyFont="1" applyFill="1" applyBorder="1" applyAlignment="1">
      <alignment horizontal="center"/>
    </xf>
    <xf numFmtId="166" fontId="22" fillId="0" borderId="129" xfId="1" applyNumberFormat="1" applyFont="1" applyFill="1" applyBorder="1" applyAlignment="1">
      <alignment horizontal="center" vertical="center"/>
    </xf>
    <xf numFmtId="166" fontId="20" fillId="0" borderId="130" xfId="1" applyNumberFormat="1" applyFont="1" applyFill="1" applyBorder="1"/>
    <xf numFmtId="166" fontId="20" fillId="0" borderId="7" xfId="1" applyNumberFormat="1" applyFont="1" applyFill="1" applyBorder="1" applyAlignment="1">
      <alignment horizontal="center"/>
    </xf>
    <xf numFmtId="166" fontId="22" fillId="0" borderId="7" xfId="1" applyNumberFormat="1" applyFont="1" applyFill="1" applyBorder="1" applyAlignment="1">
      <alignment horizontal="center" vertical="center"/>
    </xf>
    <xf numFmtId="166" fontId="20" fillId="0" borderId="55" xfId="1" applyNumberFormat="1" applyFont="1" applyFill="1" applyBorder="1"/>
    <xf numFmtId="166" fontId="20" fillId="0" borderId="36" xfId="1" applyNumberFormat="1" applyFont="1" applyFill="1" applyBorder="1" applyAlignment="1">
      <alignment horizontal="center"/>
    </xf>
    <xf numFmtId="166" fontId="22" fillId="0" borderId="36" xfId="1" applyNumberFormat="1" applyFont="1" applyFill="1" applyBorder="1" applyAlignment="1">
      <alignment horizontal="center"/>
    </xf>
    <xf numFmtId="166" fontId="20" fillId="0" borderId="201" xfId="1" applyNumberFormat="1" applyFont="1" applyFill="1" applyBorder="1"/>
    <xf numFmtId="166" fontId="46" fillId="0" borderId="35" xfId="1" applyFont="1" applyBorder="1" applyAlignment="1">
      <alignment horizontal="center"/>
    </xf>
    <xf numFmtId="166" fontId="20" fillId="0" borderId="35" xfId="1" applyFont="1" applyBorder="1" applyAlignment="1">
      <alignment horizontal="center"/>
    </xf>
    <xf numFmtId="166" fontId="20" fillId="0" borderId="102" xfId="1" applyFont="1" applyBorder="1"/>
    <xf numFmtId="0" fontId="22" fillId="0" borderId="203" xfId="0" applyNumberFormat="1" applyFont="1" applyBorder="1" applyAlignment="1">
      <alignment horizontal="center"/>
    </xf>
    <xf numFmtId="0" fontId="22" fillId="0" borderId="141" xfId="0" applyNumberFormat="1" applyFont="1" applyBorder="1" applyAlignment="1">
      <alignment horizontal="center"/>
    </xf>
    <xf numFmtId="0" fontId="21" fillId="0" borderId="217" xfId="118" applyFont="1" applyBorder="1" applyAlignment="1">
      <alignment horizontal="center"/>
    </xf>
    <xf numFmtId="0" fontId="21" fillId="0" borderId="218" xfId="42" applyNumberFormat="1" applyFont="1" applyBorder="1" applyAlignment="1">
      <alignment horizontal="center"/>
    </xf>
    <xf numFmtId="0" fontId="24" fillId="0" borderId="218" xfId="2" applyNumberFormat="1" applyFont="1" applyBorder="1" applyAlignment="1">
      <alignment horizontal="center"/>
    </xf>
    <xf numFmtId="0" fontId="21" fillId="0" borderId="218" xfId="2" applyNumberFormat="1" applyFont="1" applyBorder="1" applyAlignment="1">
      <alignment horizontal="center"/>
    </xf>
    <xf numFmtId="0" fontId="20" fillId="0" borderId="218" xfId="0" applyNumberFormat="1" applyFont="1" applyBorder="1" applyAlignment="1">
      <alignment horizontal="center"/>
    </xf>
    <xf numFmtId="175" fontId="21" fillId="0" borderId="219" xfId="2" applyNumberFormat="1" applyFont="1" applyBorder="1" applyAlignment="1">
      <alignment horizontal="center"/>
    </xf>
    <xf numFmtId="166" fontId="22" fillId="0" borderId="34" xfId="1" applyFont="1" applyBorder="1" applyAlignment="1">
      <alignment horizontal="center"/>
    </xf>
    <xf numFmtId="0" fontId="22" fillId="0" borderId="36" xfId="0" applyNumberFormat="1" applyFont="1" applyBorder="1" applyAlignment="1">
      <alignment horizontal="center"/>
    </xf>
    <xf numFmtId="0" fontId="22" fillId="0" borderId="35" xfId="0" applyNumberFormat="1" applyFont="1" applyBorder="1" applyAlignment="1">
      <alignment horizontal="center"/>
    </xf>
    <xf numFmtId="166" fontId="21" fillId="0" borderId="129" xfId="1" applyFont="1" applyBorder="1" applyAlignment="1">
      <alignment horizontal="center"/>
    </xf>
    <xf numFmtId="166" fontId="24" fillId="0" borderId="129" xfId="1" applyFont="1" applyBorder="1" applyAlignment="1">
      <alignment horizontal="center"/>
    </xf>
    <xf numFmtId="166" fontId="21" fillId="0" borderId="130" xfId="1" applyFont="1" applyBorder="1" applyAlignment="1">
      <alignment horizontal="center"/>
    </xf>
    <xf numFmtId="166" fontId="20" fillId="0" borderId="0" xfId="118" applyNumberFormat="1" applyFont="1" applyFill="1" applyBorder="1"/>
    <xf numFmtId="0" fontId="20" fillId="0" borderId="128" xfId="0" applyFont="1" applyBorder="1" applyAlignment="1">
      <alignment horizontal="left"/>
    </xf>
    <xf numFmtId="0" fontId="22" fillId="0" borderId="47" xfId="0" applyNumberFormat="1" applyFont="1" applyBorder="1" applyAlignment="1">
      <alignment horizontal="center"/>
    </xf>
    <xf numFmtId="0" fontId="22" fillId="0" borderId="0" xfId="0" applyNumberFormat="1" applyFont="1" applyBorder="1" applyAlignment="1">
      <alignment horizontal="center"/>
    </xf>
    <xf numFmtId="166" fontId="20" fillId="0" borderId="47" xfId="0" applyNumberFormat="1" applyFont="1" applyBorder="1" applyAlignment="1">
      <alignment horizontal="center"/>
    </xf>
    <xf numFmtId="0" fontId="22" fillId="0" borderId="129" xfId="0" applyNumberFormat="1" applyFont="1" applyBorder="1" applyAlignment="1">
      <alignment horizontal="center"/>
    </xf>
    <xf numFmtId="0" fontId="24" fillId="0" borderId="198" xfId="2" applyNumberFormat="1" applyFont="1" applyBorder="1" applyAlignment="1">
      <alignment horizontal="center"/>
    </xf>
    <xf numFmtId="0" fontId="22" fillId="0" borderId="0" xfId="0" applyNumberFormat="1" applyFont="1" applyAlignment="1">
      <alignment horizontal="center"/>
    </xf>
    <xf numFmtId="0" fontId="20" fillId="0" borderId="128" xfId="0" applyFont="1" applyBorder="1" applyAlignment="1">
      <alignment horizontal="right"/>
    </xf>
    <xf numFmtId="166" fontId="20" fillId="0" borderId="141" xfId="1" applyFont="1" applyBorder="1" applyAlignment="1">
      <alignment horizontal="center"/>
    </xf>
    <xf numFmtId="0" fontId="20" fillId="0" borderId="104" xfId="0" applyFont="1" applyBorder="1" applyAlignment="1">
      <alignment horizontal="left"/>
    </xf>
    <xf numFmtId="166" fontId="20" fillId="0" borderId="7" xfId="0" applyNumberFormat="1" applyFont="1" applyBorder="1" applyAlignment="1">
      <alignment horizontal="center"/>
    </xf>
    <xf numFmtId="166" fontId="20" fillId="0" borderId="128" xfId="1" applyFont="1" applyBorder="1" applyAlignment="1">
      <alignment horizontal="center"/>
    </xf>
    <xf numFmtId="166" fontId="20" fillId="0" borderId="103" xfId="1" applyFont="1" applyBorder="1" applyAlignment="1">
      <alignment horizontal="right"/>
    </xf>
    <xf numFmtId="166" fontId="20" fillId="0" borderId="200" xfId="1" applyFont="1" applyBorder="1"/>
    <xf numFmtId="166" fontId="20" fillId="0" borderId="104" xfId="1" applyFont="1" applyBorder="1" applyAlignment="1">
      <alignment horizontal="right"/>
    </xf>
    <xf numFmtId="166" fontId="20" fillId="0" borderId="104" xfId="1" applyFont="1" applyBorder="1" applyAlignment="1">
      <alignment horizontal="center"/>
    </xf>
    <xf numFmtId="0" fontId="24" fillId="0" borderId="0" xfId="0" applyNumberFormat="1" applyFont="1" applyAlignment="1">
      <alignment horizontal="center"/>
    </xf>
    <xf numFmtId="166" fontId="20" fillId="0" borderId="47" xfId="1" applyFont="1" applyBorder="1" applyAlignment="1">
      <alignment horizontal="center"/>
    </xf>
    <xf numFmtId="0" fontId="24" fillId="0" borderId="172" xfId="2" applyNumberFormat="1" applyFont="1" applyBorder="1" applyAlignment="1">
      <alignment horizontal="center"/>
    </xf>
    <xf numFmtId="166" fontId="20" fillId="0" borderId="27" xfId="42" applyNumberFormat="1" applyFont="1" applyFill="1" applyBorder="1" applyAlignment="1">
      <alignment horizontal="center"/>
    </xf>
    <xf numFmtId="166" fontId="20" fillId="0" borderId="7" xfId="1" applyFont="1" applyBorder="1" applyAlignment="1">
      <alignment horizontal="center"/>
    </xf>
    <xf numFmtId="2" fontId="20" fillId="0" borderId="0" xfId="0" applyNumberFormat="1" applyFont="1" applyBorder="1" applyAlignment="1">
      <alignment horizontal="center"/>
    </xf>
    <xf numFmtId="0" fontId="45" fillId="0" borderId="0" xfId="0" applyFont="1" applyBorder="1"/>
    <xf numFmtId="166" fontId="20" fillId="0" borderId="104" xfId="118" applyNumberFormat="1" applyFont="1" applyBorder="1" applyAlignment="1">
      <alignment horizontal="right"/>
    </xf>
    <xf numFmtId="166" fontId="22" fillId="0" borderId="35" xfId="1" applyNumberFormat="1" applyFont="1" applyFill="1" applyBorder="1" applyAlignment="1">
      <alignment horizontal="center" vertical="center"/>
    </xf>
    <xf numFmtId="166" fontId="20" fillId="0" borderId="102" xfId="1" applyNumberFormat="1" applyFont="1" applyFill="1" applyBorder="1"/>
    <xf numFmtId="0" fontId="20" fillId="0" borderId="56" xfId="0" applyFont="1" applyBorder="1"/>
    <xf numFmtId="0" fontId="20" fillId="0" borderId="45" xfId="0" applyNumberFormat="1" applyFont="1" applyBorder="1" applyAlignment="1">
      <alignment horizontal="center"/>
    </xf>
    <xf numFmtId="0" fontId="22" fillId="0" borderId="45" xfId="0" applyNumberFormat="1" applyFont="1" applyBorder="1" applyAlignment="1">
      <alignment horizontal="center"/>
    </xf>
    <xf numFmtId="166" fontId="20" fillId="0" borderId="45" xfId="0" applyNumberFormat="1" applyFont="1" applyBorder="1" applyAlignment="1">
      <alignment horizontal="center"/>
    </xf>
    <xf numFmtId="0" fontId="20" fillId="0" borderId="42" xfId="0" applyFont="1" applyBorder="1"/>
    <xf numFmtId="0" fontId="20" fillId="0" borderId="43" xfId="0" applyNumberFormat="1" applyFont="1" applyBorder="1" applyAlignment="1">
      <alignment horizontal="center"/>
    </xf>
    <xf numFmtId="0" fontId="22" fillId="0" borderId="43" xfId="0" applyNumberFormat="1" applyFont="1" applyBorder="1" applyAlignment="1">
      <alignment horizontal="center"/>
    </xf>
    <xf numFmtId="175" fontId="20" fillId="0" borderId="44" xfId="2" applyNumberFormat="1" applyFont="1" applyBorder="1"/>
    <xf numFmtId="2" fontId="20" fillId="0" borderId="47" xfId="0" applyNumberFormat="1" applyFont="1" applyBorder="1" applyAlignment="1">
      <alignment horizontal="right"/>
    </xf>
    <xf numFmtId="0" fontId="24" fillId="0" borderId="7" xfId="2" applyNumberFormat="1" applyFont="1" applyBorder="1" applyAlignment="1">
      <alignment horizontal="center"/>
    </xf>
    <xf numFmtId="166" fontId="20" fillId="0" borderId="0" xfId="1" applyFont="1" applyAlignment="1">
      <alignment vertical="center"/>
    </xf>
    <xf numFmtId="166" fontId="45" fillId="0" borderId="0" xfId="1" applyFont="1"/>
    <xf numFmtId="166" fontId="45" fillId="0" borderId="0" xfId="1" applyFont="1" applyFill="1"/>
    <xf numFmtId="166" fontId="21" fillId="0" borderId="0" xfId="1" applyFont="1"/>
    <xf numFmtId="0" fontId="20" fillId="0" borderId="104" xfId="0" applyFont="1" applyFill="1" applyBorder="1" applyAlignment="1">
      <alignment horizontal="left"/>
    </xf>
    <xf numFmtId="166" fontId="20" fillId="0" borderId="102" xfId="1" applyFont="1" applyFill="1" applyBorder="1"/>
    <xf numFmtId="0" fontId="20" fillId="0" borderId="104" xfId="0" applyFont="1" applyFill="1" applyBorder="1" applyAlignment="1">
      <alignment horizontal="right"/>
    </xf>
    <xf numFmtId="0" fontId="20" fillId="0" borderId="200" xfId="0" applyFont="1" applyFill="1" applyBorder="1"/>
    <xf numFmtId="0" fontId="22" fillId="0" borderId="47" xfId="0" applyNumberFormat="1" applyFont="1" applyFill="1" applyBorder="1" applyAlignment="1">
      <alignment horizontal="center"/>
    </xf>
    <xf numFmtId="0" fontId="20" fillId="0" borderId="47" xfId="0" applyNumberFormat="1" applyFont="1" applyFill="1" applyBorder="1" applyAlignment="1">
      <alignment horizontal="center"/>
    </xf>
    <xf numFmtId="175" fontId="20" fillId="0" borderId="48" xfId="0" applyNumberFormat="1" applyFont="1" applyFill="1" applyBorder="1"/>
    <xf numFmtId="166" fontId="20" fillId="0" borderId="47" xfId="1" applyFont="1" applyFill="1" applyBorder="1" applyAlignment="1">
      <alignment horizontal="center"/>
    </xf>
    <xf numFmtId="0" fontId="21" fillId="0" borderId="143" xfId="0" applyFont="1" applyFill="1" applyBorder="1" applyAlignment="1">
      <alignment horizontal="center"/>
    </xf>
    <xf numFmtId="0" fontId="20" fillId="0" borderId="3" xfId="0" applyFont="1" applyFill="1" applyBorder="1" applyAlignment="1">
      <alignment horizontal="center"/>
    </xf>
    <xf numFmtId="166" fontId="20" fillId="0" borderId="144" xfId="0" applyNumberFormat="1" applyFont="1" applyFill="1" applyBorder="1" applyAlignment="1">
      <alignment horizontal="right"/>
    </xf>
    <xf numFmtId="184" fontId="20" fillId="0" borderId="7" xfId="0" applyNumberFormat="1" applyFont="1" applyFill="1" applyBorder="1" applyAlignment="1">
      <alignment horizontal="center"/>
    </xf>
    <xf numFmtId="166" fontId="20" fillId="0" borderId="7" xfId="0" applyNumberFormat="1" applyFont="1" applyFill="1" applyBorder="1" applyAlignment="1">
      <alignment horizontal="center"/>
    </xf>
    <xf numFmtId="166" fontId="20" fillId="0" borderId="146" xfId="0" applyNumberFormat="1" applyFont="1" applyFill="1" applyBorder="1" applyAlignment="1">
      <alignment horizontal="right"/>
    </xf>
    <xf numFmtId="166" fontId="20" fillId="0" borderId="27" xfId="42" applyNumberFormat="1" applyFont="1" applyFill="1" applyBorder="1" applyAlignment="1">
      <alignment horizontal="center"/>
    </xf>
    <xf numFmtId="166" fontId="20" fillId="0" borderId="7" xfId="1" applyFont="1" applyBorder="1" applyAlignment="1">
      <alignment horizontal="center"/>
    </xf>
    <xf numFmtId="166" fontId="46" fillId="0" borderId="7" xfId="1" applyFont="1" applyBorder="1" applyAlignment="1">
      <alignment horizontal="center"/>
    </xf>
    <xf numFmtId="166" fontId="45" fillId="0" borderId="55" xfId="1" applyFont="1" applyBorder="1"/>
    <xf numFmtId="166" fontId="46" fillId="0" borderId="36" xfId="1" applyFont="1" applyBorder="1" applyAlignment="1">
      <alignment horizontal="center"/>
    </xf>
    <xf numFmtId="166" fontId="45" fillId="0" borderId="7" xfId="1" applyFont="1" applyBorder="1" applyAlignment="1">
      <alignment horizontal="center"/>
    </xf>
    <xf numFmtId="2" fontId="20" fillId="0" borderId="7" xfId="42" applyNumberFormat="1" applyFont="1" applyBorder="1" applyAlignment="1">
      <alignment horizontal="center"/>
    </xf>
    <xf numFmtId="184" fontId="20" fillId="0" borderId="7" xfId="0" applyNumberFormat="1" applyFont="1" applyFill="1" applyBorder="1" applyAlignment="1"/>
    <xf numFmtId="0" fontId="20" fillId="0" borderId="220" xfId="0" applyFont="1" applyBorder="1"/>
    <xf numFmtId="0" fontId="22" fillId="0" borderId="32" xfId="42" applyNumberFormat="1" applyFont="1" applyBorder="1" applyAlignment="1">
      <alignment horizontal="center" vertical="center"/>
    </xf>
    <xf numFmtId="0" fontId="20" fillId="0" borderId="32" xfId="0" applyNumberFormat="1" applyFont="1" applyBorder="1" applyAlignment="1">
      <alignment horizontal="center"/>
    </xf>
    <xf numFmtId="0" fontId="22" fillId="0" borderId="32" xfId="0" applyNumberFormat="1" applyFont="1" applyBorder="1" applyAlignment="1">
      <alignment horizontal="center"/>
    </xf>
    <xf numFmtId="166" fontId="20" fillId="0" borderId="7" xfId="1" applyFont="1" applyBorder="1" applyAlignment="1">
      <alignment horizontal="center" vertical="center"/>
    </xf>
    <xf numFmtId="166" fontId="20" fillId="0" borderId="48" xfId="1" applyFont="1" applyBorder="1"/>
    <xf numFmtId="166" fontId="22" fillId="0" borderId="141" xfId="1" applyFont="1" applyBorder="1" applyAlignment="1">
      <alignment horizontal="center"/>
    </xf>
    <xf numFmtId="166" fontId="20" fillId="0" borderId="179" xfId="1" applyFont="1" applyBorder="1"/>
    <xf numFmtId="0" fontId="20" fillId="2" borderId="4" xfId="115" applyFont="1" applyFill="1" applyBorder="1" applyAlignment="1"/>
    <xf numFmtId="0" fontId="20" fillId="2" borderId="5" xfId="115" applyFont="1" applyFill="1" applyBorder="1" applyAlignment="1"/>
    <xf numFmtId="0" fontId="20" fillId="10" borderId="6" xfId="0" applyFont="1" applyFill="1" applyBorder="1" applyAlignment="1"/>
    <xf numFmtId="0" fontId="21" fillId="0" borderId="0" xfId="132" applyFont="1" applyFill="1" applyAlignment="1">
      <alignment horizontal="center"/>
    </xf>
    <xf numFmtId="0" fontId="20" fillId="0" borderId="0" xfId="132" applyFont="1" applyFill="1" applyAlignment="1"/>
    <xf numFmtId="166" fontId="20" fillId="0" borderId="0" xfId="1" applyFont="1" applyFill="1" applyAlignment="1"/>
    <xf numFmtId="0" fontId="20" fillId="0" borderId="0" xfId="132" applyFont="1" applyFill="1" applyBorder="1" applyAlignment="1"/>
    <xf numFmtId="0" fontId="20" fillId="0" borderId="0" xfId="132" applyNumberFormat="1" applyFont="1" applyFill="1" applyBorder="1" applyAlignment="1"/>
    <xf numFmtId="184" fontId="20" fillId="0" borderId="0" xfId="132" applyNumberFormat="1" applyFont="1" applyFill="1" applyBorder="1" applyAlignment="1"/>
    <xf numFmtId="0" fontId="20" fillId="0" borderId="0" xfId="132" applyFont="1" applyFill="1" applyBorder="1" applyAlignment="1">
      <alignment horizontal="center"/>
    </xf>
    <xf numFmtId="166" fontId="20" fillId="0" borderId="0" xfId="2" applyNumberFormat="1" applyFont="1" applyFill="1" applyBorder="1" applyAlignment="1">
      <alignment horizontal="right"/>
    </xf>
    <xf numFmtId="175" fontId="20" fillId="0" borderId="0" xfId="2" applyNumberFormat="1" applyFont="1" applyFill="1" applyAlignment="1"/>
    <xf numFmtId="184" fontId="21" fillId="0" borderId="0" xfId="132" applyNumberFormat="1" applyFont="1" applyFill="1" applyBorder="1" applyAlignment="1"/>
    <xf numFmtId="0" fontId="21" fillId="0" borderId="0" xfId="132" applyFont="1" applyFill="1" applyBorder="1" applyAlignment="1">
      <alignment horizontal="center"/>
    </xf>
    <xf numFmtId="0" fontId="20" fillId="0" borderId="174" xfId="132" applyFont="1" applyFill="1" applyBorder="1" applyAlignment="1">
      <alignment horizontal="center"/>
    </xf>
    <xf numFmtId="0" fontId="20" fillId="0" borderId="174" xfId="132" applyNumberFormat="1" applyFont="1" applyFill="1" applyBorder="1" applyAlignment="1"/>
    <xf numFmtId="184" fontId="20" fillId="0" borderId="174" xfId="132" applyNumberFormat="1" applyFont="1" applyFill="1" applyBorder="1" applyAlignment="1"/>
    <xf numFmtId="166" fontId="20" fillId="0" borderId="174" xfId="2" applyNumberFormat="1" applyFont="1" applyFill="1" applyBorder="1" applyAlignment="1">
      <alignment horizontal="right"/>
    </xf>
    <xf numFmtId="166" fontId="21" fillId="8" borderId="54" xfId="2" applyNumberFormat="1" applyFont="1" applyFill="1" applyBorder="1" applyAlignment="1">
      <alignment horizontal="center"/>
    </xf>
    <xf numFmtId="166" fontId="21" fillId="8" borderId="138" xfId="2" applyNumberFormat="1" applyFont="1" applyFill="1" applyBorder="1" applyAlignment="1">
      <alignment horizontal="center"/>
    </xf>
    <xf numFmtId="175" fontId="21" fillId="0" borderId="0" xfId="2" applyNumberFormat="1" applyFont="1" applyFill="1" applyBorder="1" applyAlignment="1">
      <alignment horizontal="center"/>
    </xf>
    <xf numFmtId="166" fontId="21" fillId="8" borderId="79" xfId="2" applyNumberFormat="1" applyFont="1" applyFill="1" applyBorder="1" applyAlignment="1">
      <alignment horizontal="center"/>
    </xf>
    <xf numFmtId="166" fontId="21" fillId="8" borderId="139" xfId="2" applyNumberFormat="1" applyFont="1" applyFill="1" applyBorder="1" applyAlignment="1">
      <alignment horizontal="center"/>
    </xf>
    <xf numFmtId="1" fontId="20" fillId="9" borderId="140" xfId="132" applyNumberFormat="1" applyFont="1" applyFill="1" applyBorder="1" applyAlignment="1">
      <alignment horizontal="center"/>
    </xf>
    <xf numFmtId="1" fontId="20" fillId="9" borderId="141" xfId="132" applyNumberFormat="1" applyFont="1" applyFill="1" applyBorder="1" applyAlignment="1">
      <alignment horizontal="center"/>
    </xf>
    <xf numFmtId="0" fontId="20" fillId="9" borderId="141" xfId="2" applyNumberFormat="1" applyFont="1" applyFill="1" applyBorder="1" applyAlignment="1">
      <alignment horizontal="center"/>
    </xf>
    <xf numFmtId="0" fontId="20" fillId="9" borderId="142" xfId="2" applyNumberFormat="1" applyFont="1" applyFill="1" applyBorder="1" applyAlignment="1">
      <alignment horizontal="center"/>
    </xf>
    <xf numFmtId="1" fontId="20" fillId="0" borderId="0" xfId="2" applyNumberFormat="1" applyFont="1" applyFill="1" applyBorder="1" applyAlignment="1">
      <alignment horizontal="center"/>
    </xf>
    <xf numFmtId="0" fontId="21" fillId="6" borderId="207" xfId="127" applyFont="1" applyFill="1" applyBorder="1" applyAlignment="1">
      <alignment horizontal="center"/>
    </xf>
    <xf numFmtId="0" fontId="21" fillId="6" borderId="16" xfId="127" applyNumberFormat="1" applyFont="1" applyFill="1" applyBorder="1" applyAlignment="1">
      <alignment horizontal="left"/>
    </xf>
    <xf numFmtId="0" fontId="21" fillId="6" borderId="208" xfId="127" applyNumberFormat="1" applyFont="1" applyFill="1" applyBorder="1" applyAlignment="1">
      <alignment horizontal="left"/>
    </xf>
    <xf numFmtId="184" fontId="20" fillId="0" borderId="2" xfId="132" applyNumberFormat="1" applyFont="1" applyFill="1" applyBorder="1" applyAlignment="1">
      <alignment horizontal="center"/>
    </xf>
    <xf numFmtId="0" fontId="20" fillId="0" borderId="3" xfId="132" applyFont="1" applyFill="1" applyBorder="1" applyAlignment="1">
      <alignment horizontal="center"/>
    </xf>
    <xf numFmtId="166" fontId="20" fillId="0" borderId="3" xfId="2" applyNumberFormat="1" applyFont="1" applyFill="1" applyBorder="1" applyAlignment="1">
      <alignment horizontal="right"/>
    </xf>
    <xf numFmtId="166" fontId="20" fillId="0" borderId="144" xfId="2" applyNumberFormat="1" applyFont="1" applyFill="1" applyBorder="1" applyAlignment="1">
      <alignment horizontal="right"/>
    </xf>
    <xf numFmtId="175" fontId="20" fillId="0" borderId="0" xfId="2" applyNumberFormat="1" applyFont="1" applyFill="1" applyBorder="1" applyAlignment="1">
      <alignment horizontal="center"/>
    </xf>
    <xf numFmtId="0" fontId="20" fillId="0" borderId="155" xfId="127" applyFont="1" applyFill="1" applyBorder="1" applyAlignment="1">
      <alignment horizontal="right"/>
    </xf>
    <xf numFmtId="0" fontId="20" fillId="0" borderId="120" xfId="127" applyNumberFormat="1" applyFont="1" applyFill="1" applyBorder="1" applyAlignment="1">
      <alignment horizontal="left"/>
    </xf>
    <xf numFmtId="184" fontId="20" fillId="0" borderId="6" xfId="42" applyNumberFormat="1" applyFont="1" applyFill="1" applyBorder="1" applyAlignment="1">
      <alignment horizontal="center"/>
    </xf>
    <xf numFmtId="0" fontId="20" fillId="0" borderId="7" xfId="132" applyFont="1" applyFill="1" applyBorder="1" applyAlignment="1">
      <alignment horizontal="center"/>
    </xf>
    <xf numFmtId="166" fontId="20" fillId="0" borderId="7" xfId="2" applyNumberFormat="1" applyFont="1" applyFill="1" applyBorder="1" applyAlignment="1">
      <alignment horizontal="right"/>
    </xf>
    <xf numFmtId="166" fontId="20" fillId="0" borderId="146" xfId="2" applyNumberFormat="1" applyFont="1" applyFill="1" applyBorder="1" applyAlignment="1">
      <alignment horizontal="right"/>
    </xf>
    <xf numFmtId="0" fontId="20" fillId="0" borderId="145" xfId="127" applyFont="1" applyFill="1" applyBorder="1" applyAlignment="1">
      <alignment horizontal="right"/>
    </xf>
    <xf numFmtId="0" fontId="20" fillId="0" borderId="122" xfId="165" applyFont="1" applyFill="1" applyBorder="1" applyAlignment="1">
      <alignment horizontal="left" wrapText="1"/>
    </xf>
    <xf numFmtId="184" fontId="20" fillId="0" borderId="122" xfId="42" applyNumberFormat="1" applyFont="1" applyFill="1" applyBorder="1" applyAlignment="1">
      <alignment horizontal="center"/>
    </xf>
    <xf numFmtId="166" fontId="20" fillId="0" borderId="35" xfId="2" applyNumberFormat="1" applyFont="1" applyFill="1" applyBorder="1" applyAlignment="1">
      <alignment horizontal="right"/>
    </xf>
    <xf numFmtId="175" fontId="45" fillId="0" borderId="0" xfId="2" applyNumberFormat="1" applyFont="1" applyFill="1" applyBorder="1" applyAlignment="1">
      <alignment horizontal="center"/>
    </xf>
    <xf numFmtId="0" fontId="45" fillId="0" borderId="0" xfId="132" applyFont="1" applyFill="1" applyAlignment="1"/>
    <xf numFmtId="166" fontId="45" fillId="0" borderId="0" xfId="1" applyFont="1" applyFill="1" applyAlignment="1"/>
    <xf numFmtId="0" fontId="45" fillId="0" borderId="147" xfId="127" applyFont="1" applyFill="1" applyBorder="1" applyAlignment="1">
      <alignment horizontal="right"/>
    </xf>
    <xf numFmtId="0" fontId="45" fillId="0" borderId="148" xfId="127" applyNumberFormat="1" applyFont="1" applyFill="1" applyBorder="1" applyAlignment="1">
      <alignment horizontal="left"/>
    </xf>
    <xf numFmtId="0" fontId="45" fillId="0" borderId="149" xfId="127" applyNumberFormat="1" applyFont="1" applyFill="1" applyBorder="1" applyAlignment="1">
      <alignment horizontal="left"/>
    </xf>
    <xf numFmtId="184" fontId="45" fillId="0" borderId="150" xfId="42" applyNumberFormat="1" applyFont="1" applyFill="1" applyBorder="1" applyAlignment="1">
      <alignment horizontal="center"/>
    </xf>
    <xf numFmtId="2" fontId="45" fillId="0" borderId="150" xfId="132" applyNumberFormat="1" applyFont="1" applyFill="1" applyBorder="1" applyAlignment="1">
      <alignment horizontal="center"/>
    </xf>
    <xf numFmtId="166" fontId="45" fillId="0" borderId="151" xfId="2" applyNumberFormat="1" applyFont="1" applyFill="1" applyBorder="1" applyAlignment="1">
      <alignment horizontal="right"/>
    </xf>
    <xf numFmtId="0" fontId="45" fillId="0" borderId="152" xfId="132" applyFont="1" applyFill="1" applyBorder="1" applyAlignment="1">
      <alignment horizontal="center"/>
    </xf>
    <xf numFmtId="0" fontId="47" fillId="0" borderId="39" xfId="132" applyNumberFormat="1" applyFont="1" applyFill="1" applyBorder="1" applyAlignment="1"/>
    <xf numFmtId="0" fontId="47" fillId="0" borderId="153" xfId="132" applyNumberFormat="1" applyFont="1" applyFill="1" applyBorder="1" applyAlignment="1"/>
    <xf numFmtId="166" fontId="21" fillId="0" borderId="154" xfId="2" applyNumberFormat="1" applyFont="1" applyFill="1" applyBorder="1" applyAlignment="1">
      <alignment horizontal="right"/>
    </xf>
    <xf numFmtId="175" fontId="47" fillId="0" borderId="0" xfId="2" applyNumberFormat="1" applyFont="1" applyFill="1" applyBorder="1" applyAlignment="1">
      <alignment horizontal="center"/>
    </xf>
    <xf numFmtId="0" fontId="21" fillId="6" borderId="207" xfId="132" applyFont="1" applyFill="1" applyBorder="1" applyAlignment="1">
      <alignment horizontal="center"/>
    </xf>
    <xf numFmtId="0" fontId="21" fillId="6" borderId="16" xfId="132" applyNumberFormat="1" applyFont="1" applyFill="1" applyBorder="1" applyAlignment="1">
      <alignment horizontal="left"/>
    </xf>
    <xf numFmtId="0" fontId="20" fillId="6" borderId="208" xfId="132" applyNumberFormat="1" applyFont="1" applyFill="1" applyBorder="1" applyAlignment="1">
      <alignment horizontal="center"/>
    </xf>
    <xf numFmtId="184" fontId="47" fillId="0" borderId="3" xfId="132" applyNumberFormat="1" applyFont="1" applyFill="1" applyBorder="1" applyAlignment="1">
      <alignment horizontal="right"/>
    </xf>
    <xf numFmtId="0" fontId="47" fillId="0" borderId="3" xfId="132" applyNumberFormat="1" applyFont="1" applyFill="1" applyBorder="1" applyAlignment="1">
      <alignment horizontal="center"/>
    </xf>
    <xf numFmtId="166" fontId="47" fillId="0" borderId="144" xfId="2" applyNumberFormat="1" applyFont="1" applyFill="1" applyBorder="1" applyAlignment="1">
      <alignment horizontal="right"/>
    </xf>
    <xf numFmtId="166" fontId="45" fillId="0" borderId="0" xfId="132" applyNumberFormat="1" applyFont="1" applyFill="1" applyAlignment="1"/>
    <xf numFmtId="0" fontId="21" fillId="0" borderId="155" xfId="132" applyFont="1" applyFill="1" applyBorder="1" applyAlignment="1">
      <alignment horizontal="center"/>
    </xf>
    <xf numFmtId="0" fontId="21" fillId="0" borderId="119" xfId="132" applyNumberFormat="1" applyFont="1" applyFill="1" applyBorder="1" applyAlignment="1"/>
    <xf numFmtId="0" fontId="21" fillId="0" borderId="120" xfId="132" applyNumberFormat="1" applyFont="1" applyFill="1" applyBorder="1" applyAlignment="1"/>
    <xf numFmtId="184" fontId="45" fillId="0" borderId="7" xfId="65" applyNumberFormat="1" applyFont="1" applyFill="1" applyBorder="1" applyAlignment="1"/>
    <xf numFmtId="0" fontId="45" fillId="0" borderId="7" xfId="132" applyFont="1" applyFill="1" applyBorder="1" applyAlignment="1">
      <alignment horizontal="center"/>
    </xf>
    <xf numFmtId="166" fontId="47" fillId="0" borderId="146" xfId="2" applyNumberFormat="1" applyFont="1" applyFill="1" applyBorder="1" applyAlignment="1">
      <alignment horizontal="right"/>
    </xf>
    <xf numFmtId="175" fontId="47" fillId="0" borderId="0" xfId="2" applyNumberFormat="1" applyFont="1" applyFill="1" applyBorder="1" applyAlignment="1"/>
    <xf numFmtId="0" fontId="20" fillId="0" borderId="155" xfId="132" applyFont="1" applyFill="1" applyBorder="1" applyAlignment="1">
      <alignment horizontal="right"/>
    </xf>
    <xf numFmtId="0" fontId="20" fillId="0" borderId="119" xfId="132" applyNumberFormat="1" applyFont="1" applyFill="1" applyBorder="1" applyAlignment="1"/>
    <xf numFmtId="0" fontId="20" fillId="0" borderId="145" xfId="132" applyFont="1" applyFill="1" applyBorder="1" applyAlignment="1">
      <alignment horizontal="right"/>
    </xf>
    <xf numFmtId="0" fontId="20" fillId="0" borderId="4" xfId="132" applyNumberFormat="1" applyFont="1" applyFill="1" applyBorder="1" applyAlignment="1"/>
    <xf numFmtId="0" fontId="20" fillId="0" borderId="6" xfId="132" applyNumberFormat="1" applyFont="1" applyFill="1" applyBorder="1" applyAlignment="1"/>
    <xf numFmtId="184" fontId="20" fillId="0" borderId="7" xfId="65" applyNumberFormat="1" applyFont="1" applyFill="1" applyBorder="1" applyAlignment="1">
      <alignment horizontal="center"/>
    </xf>
    <xf numFmtId="175" fontId="20" fillId="0" borderId="0" xfId="2" applyNumberFormat="1" applyFont="1" applyFill="1" applyBorder="1" applyAlignment="1"/>
    <xf numFmtId="0" fontId="20" fillId="0" borderId="4" xfId="132" quotePrefix="1" applyNumberFormat="1" applyFont="1" applyFill="1" applyBorder="1" applyAlignment="1"/>
    <xf numFmtId="0" fontId="20" fillId="0" borderId="147" xfId="132" applyFont="1" applyFill="1" applyBorder="1" applyAlignment="1">
      <alignment horizontal="right"/>
    </xf>
    <xf numFmtId="0" fontId="20" fillId="0" borderId="148" xfId="132" quotePrefix="1" applyNumberFormat="1" applyFont="1" applyFill="1" applyBorder="1" applyAlignment="1"/>
    <xf numFmtId="0" fontId="20" fillId="0" borderId="149" xfId="132" applyNumberFormat="1" applyFont="1" applyFill="1" applyBorder="1" applyAlignment="1"/>
    <xf numFmtId="184" fontId="20" fillId="0" borderId="150" xfId="65" applyNumberFormat="1" applyFont="1" applyFill="1" applyBorder="1" applyAlignment="1">
      <alignment horizontal="center"/>
    </xf>
    <xf numFmtId="0" fontId="20" fillId="0" borderId="150" xfId="132" applyFont="1" applyFill="1" applyBorder="1" applyAlignment="1">
      <alignment horizontal="center"/>
    </xf>
    <xf numFmtId="166" fontId="20" fillId="0" borderId="150" xfId="2" applyNumberFormat="1" applyFont="1" applyFill="1" applyBorder="1" applyAlignment="1">
      <alignment horizontal="right"/>
    </xf>
    <xf numFmtId="166" fontId="20" fillId="0" borderId="151" xfId="2" applyNumberFormat="1" applyFont="1" applyFill="1" applyBorder="1" applyAlignment="1">
      <alignment horizontal="right"/>
    </xf>
    <xf numFmtId="0" fontId="20" fillId="0" borderId="152" xfId="132" applyFont="1" applyFill="1" applyBorder="1" applyAlignment="1">
      <alignment horizontal="center"/>
    </xf>
    <xf numFmtId="0" fontId="23" fillId="0" borderId="39" xfId="132" applyNumberFormat="1" applyFont="1" applyFill="1" applyBorder="1" applyAlignment="1">
      <alignment horizontal="right"/>
    </xf>
    <xf numFmtId="0" fontId="23" fillId="0" borderId="153" xfId="132" applyNumberFormat="1" applyFont="1" applyFill="1" applyBorder="1" applyAlignment="1">
      <alignment horizontal="right"/>
    </xf>
    <xf numFmtId="0" fontId="21" fillId="0" borderId="33" xfId="132" applyNumberFormat="1" applyFont="1" applyFill="1" applyBorder="1" applyAlignment="1"/>
    <xf numFmtId="0" fontId="21" fillId="0" borderId="136" xfId="132" applyNumberFormat="1" applyFont="1" applyFill="1" applyBorder="1" applyAlignment="1"/>
    <xf numFmtId="184" fontId="20" fillId="0" borderId="120" xfId="65" applyNumberFormat="1" applyFont="1" applyFill="1" applyBorder="1" applyAlignment="1"/>
    <xf numFmtId="0" fontId="20" fillId="0" borderId="34" xfId="132" applyFont="1" applyFill="1" applyBorder="1" applyAlignment="1">
      <alignment horizontal="center"/>
    </xf>
    <xf numFmtId="166" fontId="20" fillId="0" borderId="34" xfId="65" applyFont="1" applyFill="1" applyBorder="1" applyAlignment="1">
      <alignment horizontal="center"/>
    </xf>
    <xf numFmtId="166" fontId="20" fillId="0" borderId="34" xfId="2" applyNumberFormat="1" applyFont="1" applyFill="1" applyBorder="1" applyAlignment="1">
      <alignment horizontal="right"/>
    </xf>
    <xf numFmtId="166" fontId="20" fillId="0" borderId="156" xfId="2" applyNumberFormat="1" applyFont="1" applyFill="1" applyBorder="1" applyAlignment="1">
      <alignment horizontal="right"/>
    </xf>
    <xf numFmtId="0" fontId="20" fillId="0" borderId="4" xfId="185" applyFont="1" applyFill="1" applyBorder="1" applyAlignment="1">
      <alignment horizontal="left"/>
    </xf>
    <xf numFmtId="184" fontId="20" fillId="0" borderId="120" xfId="65" applyNumberFormat="1" applyFont="1" applyFill="1" applyBorder="1" applyAlignment="1">
      <alignment horizontal="center"/>
    </xf>
    <xf numFmtId="166" fontId="20" fillId="0" borderId="0" xfId="132" applyNumberFormat="1" applyFont="1" applyFill="1" applyAlignment="1"/>
    <xf numFmtId="0" fontId="20" fillId="0" borderId="4" xfId="132" quotePrefix="1" applyNumberFormat="1" applyFont="1" applyFill="1" applyBorder="1" applyAlignment="1">
      <alignment horizontal="right"/>
    </xf>
    <xf numFmtId="0" fontId="20" fillId="0" borderId="6" xfId="165" quotePrefix="1" applyFont="1" applyFill="1" applyBorder="1" applyAlignment="1"/>
    <xf numFmtId="175" fontId="20" fillId="0" borderId="0" xfId="132" applyNumberFormat="1" applyFont="1" applyFill="1" applyAlignment="1"/>
    <xf numFmtId="9" fontId="20" fillId="0" borderId="0" xfId="186" applyFont="1" applyFill="1" applyAlignment="1"/>
    <xf numFmtId="184" fontId="20" fillId="0" borderId="6" xfId="65" applyNumberFormat="1" applyFont="1" applyFill="1" applyBorder="1" applyAlignment="1"/>
    <xf numFmtId="184" fontId="20" fillId="0" borderId="6" xfId="65" applyNumberFormat="1" applyFont="1" applyFill="1" applyBorder="1" applyAlignment="1">
      <alignment horizontal="center"/>
    </xf>
    <xf numFmtId="184" fontId="20" fillId="0" borderId="34" xfId="65" applyNumberFormat="1" applyFont="1" applyFill="1" applyBorder="1" applyAlignment="1">
      <alignment horizontal="center"/>
    </xf>
    <xf numFmtId="166" fontId="20" fillId="0" borderId="0" xfId="42" applyFont="1" applyFill="1" applyAlignment="1"/>
    <xf numFmtId="0" fontId="20" fillId="0" borderId="4" xfId="185" applyFont="1" applyFill="1" applyBorder="1" applyAlignment="1" applyProtection="1">
      <alignment horizontal="left"/>
    </xf>
    <xf numFmtId="0" fontId="20" fillId="0" borderId="6" xfId="185" applyFont="1" applyFill="1" applyBorder="1" applyAlignment="1" applyProtection="1">
      <alignment horizontal="left"/>
    </xf>
    <xf numFmtId="0" fontId="20" fillId="0" borderId="120" xfId="132" applyFont="1" applyFill="1" applyBorder="1" applyAlignment="1">
      <alignment horizontal="center"/>
    </xf>
    <xf numFmtId="166" fontId="20" fillId="0" borderId="120" xfId="132" applyNumberFormat="1" applyFont="1" applyFill="1" applyBorder="1" applyAlignment="1">
      <alignment horizontal="center"/>
    </xf>
    <xf numFmtId="166" fontId="20" fillId="0" borderId="7" xfId="65" applyFont="1" applyFill="1" applyBorder="1" applyAlignment="1">
      <alignment horizontal="center"/>
    </xf>
    <xf numFmtId="166" fontId="20" fillId="0" borderId="7" xfId="65" applyNumberFormat="1" applyFont="1" applyFill="1" applyBorder="1" applyAlignment="1">
      <alignment horizontal="right"/>
    </xf>
    <xf numFmtId="43" fontId="20" fillId="0" borderId="0" xfId="132" applyNumberFormat="1" applyFont="1" applyFill="1" applyAlignment="1"/>
    <xf numFmtId="175" fontId="45" fillId="0" borderId="0" xfId="2" applyNumberFormat="1" applyFont="1" applyFill="1" applyBorder="1" applyAlignment="1"/>
    <xf numFmtId="0" fontId="20" fillId="0" borderId="6" xfId="132" quotePrefix="1" applyNumberFormat="1" applyFont="1" applyFill="1" applyBorder="1" applyAlignment="1"/>
    <xf numFmtId="0" fontId="20" fillId="0" borderId="157" xfId="132" applyFont="1" applyFill="1" applyBorder="1" applyAlignment="1">
      <alignment horizontal="right"/>
    </xf>
    <xf numFmtId="0" fontId="20" fillId="0" borderId="158" xfId="132" applyFont="1" applyFill="1" applyBorder="1" applyAlignment="1">
      <alignment horizontal="right"/>
    </xf>
    <xf numFmtId="0" fontId="20" fillId="0" borderId="33" xfId="132" quotePrefix="1" applyNumberFormat="1" applyFont="1" applyFill="1" applyBorder="1" applyAlignment="1">
      <alignment horizontal="center"/>
    </xf>
    <xf numFmtId="0" fontId="20" fillId="0" borderId="136" xfId="132" applyNumberFormat="1" applyFont="1" applyFill="1" applyBorder="1" applyAlignment="1"/>
    <xf numFmtId="166" fontId="20" fillId="0" borderId="150" xfId="65" applyFont="1" applyFill="1" applyBorder="1" applyAlignment="1">
      <alignment horizontal="center"/>
    </xf>
    <xf numFmtId="166" fontId="20" fillId="0" borderId="159" xfId="2" applyNumberFormat="1" applyFont="1" applyFill="1" applyBorder="1" applyAlignment="1">
      <alignment horizontal="right"/>
    </xf>
    <xf numFmtId="0" fontId="20" fillId="0" borderId="39" xfId="132" applyNumberFormat="1" applyFont="1" applyFill="1" applyBorder="1" applyAlignment="1"/>
    <xf numFmtId="0" fontId="20" fillId="0" borderId="153" xfId="132" applyNumberFormat="1" applyFont="1" applyFill="1" applyBorder="1" applyAlignment="1"/>
    <xf numFmtId="0" fontId="20" fillId="0" borderId="121" xfId="132" applyNumberFormat="1" applyFont="1" applyFill="1" applyBorder="1" applyAlignment="1"/>
    <xf numFmtId="0" fontId="20" fillId="0" borderId="122" xfId="132" applyNumberFormat="1" applyFont="1" applyFill="1" applyBorder="1" applyAlignment="1"/>
    <xf numFmtId="184" fontId="20" fillId="0" borderId="122" xfId="65" applyNumberFormat="1" applyFont="1" applyFill="1" applyBorder="1" applyAlignment="1">
      <alignment horizontal="center"/>
    </xf>
    <xf numFmtId="166" fontId="20" fillId="0" borderId="35" xfId="65" applyFont="1" applyFill="1" applyBorder="1" applyAlignment="1">
      <alignment horizontal="center"/>
    </xf>
    <xf numFmtId="184" fontId="20" fillId="0" borderId="35" xfId="65" applyNumberFormat="1" applyFont="1" applyFill="1" applyBorder="1" applyAlignment="1">
      <alignment horizontal="center"/>
    </xf>
    <xf numFmtId="166" fontId="20" fillId="0" borderId="160" xfId="2" applyNumberFormat="1" applyFont="1" applyFill="1" applyBorder="1" applyAlignment="1">
      <alignment horizontal="right"/>
    </xf>
    <xf numFmtId="184" fontId="45" fillId="0" borderId="3" xfId="65" applyNumberFormat="1" applyFont="1" applyFill="1" applyBorder="1" applyAlignment="1"/>
    <xf numFmtId="0" fontId="45" fillId="0" borderId="3" xfId="132" applyFont="1" applyFill="1" applyBorder="1" applyAlignment="1">
      <alignment horizontal="center"/>
    </xf>
    <xf numFmtId="166" fontId="45" fillId="0" borderId="144" xfId="2" applyNumberFormat="1" applyFont="1" applyFill="1" applyBorder="1" applyAlignment="1">
      <alignment horizontal="right"/>
    </xf>
    <xf numFmtId="0" fontId="20" fillId="0" borderId="120" xfId="132" applyNumberFormat="1" applyFont="1" applyFill="1" applyBorder="1" applyAlignment="1"/>
    <xf numFmtId="184" fontId="20" fillId="0" borderId="7" xfId="65" applyNumberFormat="1" applyFont="1" applyFill="1" applyBorder="1" applyAlignment="1"/>
    <xf numFmtId="184" fontId="45" fillId="0" borderId="7" xfId="65" applyNumberFormat="1" applyFont="1" applyFill="1" applyBorder="1" applyAlignment="1">
      <alignment horizontal="center"/>
    </xf>
    <xf numFmtId="166" fontId="45" fillId="0" borderId="146" xfId="2" applyNumberFormat="1" applyFont="1" applyFill="1" applyBorder="1" applyAlignment="1">
      <alignment horizontal="right"/>
    </xf>
    <xf numFmtId="0" fontId="20" fillId="0" borderId="6" xfId="131" applyNumberFormat="1" applyFont="1" applyFill="1" applyBorder="1" applyAlignment="1"/>
    <xf numFmtId="0" fontId="45" fillId="0" borderId="145" xfId="132" applyFont="1" applyFill="1" applyBorder="1" applyAlignment="1">
      <alignment horizontal="right"/>
    </xf>
    <xf numFmtId="0" fontId="45" fillId="0" borderId="4" xfId="132" applyNumberFormat="1" applyFont="1" applyFill="1" applyBorder="1" applyAlignment="1"/>
    <xf numFmtId="0" fontId="20" fillId="0" borderId="6" xfId="131" quotePrefix="1" applyNumberFormat="1" applyFont="1" applyFill="1" applyBorder="1" applyAlignment="1"/>
    <xf numFmtId="0" fontId="23" fillId="0" borderId="6" xfId="131" quotePrefix="1" applyNumberFormat="1" applyFont="1" applyFill="1" applyBorder="1" applyAlignment="1">
      <alignment wrapText="1"/>
    </xf>
    <xf numFmtId="0" fontId="45" fillId="0" borderId="152" xfId="132" applyFont="1" applyFill="1" applyBorder="1" applyAlignment="1">
      <alignment horizontal="right"/>
    </xf>
    <xf numFmtId="0" fontId="55" fillId="0" borderId="39" xfId="132" applyNumberFormat="1" applyFont="1" applyFill="1" applyBorder="1" applyAlignment="1">
      <alignment horizontal="right"/>
    </xf>
    <xf numFmtId="0" fontId="55" fillId="0" borderId="153" xfId="132" applyNumberFormat="1" applyFont="1" applyFill="1" applyBorder="1" applyAlignment="1">
      <alignment horizontal="right"/>
    </xf>
    <xf numFmtId="0" fontId="21" fillId="0" borderId="143" xfId="132" applyFont="1" applyFill="1" applyBorder="1" applyAlignment="1">
      <alignment horizontal="center"/>
    </xf>
    <xf numFmtId="0" fontId="21" fillId="0" borderId="1" xfId="132" applyNumberFormat="1" applyFont="1" applyFill="1" applyBorder="1" applyAlignment="1"/>
    <xf numFmtId="0" fontId="21" fillId="0" borderId="2" xfId="132" applyNumberFormat="1" applyFont="1" applyFill="1" applyBorder="1" applyAlignment="1"/>
    <xf numFmtId="184" fontId="20" fillId="0" borderId="3" xfId="65" applyNumberFormat="1" applyFont="1" applyFill="1" applyBorder="1" applyAlignment="1"/>
    <xf numFmtId="0" fontId="20" fillId="0" borderId="0" xfId="0" applyFont="1" applyFill="1" applyBorder="1" applyAlignment="1"/>
    <xf numFmtId="0" fontId="20" fillId="0" borderId="148" xfId="132" applyNumberFormat="1" applyFont="1" applyFill="1" applyBorder="1" applyAlignment="1"/>
    <xf numFmtId="184" fontId="20" fillId="0" borderId="150" xfId="65" applyNumberFormat="1" applyFont="1" applyFill="1" applyBorder="1" applyAlignment="1"/>
    <xf numFmtId="182" fontId="20" fillId="0" borderId="150" xfId="65" applyNumberFormat="1" applyFont="1" applyFill="1" applyBorder="1" applyAlignment="1">
      <alignment horizontal="center"/>
    </xf>
    <xf numFmtId="0" fontId="20" fillId="0" borderId="0" xfId="0" applyFont="1" applyFill="1" applyAlignment="1"/>
    <xf numFmtId="184" fontId="45" fillId="0" borderId="6" xfId="65" applyNumberFormat="1" applyFont="1" applyFill="1" applyBorder="1" applyAlignment="1">
      <alignment horizontal="center"/>
    </xf>
    <xf numFmtId="0" fontId="45" fillId="0" borderId="0" xfId="0" applyFont="1" applyFill="1" applyAlignment="1"/>
    <xf numFmtId="0" fontId="45" fillId="0" borderId="145" xfId="132" applyFont="1" applyFill="1" applyBorder="1" applyAlignment="1"/>
    <xf numFmtId="0" fontId="45" fillId="0" borderId="6" xfId="132" applyNumberFormat="1" applyFont="1" applyFill="1" applyBorder="1" applyAlignment="1"/>
    <xf numFmtId="0" fontId="16" fillId="0" borderId="4" xfId="128" applyFont="1" applyBorder="1" applyAlignment="1"/>
    <xf numFmtId="0" fontId="20" fillId="0" borderId="4" xfId="115" applyFont="1" applyFill="1" applyBorder="1" applyAlignment="1"/>
    <xf numFmtId="0" fontId="20" fillId="0" borderId="6" xfId="185" applyFont="1" applyFill="1" applyBorder="1" applyAlignment="1" applyProtection="1">
      <alignment horizontal="left" wrapText="1"/>
    </xf>
    <xf numFmtId="0" fontId="20" fillId="0" borderId="4" xfId="185" quotePrefix="1" applyFont="1" applyFill="1" applyBorder="1" applyAlignment="1" applyProtection="1">
      <alignment horizontal="left"/>
    </xf>
    <xf numFmtId="0" fontId="20" fillId="0" borderId="6" xfId="185" quotePrefix="1" applyFont="1" applyFill="1" applyBorder="1" applyAlignment="1" applyProtection="1">
      <alignment horizontal="left"/>
    </xf>
    <xf numFmtId="0" fontId="20" fillId="0" borderId="4" xfId="185" quotePrefix="1" applyFont="1" applyFill="1" applyBorder="1" applyAlignment="1" applyProtection="1"/>
    <xf numFmtId="0" fontId="20" fillId="0" borderId="6" xfId="185" quotePrefix="1" applyFont="1" applyFill="1" applyBorder="1" applyAlignment="1" applyProtection="1"/>
    <xf numFmtId="0" fontId="45" fillId="0" borderId="147" xfId="132" applyFont="1" applyFill="1" applyBorder="1" applyAlignment="1"/>
    <xf numFmtId="0" fontId="45" fillId="0" borderId="148" xfId="132" applyNumberFormat="1" applyFont="1" applyFill="1" applyBorder="1" applyAlignment="1"/>
    <xf numFmtId="0" fontId="45" fillId="0" borderId="149" xfId="132" applyNumberFormat="1" applyFont="1" applyFill="1" applyBorder="1" applyAlignment="1"/>
    <xf numFmtId="0" fontId="45" fillId="0" borderId="39" xfId="132" applyNumberFormat="1" applyFont="1" applyFill="1" applyBorder="1" applyAlignment="1"/>
    <xf numFmtId="0" fontId="45" fillId="0" borderId="153" xfId="132" applyNumberFormat="1" applyFont="1" applyFill="1" applyBorder="1" applyAlignment="1"/>
    <xf numFmtId="0" fontId="20" fillId="0" borderId="222" xfId="132" applyFont="1" applyFill="1" applyBorder="1" applyAlignment="1"/>
    <xf numFmtId="0" fontId="20" fillId="0" borderId="223" xfId="185" applyFont="1" applyFill="1" applyBorder="1" applyAlignment="1" applyProtection="1">
      <alignment horizontal="center"/>
    </xf>
    <xf numFmtId="0" fontId="21" fillId="2" borderId="4" xfId="115" applyFont="1" applyFill="1" applyBorder="1" applyAlignment="1"/>
    <xf numFmtId="0" fontId="21" fillId="2" borderId="6" xfId="115" applyFont="1" applyFill="1" applyBorder="1" applyAlignment="1">
      <alignment wrapText="1"/>
    </xf>
    <xf numFmtId="0" fontId="20" fillId="0" borderId="7" xfId="115" quotePrefix="1" applyFont="1" applyFill="1" applyBorder="1" applyAlignment="1" applyProtection="1">
      <alignment horizontal="center"/>
    </xf>
    <xf numFmtId="165" fontId="20" fillId="0" borderId="7" xfId="41" quotePrefix="1" applyNumberFormat="1" applyFont="1" applyFill="1" applyBorder="1" applyAlignment="1" applyProtection="1"/>
    <xf numFmtId="166" fontId="20" fillId="0" borderId="146" xfId="83" quotePrefix="1" applyFont="1" applyFill="1" applyBorder="1" applyAlignment="1"/>
    <xf numFmtId="0" fontId="21" fillId="2" borderId="0" xfId="185" quotePrefix="1" applyFont="1" applyFill="1" applyBorder="1" applyAlignment="1" applyProtection="1">
      <alignment horizontal="center"/>
    </xf>
    <xf numFmtId="0" fontId="21" fillId="2" borderId="0" xfId="185" applyFont="1" applyFill="1" applyAlignment="1"/>
    <xf numFmtId="166" fontId="21" fillId="2" borderId="0" xfId="185" applyNumberFormat="1" applyFont="1" applyFill="1" applyAlignment="1"/>
    <xf numFmtId="0" fontId="20" fillId="0" borderId="223" xfId="185" applyFont="1" applyFill="1" applyBorder="1" applyAlignment="1">
      <alignment horizontal="right"/>
    </xf>
    <xf numFmtId="0" fontId="20" fillId="0" borderId="145" xfId="185" quotePrefix="1" applyFont="1" applyFill="1" applyBorder="1" applyAlignment="1" applyProtection="1"/>
    <xf numFmtId="0" fontId="56" fillId="0" borderId="223" xfId="185" applyFont="1" applyFill="1" applyBorder="1" applyAlignment="1">
      <alignment horizontal="center"/>
    </xf>
    <xf numFmtId="0" fontId="57" fillId="2" borderId="4" xfId="127" applyFont="1" applyFill="1" applyBorder="1" applyAlignment="1"/>
    <xf numFmtId="0" fontId="56" fillId="0" borderId="6" xfId="185" applyFont="1" applyFill="1" applyBorder="1" applyAlignment="1" applyProtection="1">
      <alignment horizontal="left" wrapText="1"/>
    </xf>
    <xf numFmtId="0" fontId="56" fillId="0" borderId="7" xfId="115" quotePrefix="1" applyFont="1" applyFill="1" applyBorder="1" applyAlignment="1" applyProtection="1">
      <alignment horizontal="center"/>
    </xf>
    <xf numFmtId="175" fontId="56" fillId="0" borderId="7" xfId="41" quotePrefix="1" applyNumberFormat="1" applyFont="1" applyFill="1" applyBorder="1" applyAlignment="1" applyProtection="1"/>
    <xf numFmtId="166" fontId="56" fillId="0" borderId="146" xfId="83" quotePrefix="1" applyFont="1" applyFill="1" applyBorder="1" applyAlignment="1"/>
    <xf numFmtId="0" fontId="57" fillId="2" borderId="0" xfId="185" quotePrefix="1" applyFont="1" applyFill="1" applyBorder="1" applyAlignment="1" applyProtection="1">
      <alignment horizontal="center"/>
    </xf>
    <xf numFmtId="0" fontId="57" fillId="2" borderId="0" xfId="185" applyFont="1" applyFill="1" applyAlignment="1"/>
    <xf numFmtId="0" fontId="57" fillId="0" borderId="223" xfId="185" applyFont="1" applyFill="1" applyBorder="1" applyAlignment="1">
      <alignment horizontal="right"/>
    </xf>
    <xf numFmtId="0" fontId="57" fillId="0" borderId="145" xfId="185" quotePrefix="1" applyFont="1" applyFill="1" applyBorder="1" applyAlignment="1" applyProtection="1"/>
    <xf numFmtId="166" fontId="56" fillId="0" borderId="7" xfId="42" quotePrefix="1" applyFont="1" applyFill="1" applyBorder="1" applyAlignment="1" applyProtection="1">
      <alignment horizontal="center"/>
    </xf>
    <xf numFmtId="0" fontId="57" fillId="0" borderId="223" xfId="185" applyFont="1" applyFill="1" applyBorder="1" applyAlignment="1">
      <alignment horizontal="center"/>
    </xf>
    <xf numFmtId="0" fontId="56" fillId="0" borderId="145" xfId="185" quotePrefix="1" applyFont="1" applyFill="1" applyBorder="1" applyAlignment="1" applyProtection="1"/>
    <xf numFmtId="0" fontId="57" fillId="2" borderId="0" xfId="185" applyFont="1" applyFill="1" applyBorder="1" applyAlignment="1"/>
    <xf numFmtId="0" fontId="20" fillId="0" borderId="223" xfId="185" applyFont="1" applyFill="1" applyBorder="1" applyAlignment="1">
      <alignment horizontal="center"/>
    </xf>
    <xf numFmtId="0" fontId="16" fillId="10" borderId="4" xfId="0" applyFont="1" applyFill="1" applyBorder="1" applyAlignment="1"/>
    <xf numFmtId="175" fontId="20" fillId="0" borderId="7" xfId="41" quotePrefix="1" applyNumberFormat="1" applyFont="1" applyFill="1" applyBorder="1" applyAlignment="1" applyProtection="1">
      <alignment horizontal="center"/>
    </xf>
    <xf numFmtId="166" fontId="20" fillId="0" borderId="7" xfId="42" quotePrefix="1" applyFont="1" applyFill="1" applyBorder="1" applyAlignment="1" applyProtection="1">
      <alignment horizontal="center"/>
    </xf>
    <xf numFmtId="0" fontId="21" fillId="0" borderId="0" xfId="185" quotePrefix="1" applyFont="1" applyFill="1" applyBorder="1" applyAlignment="1" applyProtection="1">
      <alignment horizontal="center"/>
    </xf>
    <xf numFmtId="0" fontId="21" fillId="0" borderId="0" xfId="185" applyFont="1" applyFill="1" applyAlignment="1"/>
    <xf numFmtId="0" fontId="16" fillId="10" borderId="0" xfId="0" applyFont="1" applyFill="1" applyBorder="1" applyAlignment="1"/>
    <xf numFmtId="0" fontId="45" fillId="0" borderId="223" xfId="185" applyFont="1" applyFill="1" applyBorder="1" applyAlignment="1">
      <alignment horizontal="center"/>
    </xf>
    <xf numFmtId="0" fontId="45" fillId="0" borderId="145" xfId="185" quotePrefix="1" applyFont="1" applyFill="1" applyBorder="1" applyAlignment="1" applyProtection="1"/>
    <xf numFmtId="0" fontId="21" fillId="2" borderId="0" xfId="185" applyFont="1" applyFill="1" applyBorder="1" applyAlignment="1"/>
    <xf numFmtId="0" fontId="16" fillId="0" borderId="0" xfId="0" applyFont="1" applyBorder="1" applyAlignment="1"/>
    <xf numFmtId="0" fontId="20" fillId="0" borderId="4" xfId="127" applyFont="1" applyFill="1" applyBorder="1" applyAlignment="1"/>
    <xf numFmtId="49" fontId="16" fillId="0" borderId="0" xfId="0" applyNumberFormat="1" applyFont="1" applyBorder="1" applyAlignment="1"/>
    <xf numFmtId="0" fontId="21" fillId="0" borderId="223" xfId="185" applyFont="1" applyFill="1" applyBorder="1" applyAlignment="1">
      <alignment horizontal="right"/>
    </xf>
    <xf numFmtId="0" fontId="21" fillId="0" borderId="145" xfId="185" quotePrefix="1" applyFont="1" applyFill="1" applyBorder="1" applyAlignment="1" applyProtection="1">
      <alignment horizontal="left"/>
    </xf>
    <xf numFmtId="0" fontId="45" fillId="0" borderId="7" xfId="115" quotePrefix="1" applyFont="1" applyFill="1" applyBorder="1" applyAlignment="1" applyProtection="1">
      <alignment horizontal="center"/>
    </xf>
    <xf numFmtId="166" fontId="45" fillId="0" borderId="7" xfId="42" quotePrefix="1" applyFont="1" applyFill="1" applyBorder="1" applyAlignment="1" applyProtection="1">
      <alignment horizontal="center"/>
    </xf>
    <xf numFmtId="0" fontId="21" fillId="2" borderId="4" xfId="127" applyFont="1" applyFill="1" applyBorder="1" applyAlignment="1"/>
    <xf numFmtId="0" fontId="45" fillId="0" borderId="223" xfId="185" applyFont="1" applyFill="1" applyBorder="1" applyAlignment="1">
      <alignment horizontal="right"/>
    </xf>
    <xf numFmtId="0" fontId="16" fillId="0" borderId="35" xfId="128" applyFont="1" applyBorder="1" applyAlignment="1"/>
    <xf numFmtId="0" fontId="16" fillId="0" borderId="0" xfId="128" applyFont="1" applyBorder="1" applyAlignment="1"/>
    <xf numFmtId="184" fontId="21" fillId="0" borderId="3" xfId="132" applyNumberFormat="1" applyFont="1" applyFill="1" applyBorder="1" applyAlignment="1">
      <alignment horizontal="right"/>
    </xf>
    <xf numFmtId="0" fontId="21" fillId="0" borderId="3" xfId="132" applyNumberFormat="1" applyFont="1" applyFill="1" applyBorder="1" applyAlignment="1">
      <alignment horizontal="center"/>
    </xf>
    <xf numFmtId="166" fontId="21" fillId="0" borderId="144" xfId="2" applyNumberFormat="1" applyFont="1" applyFill="1" applyBorder="1" applyAlignment="1">
      <alignment horizontal="right"/>
    </xf>
    <xf numFmtId="184" fontId="45" fillId="0" borderId="6" xfId="65" applyNumberFormat="1" applyFont="1" applyFill="1" applyBorder="1" applyAlignment="1"/>
    <xf numFmtId="184" fontId="20" fillId="0" borderId="2" xfId="65" applyNumberFormat="1" applyFont="1" applyFill="1" applyBorder="1" applyAlignment="1"/>
    <xf numFmtId="166" fontId="20" fillId="0" borderId="0" xfId="65" applyFont="1" applyFill="1" applyBorder="1" applyAlignment="1">
      <alignment horizontal="center"/>
    </xf>
    <xf numFmtId="184" fontId="20" fillId="0" borderId="149" xfId="65" applyNumberFormat="1" applyFont="1" applyFill="1" applyBorder="1" applyAlignment="1">
      <alignment horizontal="center"/>
    </xf>
    <xf numFmtId="0" fontId="21" fillId="0" borderId="155" xfId="132" applyNumberFormat="1" applyFont="1" applyFill="1" applyBorder="1" applyAlignment="1">
      <alignment horizontal="center"/>
    </xf>
    <xf numFmtId="0" fontId="20" fillId="0" borderId="34" xfId="132" applyNumberFormat="1" applyFont="1" applyFill="1" applyBorder="1" applyAlignment="1">
      <alignment horizontal="center"/>
    </xf>
    <xf numFmtId="0" fontId="20" fillId="0" borderId="145" xfId="132" applyNumberFormat="1" applyFont="1" applyFill="1" applyBorder="1" applyAlignment="1">
      <alignment horizontal="right"/>
    </xf>
    <xf numFmtId="0" fontId="20" fillId="0" borderId="5" xfId="131" applyNumberFormat="1" applyFont="1" applyFill="1" applyBorder="1" applyAlignment="1"/>
    <xf numFmtId="0" fontId="20" fillId="0" borderId="7" xfId="65" applyNumberFormat="1" applyFont="1" applyFill="1" applyBorder="1" applyAlignment="1">
      <alignment horizontal="center"/>
    </xf>
    <xf numFmtId="0" fontId="45" fillId="0" borderId="4" xfId="131" quotePrefix="1" applyNumberFormat="1" applyFont="1" applyFill="1" applyBorder="1" applyAlignment="1">
      <alignment horizontal="left"/>
    </xf>
    <xf numFmtId="0" fontId="45" fillId="0" borderId="6" xfId="131" applyNumberFormat="1" applyFont="1" applyFill="1" applyBorder="1" applyAlignment="1"/>
    <xf numFmtId="0" fontId="20" fillId="0" borderId="152" xfId="132" applyFont="1" applyFill="1" applyBorder="1" applyAlignment="1">
      <alignment horizontal="right"/>
    </xf>
    <xf numFmtId="0" fontId="20" fillId="0" borderId="145" xfId="132" applyFont="1" applyFill="1" applyBorder="1" applyAlignment="1"/>
    <xf numFmtId="0" fontId="21" fillId="6" borderId="164" xfId="132" applyFont="1" applyFill="1" applyBorder="1" applyAlignment="1">
      <alignment horizontal="center"/>
    </xf>
    <xf numFmtId="0" fontId="21" fillId="6" borderId="78" xfId="132" applyNumberFormat="1" applyFont="1" applyFill="1" applyBorder="1" applyAlignment="1"/>
    <xf numFmtId="0" fontId="20" fillId="6" borderId="135" xfId="132" applyNumberFormat="1" applyFont="1" applyFill="1" applyBorder="1" applyAlignment="1"/>
    <xf numFmtId="0" fontId="21" fillId="0" borderId="161" xfId="132" applyFont="1" applyFill="1" applyBorder="1" applyAlignment="1">
      <alignment horizontal="center"/>
    </xf>
    <xf numFmtId="0" fontId="21" fillId="0" borderId="163" xfId="132" applyNumberFormat="1" applyFont="1" applyFill="1" applyBorder="1" applyAlignment="1"/>
    <xf numFmtId="0" fontId="20" fillId="0" borderId="4" xfId="132" quotePrefix="1" applyNumberFormat="1" applyFont="1" applyFill="1" applyBorder="1" applyAlignment="1">
      <alignment horizontal="center"/>
    </xf>
    <xf numFmtId="0" fontId="21" fillId="0" borderId="1" xfId="0" applyFont="1" applyFill="1" applyBorder="1" applyAlignment="1"/>
    <xf numFmtId="0" fontId="21" fillId="0" borderId="2" xfId="0" applyFont="1" applyFill="1" applyBorder="1" applyAlignment="1"/>
    <xf numFmtId="184" fontId="20" fillId="0" borderId="3" xfId="0" applyNumberFormat="1" applyFont="1" applyFill="1" applyBorder="1" applyAlignment="1"/>
    <xf numFmtId="0" fontId="45" fillId="0" borderId="0" xfId="131" applyFont="1" applyFill="1" applyAlignment="1"/>
    <xf numFmtId="0" fontId="45" fillId="0" borderId="147" xfId="131" applyFont="1" applyFill="1" applyBorder="1" applyAlignment="1">
      <alignment horizontal="right"/>
    </xf>
    <xf numFmtId="0" fontId="45" fillId="0" borderId="148" xfId="131" applyNumberFormat="1" applyFont="1" applyFill="1" applyBorder="1" applyAlignment="1">
      <alignment horizontal="left"/>
    </xf>
    <xf numFmtId="0" fontId="45" fillId="0" borderId="149" xfId="131" applyNumberFormat="1" applyFont="1" applyFill="1" applyBorder="1" applyAlignment="1"/>
    <xf numFmtId="184" fontId="45" fillId="0" borderId="150" xfId="64" applyNumberFormat="1" applyFont="1" applyFill="1" applyBorder="1" applyAlignment="1">
      <alignment horizontal="center"/>
    </xf>
    <xf numFmtId="166" fontId="20" fillId="0" borderId="0" xfId="1" applyFont="1" applyFill="1" applyBorder="1" applyAlignment="1"/>
    <xf numFmtId="0" fontId="20" fillId="0" borderId="168" xfId="132" applyFont="1" applyFill="1" applyBorder="1" applyAlignment="1"/>
    <xf numFmtId="166" fontId="20" fillId="0" borderId="181" xfId="2" applyNumberFormat="1" applyFont="1" applyFill="1" applyBorder="1" applyAlignment="1">
      <alignment horizontal="right"/>
    </xf>
    <xf numFmtId="0" fontId="16" fillId="0" borderId="4" xfId="128" applyFont="1" applyFill="1" applyBorder="1" applyAlignment="1"/>
    <xf numFmtId="0" fontId="57" fillId="0" borderId="0" xfId="185" quotePrefix="1" applyFont="1" applyFill="1" applyBorder="1" applyAlignment="1" applyProtection="1">
      <alignment horizontal="center"/>
    </xf>
    <xf numFmtId="0" fontId="57" fillId="0" borderId="0" xfId="185" applyFont="1" applyFill="1" applyAlignment="1"/>
    <xf numFmtId="0" fontId="16" fillId="0" borderId="0" xfId="128" applyFont="1" applyFill="1" applyBorder="1" applyAlignment="1"/>
    <xf numFmtId="0" fontId="21" fillId="0" borderId="145" xfId="185" quotePrefix="1" applyFont="1" applyFill="1" applyBorder="1" applyAlignment="1" applyProtection="1"/>
    <xf numFmtId="0" fontId="16" fillId="0" borderId="145" xfId="185" quotePrefix="1" applyFont="1" applyFill="1" applyBorder="1" applyAlignment="1" applyProtection="1"/>
    <xf numFmtId="0" fontId="16" fillId="10" borderId="4" xfId="115" applyNumberFormat="1" applyFont="1" applyFill="1" applyBorder="1" applyAlignment="1"/>
    <xf numFmtId="0" fontId="16" fillId="10" borderId="5" xfId="115" applyNumberFormat="1" applyFont="1" applyFill="1" applyBorder="1" applyAlignment="1"/>
    <xf numFmtId="0" fontId="20" fillId="2" borderId="4" xfId="127" applyFont="1" applyFill="1" applyBorder="1" applyAlignment="1"/>
    <xf numFmtId="0" fontId="58" fillId="0" borderId="4" xfId="0" applyFont="1" applyFill="1" applyBorder="1" applyAlignment="1">
      <alignment horizontal="left" wrapText="1"/>
    </xf>
    <xf numFmtId="0" fontId="58" fillId="0" borderId="6" xfId="0" applyFont="1" applyFill="1" applyBorder="1" applyAlignment="1">
      <alignment horizontal="left" wrapText="1"/>
    </xf>
    <xf numFmtId="0" fontId="58" fillId="0" borderId="103" xfId="0" applyFont="1" applyBorder="1"/>
    <xf numFmtId="0" fontId="16" fillId="0" borderId="0" xfId="128" applyFont="1" applyBorder="1" applyAlignment="1">
      <alignment horizontal="center"/>
    </xf>
    <xf numFmtId="175" fontId="21" fillId="0" borderId="0" xfId="118" applyNumberFormat="1" applyFont="1" applyAlignment="1">
      <alignment vertical="center"/>
    </xf>
    <xf numFmtId="0" fontId="47" fillId="0" borderId="0" xfId="118" applyFont="1" applyAlignment="1">
      <alignment horizontal="center" vertical="center"/>
    </xf>
    <xf numFmtId="166" fontId="45" fillId="0" borderId="0" xfId="1" applyFont="1" applyBorder="1" applyAlignment="1">
      <alignment horizontal="center"/>
    </xf>
    <xf numFmtId="166" fontId="46" fillId="0" borderId="0" xfId="1" applyFont="1" applyBorder="1" applyAlignment="1">
      <alignment horizontal="center"/>
    </xf>
    <xf numFmtId="166" fontId="45" fillId="0" borderId="0" xfId="1" applyFont="1" applyBorder="1"/>
    <xf numFmtId="0" fontId="21" fillId="0" borderId="0" xfId="132" applyFont="1" applyBorder="1" applyAlignment="1">
      <alignment horizontal="center" vertical="center"/>
    </xf>
    <xf numFmtId="0" fontId="16" fillId="0" borderId="128" xfId="0" applyFont="1" applyBorder="1" applyAlignment="1">
      <alignment horizontal="right" vertical="center"/>
    </xf>
    <xf numFmtId="166" fontId="20" fillId="0" borderId="129" xfId="1" applyFont="1" applyBorder="1" applyAlignment="1">
      <alignment horizontal="center" vertical="center"/>
    </xf>
    <xf numFmtId="166" fontId="20" fillId="0" borderId="130" xfId="1" applyFont="1" applyBorder="1" applyAlignment="1">
      <alignment vertical="center"/>
    </xf>
    <xf numFmtId="0" fontId="21" fillId="0" borderId="0" xfId="118" applyFont="1" applyAlignment="1">
      <alignment horizontal="center" vertical="center"/>
    </xf>
    <xf numFmtId="49" fontId="16" fillId="0" borderId="21" xfId="0" applyNumberFormat="1" applyFont="1" applyBorder="1" applyAlignment="1">
      <alignment horizontal="right" vertical="center" wrapText="1"/>
    </xf>
    <xf numFmtId="166" fontId="20" fillId="0" borderId="34" xfId="1" applyFont="1" applyBorder="1" applyAlignment="1">
      <alignment horizontal="center" vertical="center"/>
    </xf>
    <xf numFmtId="166" fontId="20" fillId="0" borderId="101" xfId="1" applyFont="1" applyBorder="1" applyAlignment="1">
      <alignment vertical="center"/>
    </xf>
    <xf numFmtId="49" fontId="16" fillId="0" borderId="103" xfId="0" applyNumberFormat="1" applyFont="1" applyBorder="1" applyAlignment="1">
      <alignment horizontal="right" vertical="center" wrapText="1"/>
    </xf>
    <xf numFmtId="166" fontId="20" fillId="0" borderId="55" xfId="1" applyFont="1" applyBorder="1" applyAlignment="1">
      <alignment vertical="center"/>
    </xf>
    <xf numFmtId="0" fontId="32" fillId="0" borderId="0" xfId="128" applyFont="1" applyBorder="1" applyAlignment="1">
      <alignment horizontal="center" vertical="center"/>
    </xf>
    <xf numFmtId="0" fontId="16" fillId="0" borderId="21" xfId="0" applyFont="1" applyBorder="1" applyAlignment="1">
      <alignment horizontal="right" vertical="center"/>
    </xf>
    <xf numFmtId="0" fontId="58" fillId="0" borderId="103" xfId="0" applyFont="1" applyBorder="1" applyAlignment="1">
      <alignment horizontal="right"/>
    </xf>
    <xf numFmtId="0" fontId="16" fillId="0" borderId="103" xfId="0" applyFont="1" applyBorder="1"/>
    <xf numFmtId="0" fontId="16" fillId="0" borderId="103" xfId="0" applyFont="1" applyBorder="1" applyAlignment="1">
      <alignment horizontal="right"/>
    </xf>
    <xf numFmtId="0" fontId="16" fillId="0" borderId="103" xfId="0" applyFont="1" applyBorder="1" applyAlignment="1">
      <alignment horizontal="left" wrapText="1"/>
    </xf>
    <xf numFmtId="0" fontId="16" fillId="0" borderId="103" xfId="0" applyFont="1" applyBorder="1" applyAlignment="1">
      <alignment horizontal="right" wrapText="1"/>
    </xf>
    <xf numFmtId="0" fontId="16" fillId="0" borderId="103" xfId="0" applyFont="1" applyBorder="1" applyAlignment="1">
      <alignment horizontal="center"/>
    </xf>
    <xf numFmtId="0" fontId="16" fillId="0" borderId="103" xfId="0" applyFont="1" applyBorder="1" applyAlignment="1">
      <alignment horizontal="left"/>
    </xf>
    <xf numFmtId="0" fontId="21" fillId="0" borderId="0" xfId="0" applyFont="1" applyAlignment="1">
      <alignment horizontal="center" vertical="center"/>
    </xf>
    <xf numFmtId="0" fontId="45" fillId="0" borderId="0" xfId="0" applyFont="1" applyBorder="1" applyAlignment="1">
      <alignment vertical="center"/>
    </xf>
    <xf numFmtId="166" fontId="45" fillId="0" borderId="0" xfId="1" applyFont="1" applyBorder="1" applyAlignment="1">
      <alignment horizontal="center" vertical="center"/>
    </xf>
    <xf numFmtId="166" fontId="46" fillId="0" borderId="0" xfId="1" applyFont="1" applyBorder="1" applyAlignment="1">
      <alignment horizontal="center" vertical="center"/>
    </xf>
    <xf numFmtId="166" fontId="45" fillId="0" borderId="0" xfId="1" applyFont="1" applyBorder="1" applyAlignment="1">
      <alignment vertical="center"/>
    </xf>
    <xf numFmtId="0" fontId="47" fillId="0" borderId="0" xfId="118" applyFont="1" applyAlignment="1">
      <alignment vertical="center"/>
    </xf>
    <xf numFmtId="0" fontId="45" fillId="0" borderId="0" xfId="118" applyFont="1" applyAlignment="1">
      <alignment vertical="center"/>
    </xf>
    <xf numFmtId="0" fontId="44" fillId="0" borderId="103" xfId="0" applyFont="1" applyBorder="1" applyAlignment="1">
      <alignment horizontal="right"/>
    </xf>
    <xf numFmtId="0" fontId="44" fillId="0" borderId="104" xfId="0" applyFont="1" applyBorder="1" applyAlignment="1">
      <alignment horizontal="right"/>
    </xf>
    <xf numFmtId="0" fontId="44" fillId="0" borderId="128" xfId="0" applyFont="1" applyBorder="1" applyAlignment="1">
      <alignment horizontal="left"/>
    </xf>
    <xf numFmtId="166" fontId="20" fillId="0" borderId="7" xfId="1" quotePrefix="1" applyFont="1" applyFill="1" applyBorder="1" applyAlignment="1" applyProtection="1">
      <alignment horizontal="center"/>
    </xf>
    <xf numFmtId="0" fontId="44" fillId="0" borderId="104" xfId="0" applyFont="1" applyBorder="1" applyAlignment="1">
      <alignment horizontal="left"/>
    </xf>
    <xf numFmtId="166" fontId="56" fillId="0" borderId="7" xfId="1" quotePrefix="1" applyFont="1" applyFill="1" applyBorder="1" applyAlignment="1" applyProtection="1">
      <alignment horizontal="center"/>
    </xf>
    <xf numFmtId="0" fontId="20" fillId="0" borderId="6" xfId="127" applyFont="1" applyFill="1" applyBorder="1" applyAlignment="1">
      <alignment wrapText="1"/>
    </xf>
    <xf numFmtId="0" fontId="23" fillId="0" borderId="4" xfId="127" applyFont="1" applyFill="1" applyBorder="1" applyAlignment="1"/>
    <xf numFmtId="0" fontId="20" fillId="0" borderId="145" xfId="185" applyFont="1" applyFill="1" applyBorder="1" applyAlignment="1" applyProtection="1">
      <alignment horizontal="right"/>
    </xf>
    <xf numFmtId="0" fontId="56" fillId="0" borderId="145" xfId="185" applyFont="1" applyFill="1" applyBorder="1" applyAlignment="1" applyProtection="1">
      <alignment horizontal="right"/>
    </xf>
    <xf numFmtId="0" fontId="56" fillId="2" borderId="145" xfId="127" applyFont="1" applyFill="1" applyBorder="1" applyAlignment="1"/>
    <xf numFmtId="0" fontId="44" fillId="0" borderId="104" xfId="0" applyFont="1" applyFill="1" applyBorder="1" applyAlignment="1">
      <alignment horizontal="left"/>
    </xf>
    <xf numFmtId="0" fontId="44" fillId="0" borderId="104" xfId="0" applyFont="1" applyFill="1" applyBorder="1" applyAlignment="1">
      <alignment horizontal="right" wrapText="1"/>
    </xf>
    <xf numFmtId="0" fontId="21" fillId="0" borderId="0" xfId="118" applyFont="1" applyFill="1" applyAlignment="1">
      <alignment horizontal="center" vertical="center"/>
    </xf>
    <xf numFmtId="166" fontId="45" fillId="0" borderId="7" xfId="1" quotePrefix="1" applyFont="1" applyFill="1" applyBorder="1" applyAlignment="1" applyProtection="1">
      <alignment horizontal="center"/>
    </xf>
    <xf numFmtId="175" fontId="20" fillId="0" borderId="7" xfId="41" quotePrefix="1" applyNumberFormat="1" applyFont="1" applyFill="1" applyBorder="1" applyAlignment="1" applyProtection="1"/>
    <xf numFmtId="0" fontId="21" fillId="0" borderId="223" xfId="185" applyFont="1" applyFill="1" applyBorder="1" applyAlignment="1">
      <alignment horizontal="center"/>
    </xf>
    <xf numFmtId="0" fontId="16" fillId="0" borderId="223" xfId="185" applyFont="1" applyFill="1" applyBorder="1" applyAlignment="1">
      <alignment horizontal="center"/>
    </xf>
    <xf numFmtId="166" fontId="16" fillId="0" borderId="7" xfId="1" quotePrefix="1" applyFont="1" applyFill="1" applyBorder="1" applyAlignment="1" applyProtection="1">
      <alignment horizontal="center"/>
    </xf>
    <xf numFmtId="166" fontId="16" fillId="0" borderId="7" xfId="42" quotePrefix="1" applyFont="1" applyFill="1" applyBorder="1" applyAlignment="1" applyProtection="1">
      <alignment horizontal="center"/>
    </xf>
    <xf numFmtId="166" fontId="16" fillId="0" borderId="146" xfId="83" quotePrefix="1" applyFont="1" applyFill="1" applyBorder="1" applyAlignment="1"/>
    <xf numFmtId="0" fontId="32" fillId="2" borderId="0" xfId="185" quotePrefix="1" applyFont="1" applyFill="1" applyBorder="1" applyAlignment="1" applyProtection="1">
      <alignment horizontal="center"/>
    </xf>
    <xf numFmtId="0" fontId="32" fillId="2" borderId="0" xfId="185" applyFont="1" applyFill="1" applyAlignment="1"/>
    <xf numFmtId="0" fontId="44" fillId="0" borderId="104" xfId="0" applyFont="1" applyBorder="1" applyAlignment="1">
      <alignment horizontal="right" vertical="center" wrapText="1"/>
    </xf>
    <xf numFmtId="0" fontId="20" fillId="2" borderId="145" xfId="127" applyFont="1" applyFill="1" applyBorder="1" applyAlignment="1"/>
    <xf numFmtId="184" fontId="16" fillId="0" borderId="0" xfId="72" applyNumberFormat="1" applyFont="1" applyBorder="1"/>
    <xf numFmtId="184" fontId="16" fillId="10" borderId="0" xfId="72" applyNumberFormat="1" applyFont="1" applyFill="1" applyBorder="1"/>
    <xf numFmtId="0" fontId="16" fillId="10" borderId="0" xfId="128" applyFont="1" applyFill="1" applyBorder="1" applyAlignment="1">
      <alignment horizontal="center"/>
    </xf>
    <xf numFmtId="0" fontId="16" fillId="0" borderId="103" xfId="0" applyFont="1" applyBorder="1" applyAlignment="1">
      <alignment horizontal="right" vertical="center" wrapText="1"/>
    </xf>
    <xf numFmtId="166" fontId="20" fillId="0" borderId="5" xfId="1" applyFont="1" applyFill="1" applyBorder="1"/>
    <xf numFmtId="0" fontId="21" fillId="0" borderId="173" xfId="132" applyNumberFormat="1" applyFont="1" applyFill="1" applyBorder="1" applyAlignment="1"/>
    <xf numFmtId="175" fontId="21" fillId="0" borderId="174" xfId="2" applyNumberFormat="1" applyFont="1" applyFill="1" applyBorder="1" applyAlignment="1"/>
    <xf numFmtId="184" fontId="21" fillId="0" borderId="174" xfId="132" applyNumberFormat="1" applyFont="1" applyFill="1" applyBorder="1" applyAlignment="1"/>
    <xf numFmtId="0" fontId="21" fillId="0" borderId="174" xfId="132" applyNumberFormat="1" applyFont="1" applyFill="1" applyBorder="1" applyAlignment="1">
      <alignment horizontal="center"/>
    </xf>
    <xf numFmtId="166" fontId="21" fillId="0" borderId="175" xfId="2" applyNumberFormat="1" applyFont="1" applyFill="1" applyBorder="1" applyAlignment="1">
      <alignment horizontal="right"/>
    </xf>
    <xf numFmtId="0" fontId="20" fillId="0" borderId="6" xfId="165" quotePrefix="1" applyFont="1" applyFill="1" applyBorder="1" applyAlignment="1">
      <alignment vertical="center" wrapText="1"/>
    </xf>
    <xf numFmtId="0" fontId="45" fillId="0" borderId="2" xfId="132" applyNumberFormat="1" applyFont="1" applyFill="1" applyBorder="1" applyAlignment="1"/>
    <xf numFmtId="166" fontId="20" fillId="0" borderId="32" xfId="1" applyFont="1" applyBorder="1" applyAlignment="1">
      <alignment horizontal="center"/>
    </xf>
    <xf numFmtId="166" fontId="22" fillId="0" borderId="32" xfId="1" applyFont="1" applyBorder="1" applyAlignment="1">
      <alignment horizontal="center"/>
    </xf>
    <xf numFmtId="166" fontId="20" fillId="0" borderId="221" xfId="1" applyFont="1" applyBorder="1"/>
    <xf numFmtId="0" fontId="33" fillId="0" borderId="120" xfId="132" quotePrefix="1" applyNumberFormat="1" applyFont="1" applyFill="1" applyBorder="1" applyAlignment="1">
      <alignment vertical="center" wrapText="1"/>
    </xf>
    <xf numFmtId="166" fontId="20" fillId="0" borderId="7" xfId="1" applyFont="1" applyBorder="1" applyAlignment="1">
      <alignment horizontal="center"/>
    </xf>
    <xf numFmtId="0" fontId="20" fillId="0" borderId="7" xfId="0" applyNumberFormat="1" applyFont="1" applyFill="1" applyBorder="1" applyAlignment="1">
      <alignment horizontal="center"/>
    </xf>
    <xf numFmtId="166" fontId="20" fillId="0" borderId="7" xfId="0" applyNumberFormat="1" applyFont="1" applyFill="1" applyBorder="1" applyAlignment="1">
      <alignment horizontal="right"/>
    </xf>
    <xf numFmtId="0" fontId="20" fillId="0" borderId="4" xfId="128" applyFont="1" applyBorder="1" applyAlignment="1"/>
    <xf numFmtId="0" fontId="20" fillId="0" borderId="6" xfId="0" applyFont="1" applyBorder="1" applyAlignment="1"/>
    <xf numFmtId="0" fontId="20" fillId="10" borderId="7" xfId="0" applyFont="1" applyFill="1" applyBorder="1" applyAlignment="1"/>
    <xf numFmtId="0" fontId="20" fillId="10" borderId="4" xfId="0" applyFont="1" applyFill="1" applyBorder="1" applyAlignment="1"/>
    <xf numFmtId="0" fontId="20" fillId="0" borderId="35" xfId="128" applyFont="1" applyBorder="1" applyAlignment="1"/>
    <xf numFmtId="166" fontId="20" fillId="0" borderId="7" xfId="1" quotePrefix="1" applyFont="1" applyFill="1" applyBorder="1" applyAlignment="1" applyProtection="1">
      <alignment horizontal="center" vertical="center"/>
    </xf>
    <xf numFmtId="166" fontId="20" fillId="0" borderId="7" xfId="42" quotePrefix="1" applyFont="1" applyFill="1" applyBorder="1" applyAlignment="1" applyProtection="1">
      <alignment horizontal="center" vertical="center"/>
    </xf>
    <xf numFmtId="166" fontId="20" fillId="0" borderId="7" xfId="42" applyFont="1" applyFill="1" applyBorder="1" applyAlignment="1">
      <alignment horizontal="center"/>
    </xf>
    <xf numFmtId="0" fontId="20" fillId="0" borderId="4" xfId="128" applyFont="1" applyFill="1" applyBorder="1" applyAlignment="1"/>
    <xf numFmtId="0" fontId="33" fillId="0" borderId="6" xfId="127" applyFont="1" applyFill="1" applyBorder="1" applyAlignment="1"/>
    <xf numFmtId="166" fontId="20" fillId="0" borderId="7" xfId="42" applyFont="1" applyFill="1" applyBorder="1" applyAlignment="1">
      <alignment horizontal="right"/>
    </xf>
    <xf numFmtId="0" fontId="20" fillId="0" borderId="7" xfId="185" applyFont="1" applyFill="1" applyBorder="1" applyAlignment="1">
      <alignment horizontal="center"/>
    </xf>
    <xf numFmtId="175" fontId="20" fillId="0" borderId="7" xfId="2" applyNumberFormat="1" applyFont="1" applyFill="1" applyBorder="1" applyAlignment="1">
      <alignment horizontal="center"/>
    </xf>
    <xf numFmtId="0" fontId="20" fillId="10" borderId="6" xfId="0" applyFont="1" applyFill="1" applyBorder="1"/>
    <xf numFmtId="166" fontId="56" fillId="0" borderId="7" xfId="1" quotePrefix="1" applyFont="1" applyFill="1" applyBorder="1" applyAlignment="1" applyProtection="1">
      <alignment horizontal="center" vertical="center"/>
    </xf>
    <xf numFmtId="0" fontId="20" fillId="10" borderId="7" xfId="0" applyFont="1" applyFill="1" applyBorder="1"/>
    <xf numFmtId="0" fontId="20" fillId="10" borderId="4" xfId="0" applyFont="1" applyFill="1" applyBorder="1"/>
    <xf numFmtId="0" fontId="20" fillId="0" borderId="35" xfId="128" applyFont="1" applyBorder="1" applyAlignment="1">
      <alignment horizontal="left"/>
    </xf>
    <xf numFmtId="0" fontId="16" fillId="0" borderId="35" xfId="128" applyFont="1" applyBorder="1" applyAlignment="1">
      <alignment horizontal="left"/>
    </xf>
    <xf numFmtId="175" fontId="20" fillId="0" borderId="7" xfId="41" quotePrefix="1" applyNumberFormat="1" applyFont="1" applyFill="1" applyBorder="1" applyAlignment="1" applyProtection="1">
      <alignment horizontal="center" vertical="center"/>
    </xf>
    <xf numFmtId="166" fontId="20" fillId="2" borderId="7" xfId="42" applyFont="1" applyFill="1" applyBorder="1" applyAlignment="1">
      <alignment horizontal="center"/>
    </xf>
    <xf numFmtId="166" fontId="20" fillId="0" borderId="130" xfId="1" applyFont="1" applyBorder="1" applyAlignment="1">
      <alignment horizontal="center"/>
    </xf>
    <xf numFmtId="166" fontId="22" fillId="2" borderId="129" xfId="1" applyFont="1" applyFill="1" applyBorder="1" applyAlignment="1">
      <alignment horizontal="center" vertical="center"/>
    </xf>
    <xf numFmtId="166" fontId="22" fillId="2" borderId="7" xfId="1" applyFont="1" applyFill="1" applyBorder="1" applyAlignment="1">
      <alignment horizontal="center" vertical="center"/>
    </xf>
    <xf numFmtId="166" fontId="20" fillId="0" borderId="150" xfId="1" applyFont="1" applyBorder="1" applyAlignment="1">
      <alignment horizontal="center"/>
    </xf>
    <xf numFmtId="166" fontId="22" fillId="0" borderId="150" xfId="1" applyFont="1" applyBorder="1" applyAlignment="1">
      <alignment horizontal="center"/>
    </xf>
    <xf numFmtId="166" fontId="20" fillId="0" borderId="196" xfId="1" applyFont="1" applyBorder="1"/>
    <xf numFmtId="0" fontId="20" fillId="0" borderId="35" xfId="132" applyFont="1" applyFill="1" applyBorder="1" applyAlignment="1">
      <alignment horizontal="center"/>
    </xf>
    <xf numFmtId="166" fontId="21" fillId="0" borderId="3" xfId="132" applyNumberFormat="1" applyFont="1" applyFill="1" applyBorder="1" applyAlignment="1">
      <alignment horizontal="right"/>
    </xf>
    <xf numFmtId="166" fontId="20" fillId="0" borderId="34" xfId="65" applyNumberFormat="1" applyFont="1" applyFill="1" applyBorder="1" applyAlignment="1">
      <alignment horizontal="right"/>
    </xf>
    <xf numFmtId="167" fontId="20" fillId="0" borderId="7" xfId="65" applyNumberFormat="1" applyFont="1" applyFill="1" applyBorder="1" applyAlignment="1">
      <alignment horizontal="center"/>
    </xf>
    <xf numFmtId="166" fontId="20" fillId="0" borderId="3" xfId="65" applyFont="1" applyFill="1" applyBorder="1" applyAlignment="1">
      <alignment horizontal="center"/>
    </xf>
    <xf numFmtId="166" fontId="20" fillId="0" borderId="7" xfId="65" applyFont="1" applyFill="1" applyBorder="1" applyAlignment="1">
      <alignment horizontal="center" vertical="center"/>
    </xf>
    <xf numFmtId="166" fontId="20" fillId="0" borderId="7" xfId="2" applyNumberFormat="1" applyFont="1" applyFill="1" applyBorder="1" applyAlignment="1">
      <alignment horizontal="right" vertical="center"/>
    </xf>
    <xf numFmtId="165" fontId="20" fillId="0" borderId="7" xfId="2" applyFont="1" applyFill="1" applyBorder="1" applyAlignment="1">
      <alignment horizontal="center"/>
    </xf>
    <xf numFmtId="0" fontId="20" fillId="0" borderId="34" xfId="65" applyNumberFormat="1" applyFont="1" applyFill="1" applyBorder="1" applyAlignment="1">
      <alignment horizontal="center"/>
    </xf>
    <xf numFmtId="166" fontId="21" fillId="0" borderId="3" xfId="2" applyNumberFormat="1" applyFont="1" applyFill="1" applyBorder="1" applyAlignment="1">
      <alignment horizontal="right"/>
    </xf>
    <xf numFmtId="166" fontId="20" fillId="0" borderId="3" xfId="0" applyNumberFormat="1" applyFont="1" applyFill="1" applyBorder="1" applyAlignment="1">
      <alignment horizontal="right"/>
    </xf>
    <xf numFmtId="166" fontId="20" fillId="0" borderId="150" xfId="64" applyFont="1" applyFill="1" applyBorder="1" applyAlignment="1">
      <alignment horizontal="center"/>
    </xf>
    <xf numFmtId="166" fontId="20" fillId="0" borderId="34" xfId="65" applyFont="1" applyFill="1" applyBorder="1" applyAlignment="1">
      <alignment horizontal="center" vertical="center"/>
    </xf>
    <xf numFmtId="166" fontId="20" fillId="0" borderId="34" xfId="2" applyNumberFormat="1" applyFont="1" applyFill="1" applyBorder="1" applyAlignment="1">
      <alignment horizontal="right" vertical="center"/>
    </xf>
    <xf numFmtId="0" fontId="21" fillId="0" borderId="119" xfId="131" applyFont="1" applyFill="1" applyBorder="1" applyAlignment="1">
      <alignment horizontal="center" vertical="center"/>
    </xf>
    <xf numFmtId="0" fontId="21" fillId="0" borderId="120" xfId="131" applyFont="1" applyFill="1" applyBorder="1" applyAlignment="1">
      <alignment horizontal="left" vertical="center"/>
    </xf>
    <xf numFmtId="177" fontId="21" fillId="0" borderId="101" xfId="131" applyNumberFormat="1" applyFont="1" applyFill="1" applyBorder="1" applyAlignment="1">
      <alignment horizontal="center" vertical="center"/>
    </xf>
    <xf numFmtId="0" fontId="20" fillId="0" borderId="21" xfId="131" applyFont="1" applyFill="1" applyBorder="1" applyAlignment="1">
      <alignment horizontal="center" vertical="center"/>
    </xf>
    <xf numFmtId="0" fontId="20" fillId="0" borderId="119" xfId="131" applyFont="1" applyFill="1" applyBorder="1" applyAlignment="1">
      <alignment horizontal="center" vertical="center"/>
    </xf>
    <xf numFmtId="0" fontId="20" fillId="0" borderId="120" xfId="131" applyFont="1" applyFill="1" applyBorder="1" applyAlignment="1">
      <alignment horizontal="left" vertical="center"/>
    </xf>
    <xf numFmtId="177" fontId="20" fillId="0" borderId="101" xfId="131" applyNumberFormat="1" applyFont="1" applyFill="1" applyBorder="1" applyAlignment="1">
      <alignment horizontal="center" vertical="center"/>
    </xf>
    <xf numFmtId="177" fontId="21" fillId="0" borderId="102" xfId="64" applyNumberFormat="1" applyFont="1" applyFill="1" applyBorder="1" applyAlignment="1">
      <alignment vertical="center"/>
    </xf>
    <xf numFmtId="0" fontId="20" fillId="0" borderId="4" xfId="131" applyFont="1" applyFill="1" applyBorder="1" applyAlignment="1">
      <alignment horizontal="center" vertical="center"/>
    </xf>
    <xf numFmtId="177" fontId="20" fillId="0" borderId="55" xfId="64" applyNumberFormat="1" applyFont="1" applyFill="1" applyBorder="1" applyAlignment="1">
      <alignment vertical="center"/>
    </xf>
    <xf numFmtId="0" fontId="20" fillId="0" borderId="103" xfId="131" applyFont="1" applyFill="1" applyBorder="1" applyAlignment="1">
      <alignment horizontal="center" vertical="center"/>
    </xf>
    <xf numFmtId="0" fontId="20" fillId="0" borderId="6" xfId="131" applyFont="1" applyFill="1" applyBorder="1" applyAlignment="1">
      <alignment horizontal="left" vertical="center"/>
    </xf>
    <xf numFmtId="0" fontId="21" fillId="0" borderId="103" xfId="131" applyFont="1" applyFill="1" applyBorder="1" applyAlignment="1">
      <alignment horizontal="center" vertical="center"/>
    </xf>
    <xf numFmtId="0" fontId="21" fillId="0" borderId="4" xfId="131" applyFont="1" applyFill="1" applyBorder="1" applyAlignment="1">
      <alignment horizontal="center" vertical="center"/>
    </xf>
    <xf numFmtId="0" fontId="21" fillId="0" borderId="6" xfId="131" applyFont="1" applyFill="1" applyBorder="1" applyAlignment="1">
      <alignment horizontal="left" vertical="center"/>
    </xf>
    <xf numFmtId="0" fontId="20" fillId="0" borderId="104" xfId="131" applyFont="1" applyFill="1" applyBorder="1" applyAlignment="1">
      <alignment horizontal="center" vertical="center"/>
    </xf>
    <xf numFmtId="0" fontId="20" fillId="0" borderId="121" xfId="131" quotePrefix="1" applyFont="1" applyFill="1" applyBorder="1" applyAlignment="1">
      <alignment horizontal="center" vertical="center"/>
    </xf>
    <xf numFmtId="0" fontId="20" fillId="0" borderId="122" xfId="131" applyFont="1" applyFill="1" applyBorder="1" applyAlignment="1">
      <alignment horizontal="left" vertical="center"/>
    </xf>
    <xf numFmtId="177" fontId="23" fillId="0" borderId="102" xfId="64" applyNumberFormat="1" applyFont="1" applyFill="1" applyBorder="1" applyAlignment="1">
      <alignment vertical="center"/>
    </xf>
    <xf numFmtId="0" fontId="20" fillId="0" borderId="105" xfId="131" applyFont="1" applyFill="1" applyBorder="1" applyAlignment="1">
      <alignment horizontal="center" vertical="center"/>
    </xf>
    <xf numFmtId="0" fontId="20" fillId="0" borderId="123" xfId="131" applyFont="1" applyFill="1" applyBorder="1" applyAlignment="1">
      <alignment horizontal="center" vertical="center"/>
    </xf>
    <xf numFmtId="0" fontId="21" fillId="0" borderId="124" xfId="131" applyFont="1" applyFill="1" applyBorder="1" applyAlignment="1">
      <alignment horizontal="right" vertical="center"/>
    </xf>
    <xf numFmtId="175" fontId="21" fillId="0" borderId="106" xfId="2" applyNumberFormat="1" applyFont="1" applyFill="1" applyBorder="1" applyAlignment="1">
      <alignment vertical="center"/>
    </xf>
    <xf numFmtId="0" fontId="20" fillId="0" borderId="107" xfId="131" applyFont="1" applyFill="1" applyBorder="1" applyAlignment="1">
      <alignment horizontal="center" vertical="center"/>
    </xf>
    <xf numFmtId="0" fontId="20" fillId="0" borderId="80" xfId="131" applyFont="1" applyFill="1" applyBorder="1" applyAlignment="1">
      <alignment horizontal="center" vertical="center"/>
    </xf>
    <xf numFmtId="0" fontId="21" fillId="0" borderId="99" xfId="131" applyFont="1" applyFill="1" applyBorder="1" applyAlignment="1">
      <alignment horizontal="right" vertical="center"/>
    </xf>
    <xf numFmtId="175" fontId="21" fillId="0" borderId="108" xfId="2" applyNumberFormat="1" applyFont="1" applyFill="1" applyBorder="1" applyAlignment="1">
      <alignment vertical="center"/>
    </xf>
    <xf numFmtId="0" fontId="20" fillId="0" borderId="109" xfId="131" applyFont="1" applyFill="1" applyBorder="1" applyAlignment="1">
      <alignment horizontal="center" vertical="center"/>
    </xf>
    <xf numFmtId="0" fontId="20" fillId="0" borderId="125" xfId="131" applyFont="1" applyFill="1" applyBorder="1" applyAlignment="1">
      <alignment horizontal="center" vertical="center"/>
    </xf>
    <xf numFmtId="0" fontId="21" fillId="0" borderId="126" xfId="131" applyFont="1" applyFill="1" applyBorder="1" applyAlignment="1">
      <alignment horizontal="right" vertical="center"/>
    </xf>
    <xf numFmtId="175" fontId="21" fillId="0" borderId="110" xfId="2" applyNumberFormat="1" applyFont="1" applyFill="1" applyBorder="1" applyAlignment="1">
      <alignment vertical="center"/>
    </xf>
    <xf numFmtId="0" fontId="20" fillId="0" borderId="227" xfId="118" applyFont="1" applyBorder="1" applyAlignment="1">
      <alignment horizontal="center"/>
    </xf>
    <xf numFmtId="166" fontId="20" fillId="0" borderId="81" xfId="1" applyFont="1" applyBorder="1" applyAlignment="1">
      <alignment horizontal="center"/>
    </xf>
    <xf numFmtId="166" fontId="22" fillId="0" borderId="81" xfId="1" applyFont="1" applyBorder="1" applyAlignment="1">
      <alignment horizontal="center"/>
    </xf>
    <xf numFmtId="166" fontId="20" fillId="0" borderId="99" xfId="1" applyFont="1" applyBorder="1" applyAlignment="1">
      <alignment horizontal="center"/>
    </xf>
    <xf numFmtId="166" fontId="22" fillId="0" borderId="80" xfId="1" applyFont="1" applyBorder="1" applyAlignment="1">
      <alignment horizontal="center"/>
    </xf>
    <xf numFmtId="166" fontId="21" fillId="0" borderId="228" xfId="1" applyFont="1" applyBorder="1"/>
    <xf numFmtId="166" fontId="21" fillId="0" borderId="130" xfId="1" applyFont="1" applyBorder="1"/>
    <xf numFmtId="166" fontId="20" fillId="0" borderId="195" xfId="118" applyNumberFormat="1" applyFont="1" applyBorder="1" applyAlignment="1">
      <alignment horizontal="right"/>
    </xf>
    <xf numFmtId="166" fontId="20" fillId="0" borderId="150" xfId="1" applyFont="1" applyFill="1" applyBorder="1" applyAlignment="1">
      <alignment horizontal="center"/>
    </xf>
    <xf numFmtId="166" fontId="22" fillId="0" borderId="150" xfId="1" applyFont="1" applyBorder="1" applyAlignment="1">
      <alignment horizontal="center" vertical="center"/>
    </xf>
    <xf numFmtId="185" fontId="20" fillId="0" borderId="150" xfId="1" applyNumberFormat="1" applyFont="1" applyBorder="1" applyAlignment="1">
      <alignment horizontal="center"/>
    </xf>
    <xf numFmtId="166" fontId="21" fillId="0" borderId="0" xfId="131" applyNumberFormat="1" applyFont="1" applyFill="1" applyAlignment="1">
      <alignment vertical="center"/>
    </xf>
    <xf numFmtId="166" fontId="20" fillId="0" borderId="0" xfId="131" applyNumberFormat="1" applyFont="1" applyFill="1"/>
    <xf numFmtId="0" fontId="20" fillId="0" borderId="121" xfId="131" applyFont="1" applyFill="1" applyBorder="1" applyAlignment="1">
      <alignment horizontal="center" vertical="center"/>
    </xf>
    <xf numFmtId="177" fontId="20" fillId="0" borderId="102" xfId="64" applyNumberFormat="1" applyFont="1" applyFill="1" applyBorder="1" applyAlignment="1">
      <alignment vertical="center"/>
    </xf>
    <xf numFmtId="0" fontId="21" fillId="0" borderId="0" xfId="131" applyFont="1" applyFill="1" applyBorder="1" applyAlignment="1">
      <alignment vertical="center"/>
    </xf>
    <xf numFmtId="0" fontId="20" fillId="0" borderId="0" xfId="131" applyFont="1" applyFill="1" applyBorder="1"/>
    <xf numFmtId="196" fontId="20" fillId="0" borderId="0" xfId="2" applyNumberFormat="1" applyFont="1" applyFill="1"/>
    <xf numFmtId="0" fontId="56" fillId="2" borderId="4" xfId="127" quotePrefix="1" applyFont="1" applyFill="1" applyBorder="1" applyAlignment="1"/>
    <xf numFmtId="0" fontId="56" fillId="2" borderId="4" xfId="127" applyFont="1" applyFill="1" applyBorder="1" applyAlignment="1"/>
    <xf numFmtId="166" fontId="20" fillId="0" borderId="101" xfId="1" applyFont="1" applyBorder="1" applyAlignment="1">
      <alignment horizontal="center"/>
    </xf>
    <xf numFmtId="175" fontId="20" fillId="0" borderId="21" xfId="2" applyNumberFormat="1" applyFont="1" applyBorder="1" applyAlignment="1">
      <alignment horizontal="right"/>
    </xf>
    <xf numFmtId="0" fontId="20" fillId="0" borderId="195" xfId="0" applyFont="1" applyFill="1" applyBorder="1"/>
    <xf numFmtId="166" fontId="22" fillId="0" borderId="150" xfId="1" applyFont="1" applyFill="1" applyBorder="1" applyAlignment="1">
      <alignment horizontal="center"/>
    </xf>
    <xf numFmtId="166" fontId="20" fillId="0" borderId="196" xfId="1" applyFont="1" applyFill="1" applyBorder="1"/>
    <xf numFmtId="166" fontId="20" fillId="0" borderId="7" xfId="1" applyFont="1" applyBorder="1" applyAlignment="1">
      <alignment horizontal="center"/>
    </xf>
    <xf numFmtId="166" fontId="20" fillId="0" borderId="7" xfId="1" applyFont="1" applyBorder="1" applyAlignment="1">
      <alignment horizontal="center"/>
    </xf>
    <xf numFmtId="166" fontId="20" fillId="0" borderId="21" xfId="118" applyNumberFormat="1" applyFont="1" applyBorder="1"/>
    <xf numFmtId="166" fontId="20" fillId="0" borderId="7" xfId="1" applyNumberFormat="1" applyFont="1" applyBorder="1" applyAlignment="1">
      <alignment horizontal="center"/>
    </xf>
    <xf numFmtId="175" fontId="23" fillId="0" borderId="55" xfId="2" applyNumberFormat="1" applyFont="1" applyBorder="1"/>
    <xf numFmtId="0" fontId="20" fillId="11" borderId="0" xfId="132" applyFont="1" applyFill="1" applyBorder="1" applyAlignment="1">
      <alignment horizontal="center" vertical="center"/>
    </xf>
    <xf numFmtId="166" fontId="22" fillId="0" borderId="162" xfId="1" applyFont="1" applyBorder="1" applyAlignment="1">
      <alignment horizontal="center"/>
    </xf>
    <xf numFmtId="166" fontId="20" fillId="0" borderId="162" xfId="1" applyFont="1" applyBorder="1" applyAlignment="1">
      <alignment horizontal="center"/>
    </xf>
    <xf numFmtId="166" fontId="22" fillId="0" borderId="4" xfId="1" applyFont="1" applyBorder="1" applyAlignment="1">
      <alignment horizontal="center"/>
    </xf>
    <xf numFmtId="166" fontId="20" fillId="0" borderId="4" xfId="1" applyFont="1" applyBorder="1" applyAlignment="1">
      <alignment horizontal="center"/>
    </xf>
    <xf numFmtId="166" fontId="20" fillId="0" borderId="0" xfId="1" applyFont="1" applyFill="1" applyBorder="1" applyAlignment="1">
      <alignment horizontal="center"/>
    </xf>
    <xf numFmtId="166" fontId="20" fillId="0" borderId="0" xfId="1" applyFont="1" applyFill="1" applyBorder="1"/>
    <xf numFmtId="166" fontId="20" fillId="0" borderId="0" xfId="1" applyFont="1" applyBorder="1"/>
    <xf numFmtId="166" fontId="45" fillId="0" borderId="0" xfId="1" applyFont="1" applyAlignment="1">
      <alignment vertical="center"/>
    </xf>
    <xf numFmtId="0" fontId="20" fillId="0" borderId="187" xfId="0" applyFont="1" applyBorder="1"/>
    <xf numFmtId="0" fontId="20" fillId="0" borderId="131" xfId="118" applyFont="1" applyBorder="1" applyAlignment="1">
      <alignment horizontal="center"/>
    </xf>
    <xf numFmtId="166" fontId="20" fillId="0" borderId="27" xfId="42" applyNumberFormat="1" applyFont="1" applyFill="1" applyBorder="1" applyAlignment="1">
      <alignment horizontal="center"/>
    </xf>
    <xf numFmtId="166" fontId="20" fillId="0" borderId="7" xfId="1" applyFont="1" applyBorder="1" applyAlignment="1">
      <alignment horizontal="center"/>
    </xf>
    <xf numFmtId="185" fontId="20" fillId="0" borderId="7" xfId="1" applyNumberFormat="1" applyFont="1" applyFill="1" applyBorder="1" applyAlignment="1">
      <alignment horizontal="center" vertical="center"/>
    </xf>
    <xf numFmtId="185" fontId="20" fillId="0" borderId="129" xfId="1" applyNumberFormat="1" applyFont="1" applyFill="1" applyBorder="1" applyAlignment="1">
      <alignment horizontal="center"/>
    </xf>
    <xf numFmtId="166" fontId="20" fillId="0" borderId="231" xfId="118" applyNumberFormat="1" applyFont="1" applyFill="1" applyBorder="1" applyAlignment="1">
      <alignment horizontal="right"/>
    </xf>
    <xf numFmtId="166" fontId="20" fillId="0" borderId="232" xfId="1" applyFont="1" applyFill="1" applyBorder="1" applyAlignment="1">
      <alignment horizontal="center"/>
    </xf>
    <xf numFmtId="166" fontId="22" fillId="0" borderId="232" xfId="1" applyFont="1" applyFill="1" applyBorder="1" applyAlignment="1">
      <alignment horizontal="center" vertical="center"/>
    </xf>
    <xf numFmtId="166" fontId="22" fillId="0" borderId="232" xfId="1" applyFont="1" applyFill="1" applyBorder="1" applyAlignment="1">
      <alignment horizontal="center"/>
    </xf>
    <xf numFmtId="185" fontId="20" fillId="0" borderId="232" xfId="1" applyNumberFormat="1" applyFont="1" applyFill="1" applyBorder="1" applyAlignment="1">
      <alignment horizontal="center"/>
    </xf>
    <xf numFmtId="166" fontId="20" fillId="0" borderId="233" xfId="1" applyFont="1" applyFill="1" applyBorder="1"/>
    <xf numFmtId="0" fontId="20" fillId="11" borderId="0" xfId="132" applyFont="1" applyFill="1" applyAlignment="1">
      <alignment horizontal="center" vertical="center"/>
    </xf>
    <xf numFmtId="172" fontId="20" fillId="0" borderId="55" xfId="1" applyNumberFormat="1" applyFont="1" applyFill="1" applyBorder="1" applyAlignment="1">
      <alignment horizontal="center"/>
    </xf>
    <xf numFmtId="172" fontId="20" fillId="0" borderId="102" xfId="1" applyNumberFormat="1" applyFont="1" applyFill="1" applyBorder="1" applyAlignment="1">
      <alignment horizontal="center"/>
    </xf>
    <xf numFmtId="166" fontId="20" fillId="0" borderId="128" xfId="118" applyNumberFormat="1" applyFont="1" applyBorder="1" applyAlignment="1">
      <alignment horizontal="left" vertical="center"/>
    </xf>
    <xf numFmtId="172" fontId="20" fillId="0" borderId="7" xfId="1" applyNumberFormat="1" applyFont="1" applyBorder="1" applyAlignment="1">
      <alignment horizontal="center"/>
    </xf>
    <xf numFmtId="166" fontId="21" fillId="0" borderId="0" xfId="118" applyNumberFormat="1" applyFont="1" applyFill="1"/>
    <xf numFmtId="166" fontId="23" fillId="0" borderId="55" xfId="1" applyFont="1" applyFill="1" applyBorder="1"/>
    <xf numFmtId="166" fontId="23" fillId="0" borderId="102" xfId="1" applyFont="1" applyBorder="1"/>
    <xf numFmtId="166" fontId="20" fillId="0" borderId="21" xfId="118" applyNumberFormat="1" applyFont="1" applyBorder="1" applyAlignment="1">
      <alignment horizontal="center"/>
    </xf>
    <xf numFmtId="0" fontId="21" fillId="11" borderId="0" xfId="0" applyFont="1" applyFill="1"/>
    <xf numFmtId="166" fontId="20" fillId="0" borderId="149" xfId="2" applyNumberFormat="1" applyFont="1" applyFill="1" applyBorder="1" applyAlignment="1">
      <alignment horizontal="right"/>
    </xf>
    <xf numFmtId="0" fontId="63" fillId="0" borderId="7" xfId="132" applyFont="1" applyFill="1" applyBorder="1" applyAlignment="1">
      <alignment horizontal="center"/>
    </xf>
    <xf numFmtId="184" fontId="63" fillId="0" borderId="120" xfId="65" applyNumberFormat="1" applyFont="1" applyFill="1" applyBorder="1" applyAlignment="1">
      <alignment horizontal="center" vertical="center"/>
    </xf>
    <xf numFmtId="166" fontId="63" fillId="0" borderId="34" xfId="2" applyNumberFormat="1" applyFont="1" applyFill="1" applyBorder="1" applyAlignment="1">
      <alignment horizontal="right" vertical="center"/>
    </xf>
    <xf numFmtId="166" fontId="63" fillId="0" borderId="156" xfId="2" applyNumberFormat="1" applyFont="1" applyFill="1" applyBorder="1" applyAlignment="1">
      <alignment horizontal="right" vertical="center"/>
    </xf>
    <xf numFmtId="166" fontId="63" fillId="0" borderId="146" xfId="2" applyNumberFormat="1" applyFont="1" applyFill="1" applyBorder="1" applyAlignment="1">
      <alignment horizontal="right" vertical="center"/>
    </xf>
    <xf numFmtId="0" fontId="64" fillId="0" borderId="0" xfId="132" applyFont="1" applyFill="1" applyAlignment="1">
      <alignment vertical="center"/>
    </xf>
    <xf numFmtId="175" fontId="62" fillId="0" borderId="174" xfId="2" applyNumberFormat="1" applyFont="1" applyFill="1" applyBorder="1" applyAlignment="1">
      <alignment vertical="center"/>
    </xf>
    <xf numFmtId="184" fontId="62" fillId="0" borderId="174" xfId="132" applyNumberFormat="1" applyFont="1" applyFill="1" applyBorder="1" applyAlignment="1">
      <alignment vertical="center"/>
    </xf>
    <xf numFmtId="0" fontId="62" fillId="0" borderId="174" xfId="132" applyNumberFormat="1" applyFont="1" applyFill="1" applyBorder="1" applyAlignment="1">
      <alignment horizontal="center" vertical="center"/>
    </xf>
    <xf numFmtId="166" fontId="62" fillId="0" borderId="175" xfId="2" applyNumberFormat="1" applyFont="1" applyFill="1" applyBorder="1" applyAlignment="1">
      <alignment horizontal="right" vertical="center"/>
    </xf>
    <xf numFmtId="175" fontId="65" fillId="0" borderId="0" xfId="2" applyNumberFormat="1" applyFont="1" applyFill="1" applyBorder="1" applyAlignment="1">
      <alignment vertical="center"/>
    </xf>
    <xf numFmtId="166" fontId="64" fillId="0" borderId="0" xfId="1" applyFont="1" applyFill="1" applyAlignment="1">
      <alignment vertical="center"/>
    </xf>
    <xf numFmtId="0" fontId="63" fillId="0" borderId="145" xfId="132" applyFont="1" applyFill="1" applyBorder="1" applyAlignment="1">
      <alignment horizontal="center"/>
    </xf>
    <xf numFmtId="0" fontId="62" fillId="0" borderId="173" xfId="132" applyNumberFormat="1" applyFont="1" applyFill="1" applyBorder="1" applyAlignment="1">
      <alignment horizontal="center" vertical="center"/>
    </xf>
    <xf numFmtId="175" fontId="62" fillId="0" borderId="225" xfId="2" applyNumberFormat="1" applyFont="1" applyFill="1" applyBorder="1" applyAlignment="1">
      <alignment vertical="center"/>
    </xf>
    <xf numFmtId="0" fontId="63" fillId="0" borderId="0" xfId="132" applyFont="1" applyFill="1" applyAlignment="1">
      <alignment vertical="center"/>
    </xf>
    <xf numFmtId="0" fontId="63" fillId="0" borderId="152" xfId="132" applyFont="1" applyFill="1" applyBorder="1" applyAlignment="1">
      <alignment horizontal="center" vertical="center"/>
    </xf>
    <xf numFmtId="0" fontId="63" fillId="0" borderId="39" xfId="132" applyNumberFormat="1" applyFont="1" applyFill="1" applyBorder="1" applyAlignment="1">
      <alignment vertical="center"/>
    </xf>
    <xf numFmtId="0" fontId="63" fillId="0" borderId="153" xfId="132" applyNumberFormat="1" applyFont="1" applyFill="1" applyBorder="1" applyAlignment="1">
      <alignment vertical="center"/>
    </xf>
    <xf numFmtId="166" fontId="62" fillId="0" borderId="154" xfId="2" applyNumberFormat="1" applyFont="1" applyFill="1" applyBorder="1" applyAlignment="1">
      <alignment horizontal="right" vertical="center"/>
    </xf>
    <xf numFmtId="175" fontId="62" fillId="0" borderId="0" xfId="2" applyNumberFormat="1" applyFont="1" applyFill="1" applyBorder="1" applyAlignment="1">
      <alignment horizontal="center" vertical="center"/>
    </xf>
    <xf numFmtId="166" fontId="63" fillId="0" borderId="0" xfId="1" applyFont="1" applyFill="1" applyAlignment="1">
      <alignment vertical="center"/>
    </xf>
    <xf numFmtId="0" fontId="62" fillId="0" borderId="0" xfId="132" applyFont="1" applyFill="1" applyAlignment="1">
      <alignment horizontal="center" vertical="center"/>
    </xf>
    <xf numFmtId="0" fontId="63" fillId="0" borderId="0" xfId="132" applyFont="1" applyFill="1" applyBorder="1" applyAlignment="1">
      <alignment horizontal="center" vertical="center"/>
    </xf>
    <xf numFmtId="0" fontId="63" fillId="0" borderId="0" xfId="132" applyNumberFormat="1" applyFont="1" applyFill="1" applyBorder="1" applyAlignment="1">
      <alignment vertical="center"/>
    </xf>
    <xf numFmtId="184" fontId="63" fillId="0" borderId="0" xfId="132" applyNumberFormat="1" applyFont="1" applyFill="1" applyBorder="1" applyAlignment="1">
      <alignment vertical="center"/>
    </xf>
    <xf numFmtId="0" fontId="68" fillId="0" borderId="0" xfId="132" applyFont="1" applyFill="1" applyBorder="1" applyAlignment="1">
      <alignment horizontal="center" vertical="center"/>
    </xf>
    <xf numFmtId="166" fontId="63" fillId="0" borderId="0" xfId="2" applyNumberFormat="1" applyFont="1" applyFill="1" applyBorder="1" applyAlignment="1">
      <alignment horizontal="right" vertical="center"/>
    </xf>
    <xf numFmtId="175" fontId="63" fillId="0" borderId="0" xfId="2" applyNumberFormat="1" applyFont="1" applyFill="1" applyAlignment="1">
      <alignment vertical="center"/>
    </xf>
    <xf numFmtId="0" fontId="63" fillId="0" borderId="0" xfId="132" applyFont="1" applyFill="1" applyBorder="1" applyAlignment="1">
      <alignment horizontal="left" vertical="center"/>
    </xf>
    <xf numFmtId="0" fontId="68" fillId="0" borderId="0" xfId="132" applyNumberFormat="1" applyFont="1" applyFill="1" applyBorder="1" applyAlignment="1">
      <alignment vertical="center"/>
    </xf>
    <xf numFmtId="184" fontId="62" fillId="0" borderId="0" xfId="132" applyNumberFormat="1" applyFont="1" applyFill="1" applyBorder="1" applyAlignment="1">
      <alignment vertical="center"/>
    </xf>
    <xf numFmtId="0" fontId="62" fillId="0" borderId="0" xfId="132" applyFont="1" applyFill="1" applyBorder="1" applyAlignment="1">
      <alignment horizontal="center" vertical="center"/>
    </xf>
    <xf numFmtId="0" fontId="63" fillId="0" borderId="174" xfId="132" applyFont="1" applyFill="1" applyBorder="1" applyAlignment="1">
      <alignment horizontal="left" vertical="center"/>
    </xf>
    <xf numFmtId="0" fontId="63" fillId="0" borderId="174" xfId="132" applyNumberFormat="1" applyFont="1" applyFill="1" applyBorder="1" applyAlignment="1">
      <alignment vertical="center"/>
    </xf>
    <xf numFmtId="184" fontId="63" fillId="0" borderId="174" xfId="132" applyNumberFormat="1" applyFont="1" applyFill="1" applyBorder="1" applyAlignment="1">
      <alignment vertical="center"/>
    </xf>
    <xf numFmtId="0" fontId="63" fillId="0" borderId="174" xfId="132" applyFont="1" applyFill="1" applyBorder="1" applyAlignment="1">
      <alignment horizontal="center" vertical="center"/>
    </xf>
    <xf numFmtId="0" fontId="68" fillId="0" borderId="174" xfId="132" applyFont="1" applyFill="1" applyBorder="1" applyAlignment="1">
      <alignment horizontal="center" vertical="center"/>
    </xf>
    <xf numFmtId="166" fontId="63" fillId="0" borderId="174" xfId="2" applyNumberFormat="1" applyFont="1" applyFill="1" applyBorder="1" applyAlignment="1">
      <alignment horizontal="right" vertical="center"/>
    </xf>
    <xf numFmtId="1" fontId="70" fillId="9" borderId="140" xfId="132" applyNumberFormat="1" applyFont="1" applyFill="1" applyBorder="1" applyAlignment="1">
      <alignment horizontal="center" vertical="center"/>
    </xf>
    <xf numFmtId="1" fontId="70" fillId="9" borderId="141" xfId="132" applyNumberFormat="1" applyFont="1" applyFill="1" applyBorder="1" applyAlignment="1">
      <alignment horizontal="center" vertical="center"/>
    </xf>
    <xf numFmtId="0" fontId="70" fillId="9" borderId="141" xfId="2" applyNumberFormat="1" applyFont="1" applyFill="1" applyBorder="1" applyAlignment="1">
      <alignment horizontal="center" vertical="center"/>
    </xf>
    <xf numFmtId="0" fontId="70" fillId="9" borderId="142" xfId="2" applyNumberFormat="1" applyFont="1" applyFill="1" applyBorder="1" applyAlignment="1">
      <alignment horizontal="center" vertical="center"/>
    </xf>
    <xf numFmtId="1" fontId="70" fillId="0" borderId="0" xfId="2" applyNumberFormat="1" applyFont="1" applyFill="1" applyBorder="1" applyAlignment="1">
      <alignment horizontal="center" vertical="center"/>
    </xf>
    <xf numFmtId="0" fontId="70" fillId="0" borderId="0" xfId="132" applyFont="1" applyFill="1" applyAlignment="1">
      <alignment vertical="center"/>
    </xf>
    <xf numFmtId="166" fontId="70" fillId="0" borderId="0" xfId="1" applyFont="1" applyFill="1" applyAlignment="1">
      <alignment vertical="center"/>
    </xf>
    <xf numFmtId="175" fontId="63" fillId="8" borderId="0" xfId="2" applyNumberFormat="1" applyFont="1" applyFill="1" applyBorder="1" applyAlignment="1">
      <alignment horizontal="center" vertical="center"/>
    </xf>
    <xf numFmtId="0" fontId="63" fillId="8" borderId="0" xfId="132" applyFont="1" applyFill="1" applyAlignment="1">
      <alignment vertical="center"/>
    </xf>
    <xf numFmtId="166" fontId="63" fillId="8" borderId="0" xfId="1" applyFont="1" applyFill="1" applyAlignment="1">
      <alignment vertical="center"/>
    </xf>
    <xf numFmtId="0" fontId="63" fillId="0" borderId="155" xfId="127" applyFont="1" applyFill="1" applyBorder="1" applyAlignment="1">
      <alignment horizontal="center" vertical="center"/>
    </xf>
    <xf numFmtId="0" fontId="63" fillId="0" borderId="119" xfId="165" applyFont="1" applyFill="1" applyBorder="1" applyAlignment="1">
      <alignment horizontal="left" vertical="center"/>
    </xf>
    <xf numFmtId="184" fontId="63" fillId="0" borderId="120" xfId="42" applyNumberFormat="1" applyFont="1" applyFill="1" applyBorder="1" applyAlignment="1">
      <alignment horizontal="center" vertical="center"/>
    </xf>
    <xf numFmtId="0" fontId="68" fillId="0" borderId="34" xfId="132" applyFont="1" applyFill="1" applyBorder="1" applyAlignment="1">
      <alignment horizontal="center" vertical="center"/>
    </xf>
    <xf numFmtId="175" fontId="63" fillId="0" borderId="0" xfId="2" applyNumberFormat="1" applyFont="1" applyFill="1" applyBorder="1" applyAlignment="1">
      <alignment horizontal="center" vertical="center"/>
    </xf>
    <xf numFmtId="0" fontId="63" fillId="0" borderId="4" xfId="165" applyFont="1" applyFill="1" applyBorder="1" applyAlignment="1">
      <alignment horizontal="left" vertical="center"/>
    </xf>
    <xf numFmtId="0" fontId="63" fillId="0" borderId="122" xfId="165" applyFont="1" applyFill="1" applyBorder="1" applyAlignment="1">
      <alignment horizontal="left" vertical="center" wrapText="1"/>
    </xf>
    <xf numFmtId="184" fontId="63" fillId="0" borderId="122" xfId="42" applyNumberFormat="1" applyFont="1" applyFill="1" applyBorder="1" applyAlignment="1">
      <alignment horizontal="center" vertical="center"/>
    </xf>
    <xf numFmtId="166" fontId="63" fillId="0" borderId="35" xfId="2" applyNumberFormat="1" applyFont="1" applyFill="1" applyBorder="1" applyAlignment="1">
      <alignment horizontal="right" vertical="center"/>
    </xf>
    <xf numFmtId="175" fontId="64" fillId="0" borderId="0" xfId="2" applyNumberFormat="1" applyFont="1" applyFill="1" applyBorder="1" applyAlignment="1">
      <alignment horizontal="center" vertical="center"/>
    </xf>
    <xf numFmtId="0" fontId="63" fillId="0" borderId="121" xfId="165" applyFont="1" applyFill="1" applyBorder="1" applyAlignment="1">
      <alignment horizontal="left" vertical="center"/>
    </xf>
    <xf numFmtId="0" fontId="64" fillId="0" borderId="152" xfId="132" applyFont="1" applyFill="1" applyBorder="1" applyAlignment="1">
      <alignment horizontal="center" vertical="center"/>
    </xf>
    <xf numFmtId="0" fontId="65" fillId="0" borderId="39" xfId="132" applyNumberFormat="1" applyFont="1" applyFill="1" applyBorder="1" applyAlignment="1">
      <alignment vertical="center"/>
    </xf>
    <xf numFmtId="0" fontId="65" fillId="0" borderId="153" xfId="132" applyNumberFormat="1" applyFont="1" applyFill="1" applyBorder="1" applyAlignment="1">
      <alignment vertical="center"/>
    </xf>
    <xf numFmtId="175" fontId="65" fillId="0" borderId="0" xfId="2" applyNumberFormat="1" applyFont="1" applyFill="1" applyBorder="1" applyAlignment="1">
      <alignment horizontal="center" vertical="center"/>
    </xf>
    <xf numFmtId="175" fontId="65" fillId="8" borderId="0" xfId="2" applyNumberFormat="1" applyFont="1" applyFill="1" applyBorder="1" applyAlignment="1">
      <alignment vertical="center"/>
    </xf>
    <xf numFmtId="0" fontId="64" fillId="8" borderId="0" xfId="132" applyFont="1" applyFill="1" applyAlignment="1">
      <alignment vertical="center"/>
    </xf>
    <xf numFmtId="166" fontId="64" fillId="8" borderId="0" xfId="1" applyFont="1" applyFill="1" applyAlignment="1">
      <alignment vertical="center"/>
    </xf>
    <xf numFmtId="0" fontId="63" fillId="0" borderId="155" xfId="132" applyFont="1" applyFill="1" applyBorder="1" applyAlignment="1">
      <alignment horizontal="center" vertical="center"/>
    </xf>
    <xf numFmtId="184" fontId="63" fillId="0" borderId="34" xfId="65" applyNumberFormat="1" applyFont="1" applyFill="1" applyBorder="1" applyAlignment="1">
      <alignment horizontal="center" vertical="center"/>
    </xf>
    <xf numFmtId="175" fontId="63" fillId="0" borderId="0" xfId="2" applyNumberFormat="1" applyFont="1" applyFill="1" applyBorder="1" applyAlignment="1">
      <alignment vertical="center"/>
    </xf>
    <xf numFmtId="0" fontId="63" fillId="0" borderId="145" xfId="132" applyFont="1" applyFill="1" applyBorder="1" applyAlignment="1">
      <alignment horizontal="center" vertical="center"/>
    </xf>
    <xf numFmtId="0" fontId="63" fillId="0" borderId="4" xfId="132" applyNumberFormat="1" applyFont="1" applyFill="1" applyBorder="1" applyAlignment="1">
      <alignment vertical="center"/>
    </xf>
    <xf numFmtId="0" fontId="63" fillId="0" borderId="6" xfId="132" applyNumberFormat="1" applyFont="1" applyFill="1" applyBorder="1" applyAlignment="1">
      <alignment vertical="center"/>
    </xf>
    <xf numFmtId="0" fontId="66" fillId="0" borderId="39" xfId="132" applyNumberFormat="1" applyFont="1" applyFill="1" applyBorder="1" applyAlignment="1">
      <alignment horizontal="right" vertical="center"/>
    </xf>
    <xf numFmtId="0" fontId="66" fillId="0" borderId="153" xfId="132" applyNumberFormat="1" applyFont="1" applyFill="1" applyBorder="1" applyAlignment="1">
      <alignment horizontal="right" vertical="center"/>
    </xf>
    <xf numFmtId="175" fontId="63" fillId="8" borderId="0" xfId="2" applyNumberFormat="1" applyFont="1" applyFill="1" applyBorder="1" applyAlignment="1">
      <alignment vertical="center"/>
    </xf>
    <xf numFmtId="0" fontId="63" fillId="0" borderId="0" xfId="132" applyFont="1" applyFill="1" applyBorder="1" applyAlignment="1">
      <alignment vertical="center"/>
    </xf>
    <xf numFmtId="166" fontId="63" fillId="0" borderId="0" xfId="1" applyFont="1" applyFill="1" applyBorder="1" applyAlignment="1">
      <alignment vertical="center"/>
    </xf>
    <xf numFmtId="0" fontId="63" fillId="0" borderId="168" xfId="132" applyFont="1" applyFill="1" applyBorder="1" applyAlignment="1">
      <alignment horizontal="center" vertical="center"/>
    </xf>
    <xf numFmtId="166" fontId="63" fillId="0" borderId="181" xfId="2" applyNumberFormat="1" applyFont="1" applyFill="1" applyBorder="1" applyAlignment="1">
      <alignment horizontal="right" vertical="center"/>
    </xf>
    <xf numFmtId="0" fontId="63" fillId="0" borderId="225" xfId="132" applyNumberFormat="1" applyFont="1" applyFill="1" applyBorder="1" applyAlignment="1">
      <alignment vertical="center"/>
    </xf>
    <xf numFmtId="0" fontId="63" fillId="0" borderId="224" xfId="165" applyFont="1" applyFill="1" applyBorder="1" applyAlignment="1">
      <alignment horizontal="left" vertical="center"/>
    </xf>
    <xf numFmtId="0" fontId="65" fillId="0" borderId="40" xfId="132" applyNumberFormat="1" applyFont="1" applyFill="1" applyBorder="1" applyAlignment="1">
      <alignment vertical="center"/>
    </xf>
    <xf numFmtId="0" fontId="63" fillId="0" borderId="5" xfId="132" applyNumberFormat="1" applyFont="1" applyFill="1" applyBorder="1" applyAlignment="1">
      <alignment vertical="center"/>
    </xf>
    <xf numFmtId="0" fontId="66" fillId="0" borderId="40" xfId="132" applyNumberFormat="1" applyFont="1" applyFill="1" applyBorder="1" applyAlignment="1">
      <alignment horizontal="right" vertical="center"/>
    </xf>
    <xf numFmtId="0" fontId="63" fillId="0" borderId="40" xfId="132" applyNumberFormat="1" applyFont="1" applyFill="1" applyBorder="1" applyAlignment="1">
      <alignment vertical="center"/>
    </xf>
    <xf numFmtId="0" fontId="63" fillId="0" borderId="206" xfId="165" applyFont="1" applyFill="1" applyBorder="1" applyAlignment="1">
      <alignment horizontal="left" vertical="center"/>
    </xf>
    <xf numFmtId="0" fontId="63" fillId="0" borderId="163" xfId="127" applyNumberFormat="1" applyFont="1" applyFill="1" applyBorder="1" applyAlignment="1">
      <alignment horizontal="left" vertical="center"/>
    </xf>
    <xf numFmtId="176" fontId="63" fillId="0" borderId="0" xfId="1" applyNumberFormat="1" applyFont="1" applyFill="1" applyBorder="1" applyAlignment="1">
      <alignment horizontal="right" vertical="center"/>
    </xf>
    <xf numFmtId="0" fontId="63" fillId="0" borderId="0" xfId="131" applyFont="1" applyFill="1"/>
    <xf numFmtId="0" fontId="62" fillId="0" borderId="0" xfId="131" applyFont="1" applyFill="1" applyBorder="1" applyAlignment="1">
      <alignment horizontal="center"/>
    </xf>
    <xf numFmtId="0" fontId="63" fillId="0" borderId="0" xfId="131" applyFont="1" applyFill="1" applyAlignment="1">
      <alignment horizontal="left"/>
    </xf>
    <xf numFmtId="166" fontId="63" fillId="0" borderId="0" xfId="131" applyNumberFormat="1" applyFont="1" applyFill="1" applyAlignment="1"/>
    <xf numFmtId="166" fontId="63" fillId="0" borderId="0" xfId="131" applyNumberFormat="1" applyFont="1" applyFill="1" applyAlignment="1">
      <alignment horizontal="left"/>
    </xf>
    <xf numFmtId="0" fontId="63" fillId="0" borderId="0" xfId="131" applyFont="1" applyFill="1" applyAlignment="1"/>
    <xf numFmtId="0" fontId="62" fillId="0" borderId="0" xfId="131" applyFont="1" applyFill="1" applyAlignment="1">
      <alignment horizontal="center"/>
    </xf>
    <xf numFmtId="0" fontId="62" fillId="0" borderId="20" xfId="131" applyFont="1" applyFill="1" applyBorder="1" applyAlignment="1">
      <alignment horizontal="center" vertical="center"/>
    </xf>
    <xf numFmtId="0" fontId="62" fillId="0" borderId="100" xfId="131" applyFont="1" applyFill="1" applyBorder="1" applyAlignment="1">
      <alignment horizontal="center" vertical="center"/>
    </xf>
    <xf numFmtId="0" fontId="62" fillId="0" borderId="0" xfId="131" applyFont="1" applyFill="1" applyAlignment="1">
      <alignment vertical="center"/>
    </xf>
    <xf numFmtId="0" fontId="62" fillId="0" borderId="21" xfId="131" applyFont="1" applyFill="1" applyBorder="1" applyAlignment="1">
      <alignment horizontal="center" vertical="center"/>
    </xf>
    <xf numFmtId="0" fontId="62" fillId="0" borderId="117" xfId="131" applyFont="1" applyFill="1" applyBorder="1" applyAlignment="1">
      <alignment horizontal="center" vertical="center"/>
    </xf>
    <xf numFmtId="0" fontId="62" fillId="0" borderId="118" xfId="131" applyFont="1" applyFill="1" applyBorder="1" applyAlignment="1">
      <alignment horizontal="left" vertical="center"/>
    </xf>
    <xf numFmtId="166" fontId="63" fillId="0" borderId="101" xfId="131" applyNumberFormat="1" applyFont="1" applyFill="1" applyBorder="1" applyAlignment="1">
      <alignment horizontal="center" vertical="center"/>
    </xf>
    <xf numFmtId="0" fontId="62" fillId="0" borderId="119" xfId="131" applyFont="1" applyFill="1" applyBorder="1" applyAlignment="1">
      <alignment horizontal="center" vertical="center"/>
    </xf>
    <xf numFmtId="0" fontId="62" fillId="0" borderId="120" xfId="131" applyFont="1" applyFill="1" applyBorder="1" applyAlignment="1">
      <alignment horizontal="left" vertical="center"/>
    </xf>
    <xf numFmtId="177" fontId="62" fillId="0" borderId="101" xfId="131" applyNumberFormat="1" applyFont="1" applyFill="1" applyBorder="1" applyAlignment="1">
      <alignment horizontal="center" vertical="center"/>
    </xf>
    <xf numFmtId="166" fontId="62" fillId="0" borderId="0" xfId="131" applyNumberFormat="1" applyFont="1" applyFill="1" applyAlignment="1">
      <alignment vertical="center"/>
    </xf>
    <xf numFmtId="177" fontId="62" fillId="0" borderId="102" xfId="64" applyNumberFormat="1" applyFont="1" applyFill="1" applyBorder="1" applyAlignment="1">
      <alignment vertical="center"/>
    </xf>
    <xf numFmtId="0" fontId="62" fillId="0" borderId="103" xfId="131" applyFont="1" applyFill="1" applyBorder="1" applyAlignment="1">
      <alignment horizontal="center" vertical="center"/>
    </xf>
    <xf numFmtId="0" fontId="62" fillId="0" borderId="4" xfId="131" applyFont="1" applyFill="1" applyBorder="1" applyAlignment="1">
      <alignment horizontal="center" vertical="center"/>
    </xf>
    <xf numFmtId="0" fontId="62" fillId="0" borderId="6" xfId="131" applyFont="1" applyFill="1" applyBorder="1" applyAlignment="1">
      <alignment horizontal="left" vertical="center"/>
    </xf>
    <xf numFmtId="177" fontId="62" fillId="0" borderId="55" xfId="64" applyNumberFormat="1" applyFont="1" applyFill="1" applyBorder="1" applyAlignment="1">
      <alignment vertical="center"/>
    </xf>
    <xf numFmtId="166" fontId="63" fillId="0" borderId="0" xfId="131" applyNumberFormat="1" applyFont="1" applyFill="1"/>
    <xf numFmtId="0" fontId="62" fillId="0" borderId="105" xfId="131" applyFont="1" applyFill="1" applyBorder="1" applyAlignment="1">
      <alignment horizontal="center" vertical="center"/>
    </xf>
    <xf numFmtId="0" fontId="62" fillId="0" borderId="123" xfId="131" applyFont="1" applyFill="1" applyBorder="1" applyAlignment="1">
      <alignment horizontal="center" vertical="center"/>
    </xf>
    <xf numFmtId="175" fontId="62" fillId="0" borderId="106" xfId="2" applyNumberFormat="1" applyFont="1" applyFill="1" applyBorder="1" applyAlignment="1">
      <alignment vertical="center"/>
    </xf>
    <xf numFmtId="0" fontId="62" fillId="0" borderId="107" xfId="131" applyFont="1" applyFill="1" applyBorder="1" applyAlignment="1">
      <alignment horizontal="center" vertical="center"/>
    </xf>
    <xf numFmtId="0" fontId="62" fillId="0" borderId="80" xfId="131" applyFont="1" applyFill="1" applyBorder="1" applyAlignment="1">
      <alignment horizontal="center" vertical="center"/>
    </xf>
    <xf numFmtId="175" fontId="62" fillId="0" borderId="108" xfId="2" applyNumberFormat="1" applyFont="1" applyFill="1" applyBorder="1" applyAlignment="1">
      <alignment vertical="center"/>
    </xf>
    <xf numFmtId="166" fontId="63" fillId="0" borderId="0" xfId="1" applyFont="1" applyFill="1"/>
    <xf numFmtId="0" fontId="62" fillId="0" borderId="0" xfId="131" applyFont="1" applyFill="1" applyBorder="1" applyAlignment="1">
      <alignment vertical="center"/>
    </xf>
    <xf numFmtId="0" fontId="62" fillId="0" borderId="109" xfId="131" applyFont="1" applyFill="1" applyBorder="1" applyAlignment="1">
      <alignment horizontal="center" vertical="center"/>
    </xf>
    <xf numFmtId="0" fontId="62" fillId="0" borderId="125" xfId="131" applyFont="1" applyFill="1" applyBorder="1" applyAlignment="1">
      <alignment horizontal="center" vertical="center"/>
    </xf>
    <xf numFmtId="175" fontId="62" fillId="0" borderId="110" xfId="2" applyNumberFormat="1" applyFont="1" applyFill="1" applyBorder="1" applyAlignment="1">
      <alignment vertical="center"/>
    </xf>
    <xf numFmtId="0" fontId="63" fillId="0" borderId="0" xfId="131" applyFont="1" applyFill="1" applyBorder="1"/>
    <xf numFmtId="196" fontId="63" fillId="0" borderId="0" xfId="2" applyNumberFormat="1" applyFont="1" applyFill="1"/>
    <xf numFmtId="165" fontId="63" fillId="0" borderId="0" xfId="2" applyFont="1" applyFill="1"/>
    <xf numFmtId="0" fontId="63" fillId="0" borderId="0" xfId="131" applyFont="1" applyFill="1" applyAlignment="1">
      <alignment horizontal="right"/>
    </xf>
    <xf numFmtId="43" fontId="63" fillId="0" borderId="0" xfId="131" applyNumberFormat="1" applyFont="1" applyFill="1"/>
    <xf numFmtId="0" fontId="74" fillId="0" borderId="209" xfId="184" applyFont="1" applyBorder="1" applyAlignment="1">
      <alignment horizontal="center" vertical="center"/>
    </xf>
    <xf numFmtId="0" fontId="75" fillId="0" borderId="210" xfId="184" applyFont="1" applyBorder="1" applyAlignment="1">
      <alignment vertical="center"/>
    </xf>
    <xf numFmtId="165" fontId="75" fillId="0" borderId="210" xfId="2" applyFont="1" applyFill="1" applyBorder="1" applyAlignment="1" applyProtection="1">
      <alignment vertical="center"/>
    </xf>
    <xf numFmtId="0" fontId="75" fillId="0" borderId="211" xfId="184" applyFont="1" applyBorder="1" applyAlignment="1">
      <alignment vertical="center"/>
    </xf>
    <xf numFmtId="0" fontId="63" fillId="0" borderId="0" xfId="131" applyFont="1"/>
    <xf numFmtId="0" fontId="75" fillId="0" borderId="114" xfId="184" applyFont="1" applyBorder="1" applyAlignment="1">
      <alignment horizontal="center" vertical="center"/>
    </xf>
    <xf numFmtId="0" fontId="75" fillId="0" borderId="0" xfId="184" applyFont="1" applyAlignment="1">
      <alignment vertical="center"/>
    </xf>
    <xf numFmtId="165" fontId="75" fillId="0" borderId="0" xfId="2" applyFont="1" applyFill="1" applyBorder="1" applyAlignment="1" applyProtection="1">
      <alignment vertical="center"/>
    </xf>
    <xf numFmtId="0" fontId="75" fillId="0" borderId="49" xfId="184" applyFont="1" applyBorder="1" applyAlignment="1">
      <alignment vertical="center"/>
    </xf>
    <xf numFmtId="0" fontId="75" fillId="0" borderId="0" xfId="184" applyFont="1" applyAlignment="1" applyProtection="1">
      <alignment vertical="center"/>
      <protection locked="0"/>
    </xf>
    <xf numFmtId="0" fontId="62" fillId="0" borderId="115" xfId="184" applyFont="1" applyBorder="1" applyAlignment="1">
      <alignment horizontal="left" vertical="center"/>
    </xf>
    <xf numFmtId="0" fontId="75" fillId="0" borderId="116" xfId="184" applyFont="1" applyBorder="1" applyAlignment="1">
      <alignment vertical="center"/>
    </xf>
    <xf numFmtId="165" fontId="75" fillId="0" borderId="116" xfId="2" applyFont="1" applyFill="1" applyBorder="1" applyAlignment="1" applyProtection="1">
      <alignment vertical="center"/>
    </xf>
    <xf numFmtId="0" fontId="77" fillId="0" borderId="212" xfId="184" applyFont="1" applyBorder="1" applyAlignment="1">
      <alignment vertical="center"/>
    </xf>
    <xf numFmtId="0" fontId="75" fillId="0" borderId="213" xfId="184" applyFont="1" applyBorder="1" applyAlignment="1">
      <alignment vertical="center"/>
    </xf>
    <xf numFmtId="165" fontId="77" fillId="0" borderId="0" xfId="2" applyFont="1" applyFill="1" applyBorder="1" applyAlignment="1" applyProtection="1">
      <alignment horizontal="fill" vertical="center"/>
    </xf>
    <xf numFmtId="0" fontId="77" fillId="0" borderId="86" xfId="184" applyFont="1" applyBorder="1" applyAlignment="1">
      <alignment vertical="center"/>
    </xf>
    <xf numFmtId="0" fontId="75" fillId="0" borderId="88" xfId="184" applyFont="1" applyBorder="1" applyAlignment="1">
      <alignment vertical="center"/>
    </xf>
    <xf numFmtId="165" fontId="75" fillId="0" borderId="0" xfId="2" applyFont="1" applyFill="1" applyBorder="1" applyAlignment="1" applyProtection="1">
      <alignment horizontal="fill" vertical="center"/>
    </xf>
    <xf numFmtId="0" fontId="77" fillId="0" borderId="114" xfId="184" applyFont="1" applyBorder="1" applyAlignment="1">
      <alignment horizontal="center" vertical="center"/>
    </xf>
    <xf numFmtId="0" fontId="77" fillId="0" borderId="0" xfId="184" applyFont="1" applyAlignment="1">
      <alignment horizontal="fill" vertical="center"/>
    </xf>
    <xf numFmtId="0" fontId="75" fillId="0" borderId="91" xfId="184" applyFont="1" applyBorder="1" applyAlignment="1">
      <alignment vertical="center"/>
    </xf>
    <xf numFmtId="0" fontId="75" fillId="0" borderId="94" xfId="184" applyFont="1" applyBorder="1" applyAlignment="1">
      <alignment vertical="center"/>
    </xf>
    <xf numFmtId="0" fontId="75" fillId="0" borderId="67" xfId="184" applyFont="1" applyBorder="1" applyAlignment="1">
      <alignment vertical="center"/>
    </xf>
    <xf numFmtId="0" fontId="75" fillId="0" borderId="95" xfId="184" applyFont="1" applyBorder="1" applyAlignment="1">
      <alignment vertical="center"/>
    </xf>
    <xf numFmtId="0" fontId="75" fillId="0" borderId="96" xfId="184" applyFont="1" applyBorder="1" applyAlignment="1">
      <alignment vertical="center"/>
    </xf>
    <xf numFmtId="0" fontId="75" fillId="0" borderId="97" xfId="184" applyFont="1" applyBorder="1" applyAlignment="1">
      <alignment vertical="center"/>
    </xf>
    <xf numFmtId="165" fontId="75" fillId="0" borderId="0" xfId="2" applyFont="1" applyFill="1" applyBorder="1" applyAlignment="1" applyProtection="1">
      <alignment horizontal="center" vertical="center"/>
    </xf>
    <xf numFmtId="0" fontId="75" fillId="0" borderId="93" xfId="184" applyFont="1" applyBorder="1" applyAlignment="1">
      <alignment vertical="center"/>
    </xf>
    <xf numFmtId="165" fontId="75" fillId="0" borderId="93" xfId="2" applyFont="1" applyFill="1" applyBorder="1" applyAlignment="1" applyProtection="1">
      <alignment vertical="center"/>
    </xf>
    <xf numFmtId="0" fontId="75" fillId="0" borderId="77" xfId="184" applyFont="1" applyBorder="1" applyAlignment="1">
      <alignment vertical="center"/>
    </xf>
    <xf numFmtId="165" fontId="75" fillId="0" borderId="77" xfId="2" applyFont="1" applyFill="1" applyBorder="1" applyAlignment="1" applyProtection="1">
      <alignment vertical="center"/>
    </xf>
    <xf numFmtId="0" fontId="75" fillId="0" borderId="111" xfId="184" applyFont="1" applyBorder="1" applyAlignment="1">
      <alignment horizontal="center" vertical="center"/>
    </xf>
    <xf numFmtId="0" fontId="75" fillId="0" borderId="112" xfId="184" applyFont="1" applyBorder="1" applyAlignment="1">
      <alignment vertical="center"/>
    </xf>
    <xf numFmtId="165" fontId="75" fillId="0" borderId="112" xfId="2" applyFont="1" applyFill="1" applyBorder="1" applyAlignment="1">
      <alignment vertical="center"/>
    </xf>
    <xf numFmtId="0" fontId="75" fillId="0" borderId="113" xfId="184" applyFont="1" applyBorder="1" applyAlignment="1">
      <alignment vertical="center"/>
    </xf>
    <xf numFmtId="0" fontId="63" fillId="0" borderId="0" xfId="0" applyFont="1" applyAlignment="1">
      <alignment horizontal="center" vertical="center"/>
    </xf>
    <xf numFmtId="0" fontId="63" fillId="0" borderId="0" xfId="0" applyFont="1" applyAlignment="1">
      <alignment vertical="center"/>
    </xf>
    <xf numFmtId="165" fontId="63" fillId="0" borderId="0" xfId="2" applyFont="1" applyFill="1" applyAlignment="1">
      <alignment vertical="center"/>
    </xf>
    <xf numFmtId="172" fontId="63" fillId="0" borderId="0" xfId="43" applyNumberFormat="1" applyFont="1" applyFill="1" applyAlignment="1">
      <alignment vertical="center"/>
    </xf>
    <xf numFmtId="0" fontId="63" fillId="0" borderId="0" xfId="0" applyNumberFormat="1" applyFont="1" applyFill="1" applyAlignment="1">
      <alignment vertical="center"/>
    </xf>
    <xf numFmtId="0" fontId="63" fillId="0" borderId="0" xfId="0" applyNumberFormat="1" applyFont="1" applyFill="1" applyAlignment="1">
      <alignment horizontal="center" vertical="center"/>
    </xf>
    <xf numFmtId="0" fontId="63" fillId="0" borderId="0" xfId="0" applyFont="1" applyFill="1" applyAlignment="1">
      <alignment vertical="center"/>
    </xf>
    <xf numFmtId="166" fontId="62" fillId="0" borderId="0" xfId="1" applyFont="1" applyFill="1" applyAlignment="1">
      <alignment vertical="center"/>
    </xf>
    <xf numFmtId="166" fontId="75" fillId="0" borderId="210" xfId="1" applyFont="1" applyBorder="1" applyAlignment="1">
      <alignment vertical="center"/>
    </xf>
    <xf numFmtId="166" fontId="75" fillId="0" borderId="0" xfId="1" applyFont="1" applyAlignment="1">
      <alignment vertical="center"/>
    </xf>
    <xf numFmtId="166" fontId="75" fillId="0" borderId="0" xfId="1" applyFont="1" applyAlignment="1" applyProtection="1">
      <alignment vertical="center"/>
      <protection locked="0"/>
    </xf>
    <xf numFmtId="166" fontId="75" fillId="0" borderId="116" xfId="1" applyFont="1" applyBorder="1" applyAlignment="1">
      <alignment vertical="center"/>
    </xf>
    <xf numFmtId="166" fontId="75" fillId="0" borderId="213" xfId="1" applyFont="1" applyBorder="1" applyAlignment="1">
      <alignment vertical="center"/>
    </xf>
    <xf numFmtId="166" fontId="75" fillId="0" borderId="88" xfId="1" applyFont="1" applyBorder="1" applyAlignment="1">
      <alignment vertical="center"/>
    </xf>
    <xf numFmtId="166" fontId="77" fillId="0" borderId="0" xfId="1" applyFont="1" applyAlignment="1">
      <alignment horizontal="fill" vertical="center"/>
    </xf>
    <xf numFmtId="166" fontId="75" fillId="0" borderId="93" xfId="1" applyFont="1" applyBorder="1" applyAlignment="1">
      <alignment vertical="center"/>
    </xf>
    <xf numFmtId="166" fontId="75" fillId="0" borderId="77" xfId="1" applyFont="1" applyBorder="1" applyAlignment="1">
      <alignment vertical="center"/>
    </xf>
    <xf numFmtId="166" fontId="75" fillId="0" borderId="112" xfId="1" applyFont="1" applyBorder="1" applyAlignment="1">
      <alignment vertical="center"/>
    </xf>
    <xf numFmtId="166" fontId="63" fillId="0" borderId="0" xfId="1" applyFont="1" applyAlignment="1">
      <alignment vertical="center"/>
    </xf>
    <xf numFmtId="0" fontId="80" fillId="0" borderId="0" xfId="132" applyFont="1" applyFill="1" applyAlignment="1">
      <alignment vertical="center"/>
    </xf>
    <xf numFmtId="0" fontId="80" fillId="0" borderId="0" xfId="132" applyNumberFormat="1" applyFont="1" applyFill="1" applyBorder="1" applyAlignment="1">
      <alignment vertical="center"/>
    </xf>
    <xf numFmtId="0" fontId="63" fillId="2" borderId="0" xfId="126" applyFont="1" applyFill="1" applyAlignment="1">
      <alignment horizontal="center" vertical="center"/>
    </xf>
    <xf numFmtId="0" fontId="82" fillId="2" borderId="0" xfId="126" applyFont="1" applyFill="1" applyAlignment="1">
      <alignment horizontal="center" vertical="center"/>
    </xf>
    <xf numFmtId="0" fontId="82" fillId="2" borderId="0" xfId="126" applyFont="1" applyFill="1" applyAlignment="1">
      <alignment horizontal="left" vertical="center"/>
    </xf>
    <xf numFmtId="166" fontId="82" fillId="2" borderId="0" xfId="62" applyFont="1" applyFill="1" applyAlignment="1">
      <alignment horizontal="center" vertical="center"/>
    </xf>
    <xf numFmtId="4" fontId="83" fillId="2" borderId="0" xfId="110" applyNumberFormat="1" applyFont="1" applyFill="1" applyAlignment="1" applyProtection="1">
      <alignment vertical="center"/>
    </xf>
    <xf numFmtId="186" fontId="82" fillId="2" borderId="0" xfId="126" applyNumberFormat="1" applyFont="1" applyFill="1" applyAlignment="1">
      <alignment horizontal="left" vertical="center"/>
    </xf>
    <xf numFmtId="0" fontId="82" fillId="2" borderId="0" xfId="126" applyFont="1" applyFill="1" applyAlignment="1">
      <alignment horizontal="right" vertical="center"/>
    </xf>
    <xf numFmtId="187" fontId="82" fillId="2" borderId="0" xfId="126" applyNumberFormat="1" applyFont="1" applyFill="1" applyAlignment="1">
      <alignment horizontal="left" vertical="center"/>
    </xf>
    <xf numFmtId="0" fontId="84" fillId="0" borderId="0" xfId="126" applyFont="1" applyAlignment="1">
      <alignment vertical="center"/>
    </xf>
    <xf numFmtId="0" fontId="63" fillId="0" borderId="0" xfId="126" applyFont="1" applyAlignment="1">
      <alignment vertical="center"/>
    </xf>
    <xf numFmtId="4" fontId="83" fillId="2" borderId="0" xfId="110" applyNumberFormat="1" applyFont="1" applyFill="1" applyAlignment="1" applyProtection="1">
      <alignment horizontal="left" vertical="center"/>
    </xf>
    <xf numFmtId="0" fontId="63" fillId="2" borderId="0" xfId="126" applyFont="1" applyFill="1" applyAlignment="1">
      <alignment vertical="center"/>
    </xf>
    <xf numFmtId="176" fontId="63" fillId="2" borderId="0" xfId="126" applyNumberFormat="1" applyFont="1" applyFill="1" applyAlignment="1">
      <alignment horizontal="left" vertical="center"/>
    </xf>
    <xf numFmtId="176" fontId="63" fillId="2" borderId="0" xfId="126" applyNumberFormat="1" applyFont="1" applyFill="1" applyAlignment="1">
      <alignment vertical="center"/>
    </xf>
    <xf numFmtId="183" fontId="63" fillId="2" borderId="0" xfId="126" applyNumberFormat="1" applyFont="1" applyFill="1" applyAlignment="1">
      <alignment horizontal="right" vertical="center"/>
    </xf>
    <xf numFmtId="166" fontId="63" fillId="2" borderId="0" xfId="126" applyNumberFormat="1" applyFont="1" applyFill="1" applyAlignment="1">
      <alignment vertical="center"/>
    </xf>
    <xf numFmtId="176" fontId="82" fillId="2" borderId="0" xfId="126" applyNumberFormat="1" applyFont="1" applyFill="1" applyAlignment="1">
      <alignment vertical="center"/>
    </xf>
    <xf numFmtId="166" fontId="82" fillId="2" borderId="0" xfId="62" applyFont="1" applyFill="1" applyAlignment="1">
      <alignment vertical="center"/>
    </xf>
    <xf numFmtId="4" fontId="82" fillId="2" borderId="0" xfId="126" applyNumberFormat="1" applyFont="1" applyFill="1" applyAlignment="1">
      <alignment vertical="center"/>
    </xf>
    <xf numFmtId="0" fontId="84" fillId="2" borderId="0" xfId="126" applyFont="1" applyFill="1" applyAlignment="1">
      <alignment vertical="center"/>
    </xf>
    <xf numFmtId="166" fontId="84" fillId="2" borderId="0" xfId="62" applyFont="1" applyFill="1" applyAlignment="1">
      <alignment vertical="center"/>
    </xf>
    <xf numFmtId="0" fontId="62" fillId="2" borderId="0" xfId="126" applyFont="1" applyFill="1" applyAlignment="1">
      <alignment horizontal="center" vertical="center"/>
    </xf>
    <xf numFmtId="166" fontId="63" fillId="0" borderId="0" xfId="126" applyNumberFormat="1" applyFont="1" applyAlignment="1">
      <alignment vertical="center"/>
    </xf>
    <xf numFmtId="166" fontId="82" fillId="2" borderId="0" xfId="62" applyFont="1" applyFill="1" applyAlignment="1">
      <alignment horizontal="right" vertical="center"/>
    </xf>
    <xf numFmtId="0" fontId="63" fillId="2" borderId="0" xfId="126" applyFont="1" applyFill="1" applyAlignment="1">
      <alignment horizontal="left" vertical="center"/>
    </xf>
    <xf numFmtId="176" fontId="62" fillId="0" borderId="51" xfId="183" applyNumberFormat="1" applyFont="1" applyBorder="1" applyAlignment="1">
      <alignment horizontal="center" vertical="center"/>
    </xf>
    <xf numFmtId="166" fontId="62" fillId="2" borderId="50" xfId="183" applyNumberFormat="1" applyFont="1" applyFill="1" applyBorder="1" applyAlignment="1">
      <alignment horizontal="center" vertical="center"/>
    </xf>
    <xf numFmtId="0" fontId="62" fillId="2" borderId="50" xfId="183" applyFont="1" applyFill="1" applyBorder="1" applyAlignment="1">
      <alignment horizontal="center" vertical="center"/>
    </xf>
    <xf numFmtId="176" fontId="82" fillId="2" borderId="0" xfId="183" applyNumberFormat="1" applyFont="1" applyFill="1" applyAlignment="1">
      <alignment horizontal="center" vertical="center"/>
    </xf>
    <xf numFmtId="176" fontId="62" fillId="0" borderId="52" xfId="183" applyNumberFormat="1" applyFont="1" applyBorder="1" applyAlignment="1">
      <alignment horizontal="center" vertical="center"/>
    </xf>
    <xf numFmtId="166" fontId="62" fillId="2" borderId="53" xfId="183" applyNumberFormat="1" applyFont="1" applyFill="1" applyBorder="1" applyAlignment="1">
      <alignment horizontal="center" vertical="center"/>
    </xf>
    <xf numFmtId="0" fontId="63" fillId="2" borderId="176" xfId="126" applyFont="1" applyFill="1" applyBorder="1" applyAlignment="1">
      <alignment horizontal="center" vertical="center"/>
    </xf>
    <xf numFmtId="176" fontId="62" fillId="2" borderId="117" xfId="180" applyNumberFormat="1" applyFont="1" applyFill="1" applyBorder="1" applyAlignment="1">
      <alignment horizontal="left" vertical="center"/>
    </xf>
    <xf numFmtId="176" fontId="62" fillId="2" borderId="118" xfId="180" applyNumberFormat="1" applyFont="1" applyFill="1" applyBorder="1" applyAlignment="1">
      <alignment vertical="center"/>
    </xf>
    <xf numFmtId="183" fontId="63" fillId="2" borderId="176" xfId="126" applyNumberFormat="1" applyFont="1" applyFill="1" applyBorder="1" applyAlignment="1">
      <alignment horizontal="right" vertical="center"/>
    </xf>
    <xf numFmtId="166" fontId="63" fillId="2" borderId="176" xfId="126" applyNumberFormat="1" applyFont="1" applyFill="1" applyBorder="1" applyAlignment="1">
      <alignment horizontal="center" vertical="center"/>
    </xf>
    <xf numFmtId="176" fontId="82" fillId="2" borderId="0" xfId="126" applyNumberFormat="1" applyFont="1" applyFill="1" applyAlignment="1">
      <alignment horizontal="center" vertical="center"/>
    </xf>
    <xf numFmtId="0" fontId="62" fillId="2" borderId="7" xfId="126" applyFont="1" applyFill="1" applyBorder="1" applyAlignment="1">
      <alignment horizontal="center" vertical="center"/>
    </xf>
    <xf numFmtId="176" fontId="62" fillId="2" borderId="4" xfId="180" applyNumberFormat="1" applyFont="1" applyFill="1" applyBorder="1" applyAlignment="1">
      <alignment horizontal="left" vertical="center"/>
    </xf>
    <xf numFmtId="176" fontId="62" fillId="2" borderId="6" xfId="180" applyNumberFormat="1" applyFont="1" applyFill="1" applyBorder="1" applyAlignment="1">
      <alignment horizontal="left" vertical="center"/>
    </xf>
    <xf numFmtId="0" fontId="63" fillId="2" borderId="7" xfId="126" applyFont="1" applyFill="1" applyBorder="1" applyAlignment="1">
      <alignment vertical="center"/>
    </xf>
    <xf numFmtId="183" fontId="63" fillId="2" borderId="7" xfId="126" applyNumberFormat="1" applyFont="1" applyFill="1" applyBorder="1" applyAlignment="1">
      <alignment horizontal="right" vertical="center"/>
    </xf>
    <xf numFmtId="166" fontId="63" fillId="2" borderId="7" xfId="126" applyNumberFormat="1" applyFont="1" applyFill="1" applyBorder="1" applyAlignment="1">
      <alignment vertical="center"/>
    </xf>
    <xf numFmtId="188" fontId="63" fillId="0" borderId="7" xfId="183" applyNumberFormat="1" applyFont="1" applyBorder="1" applyAlignment="1">
      <alignment horizontal="center" vertical="center"/>
    </xf>
    <xf numFmtId="176" fontId="63" fillId="0" borderId="4" xfId="180" applyNumberFormat="1" applyFont="1" applyBorder="1" applyAlignment="1">
      <alignment horizontal="left" vertical="center"/>
    </xf>
    <xf numFmtId="176" fontId="63" fillId="0" borderId="6" xfId="180" applyNumberFormat="1" applyFont="1" applyBorder="1" applyAlignment="1">
      <alignment horizontal="left" vertical="center"/>
    </xf>
    <xf numFmtId="0" fontId="63" fillId="0" borderId="7" xfId="126" applyFont="1" applyBorder="1" applyAlignment="1">
      <alignment horizontal="center" vertical="center"/>
    </xf>
    <xf numFmtId="166" fontId="63" fillId="0" borderId="7" xfId="126" applyNumberFormat="1" applyFont="1" applyBorder="1" applyAlignment="1">
      <alignment vertical="center"/>
    </xf>
    <xf numFmtId="166" fontId="63" fillId="0" borderId="7" xfId="62" applyFont="1" applyFill="1" applyBorder="1" applyAlignment="1">
      <alignment vertical="center"/>
    </xf>
    <xf numFmtId="176" fontId="82" fillId="0" borderId="0" xfId="126" applyNumberFormat="1" applyFont="1" applyAlignment="1">
      <alignment vertical="center"/>
    </xf>
    <xf numFmtId="0" fontId="63" fillId="0" borderId="4" xfId="0" applyFont="1" applyBorder="1" applyAlignment="1" applyProtection="1">
      <alignment horizontal="left" vertical="top"/>
      <protection hidden="1"/>
    </xf>
    <xf numFmtId="176" fontId="85" fillId="0" borderId="6" xfId="180" applyNumberFormat="1" applyFont="1" applyBorder="1" applyAlignment="1">
      <alignment horizontal="left" vertical="center"/>
    </xf>
    <xf numFmtId="0" fontId="85" fillId="0" borderId="7" xfId="126" applyFont="1" applyBorder="1" applyAlignment="1">
      <alignment horizontal="center" vertical="center"/>
    </xf>
    <xf numFmtId="176" fontId="85" fillId="0" borderId="4" xfId="126" applyNumberFormat="1" applyFont="1" applyBorder="1" applyAlignment="1">
      <alignment horizontal="left" vertical="center"/>
    </xf>
    <xf numFmtId="176" fontId="85" fillId="0" borderId="6" xfId="126" applyNumberFormat="1" applyFont="1" applyBorder="1" applyAlignment="1">
      <alignment horizontal="left" vertical="center"/>
    </xf>
    <xf numFmtId="0" fontId="85" fillId="0" borderId="7" xfId="126" applyFont="1" applyBorder="1" applyAlignment="1">
      <alignment vertical="center"/>
    </xf>
    <xf numFmtId="166" fontId="85" fillId="0" borderId="7" xfId="126" applyNumberFormat="1" applyFont="1" applyBorder="1" applyAlignment="1">
      <alignment horizontal="right" vertical="center"/>
    </xf>
    <xf numFmtId="166" fontId="85" fillId="0" borderId="7" xfId="62" applyFont="1" applyFill="1" applyBorder="1" applyAlignment="1">
      <alignment vertical="center"/>
    </xf>
    <xf numFmtId="166" fontId="85" fillId="2" borderId="7" xfId="126" applyNumberFormat="1" applyFont="1" applyFill="1" applyBorder="1" applyAlignment="1">
      <alignment vertical="center"/>
    </xf>
    <xf numFmtId="0" fontId="62" fillId="0" borderId="7" xfId="126" applyFont="1" applyBorder="1" applyAlignment="1">
      <alignment horizontal="center" vertical="center"/>
    </xf>
    <xf numFmtId="176" fontId="62" fillId="0" borderId="4" xfId="180" applyNumberFormat="1" applyFont="1" applyBorder="1" applyAlignment="1">
      <alignment horizontal="left" vertical="center"/>
    </xf>
    <xf numFmtId="176" fontId="62" fillId="0" borderId="6" xfId="180" applyNumberFormat="1" applyFont="1" applyBorder="1" applyAlignment="1">
      <alignment horizontal="left" vertical="center"/>
    </xf>
    <xf numFmtId="0" fontId="63" fillId="0" borderId="7" xfId="126" applyFont="1" applyBorder="1" applyAlignment="1">
      <alignment vertical="center"/>
    </xf>
    <xf numFmtId="166" fontId="63" fillId="0" borderId="7" xfId="126" applyNumberFormat="1" applyFont="1" applyBorder="1" applyAlignment="1">
      <alignment horizontal="right" vertical="center"/>
    </xf>
    <xf numFmtId="175" fontId="63" fillId="0" borderId="7" xfId="2" applyNumberFormat="1" applyFont="1" applyFill="1" applyBorder="1" applyAlignment="1">
      <alignment vertical="center"/>
    </xf>
    <xf numFmtId="0" fontId="63" fillId="0" borderId="7" xfId="0" applyFont="1" applyBorder="1" applyAlignment="1">
      <alignment horizontal="center"/>
    </xf>
    <xf numFmtId="175" fontId="63" fillId="0" borderId="7" xfId="2" applyNumberFormat="1" applyFont="1" applyBorder="1" applyAlignment="1">
      <alignment horizontal="center"/>
    </xf>
    <xf numFmtId="188" fontId="63" fillId="0" borderId="7" xfId="183" applyNumberFormat="1" applyFont="1" applyBorder="1" applyAlignment="1">
      <alignment horizontal="center" vertical="top"/>
    </xf>
    <xf numFmtId="176" fontId="63" fillId="0" borderId="6" xfId="180" applyNumberFormat="1" applyFont="1" applyBorder="1" applyAlignment="1">
      <alignment horizontal="left" vertical="center" wrapText="1"/>
    </xf>
    <xf numFmtId="166" fontId="63" fillId="0" borderId="7" xfId="126" applyNumberFormat="1" applyFont="1" applyBorder="1" applyAlignment="1">
      <alignment horizontal="right" vertical="top"/>
    </xf>
    <xf numFmtId="166" fontId="63" fillId="2" borderId="7" xfId="126" applyNumberFormat="1" applyFont="1" applyFill="1" applyBorder="1" applyAlignment="1">
      <alignment vertical="top"/>
    </xf>
    <xf numFmtId="0" fontId="63" fillId="0" borderId="0" xfId="126" applyFont="1" applyAlignment="1">
      <alignment horizontal="center" vertical="center"/>
    </xf>
    <xf numFmtId="0" fontId="63" fillId="0" borderId="4" xfId="0" quotePrefix="1" applyFont="1" applyBorder="1" applyAlignment="1" applyProtection="1">
      <alignment horizontal="left" vertical="top"/>
      <protection hidden="1"/>
    </xf>
    <xf numFmtId="176" fontId="63" fillId="0" borderId="6" xfId="126" applyNumberFormat="1" applyFont="1" applyBorder="1" applyAlignment="1">
      <alignment horizontal="left" vertical="center"/>
    </xf>
    <xf numFmtId="176" fontId="63" fillId="2" borderId="6" xfId="180" applyNumberFormat="1" applyFont="1" applyFill="1" applyBorder="1" applyAlignment="1">
      <alignment horizontal="left" vertical="center"/>
    </xf>
    <xf numFmtId="166" fontId="63" fillId="2" borderId="7" xfId="180" applyNumberFormat="1" applyFont="1" applyFill="1" applyBorder="1" applyAlignment="1">
      <alignment horizontal="left" vertical="center"/>
    </xf>
    <xf numFmtId="176" fontId="63" fillId="2" borderId="6" xfId="126" applyNumberFormat="1" applyFont="1" applyFill="1" applyBorder="1" applyAlignment="1">
      <alignment horizontal="left" vertical="center"/>
    </xf>
    <xf numFmtId="166" fontId="63" fillId="2" borderId="7" xfId="126" applyNumberFormat="1" applyFont="1" applyFill="1" applyBorder="1" applyAlignment="1">
      <alignment horizontal="right" vertical="center"/>
    </xf>
    <xf numFmtId="188" fontId="63" fillId="0" borderId="34" xfId="183" applyNumberFormat="1" applyFont="1" applyBorder="1" applyAlignment="1">
      <alignment horizontal="center" vertical="center"/>
    </xf>
    <xf numFmtId="176" fontId="63" fillId="2" borderId="165" xfId="126" applyNumberFormat="1" applyFont="1" applyFill="1" applyBorder="1" applyAlignment="1">
      <alignment horizontal="left" vertical="center"/>
    </xf>
    <xf numFmtId="0" fontId="63" fillId="0" borderId="34" xfId="126" applyFont="1" applyBorder="1" applyAlignment="1">
      <alignment horizontal="center" vertical="center"/>
    </xf>
    <xf numFmtId="166" fontId="63" fillId="2" borderId="34" xfId="126" applyNumberFormat="1" applyFont="1" applyFill="1" applyBorder="1" applyAlignment="1">
      <alignment horizontal="right" vertical="center"/>
    </xf>
    <xf numFmtId="166" fontId="63" fillId="0" borderId="34" xfId="62" applyFont="1" applyFill="1" applyBorder="1" applyAlignment="1">
      <alignment vertical="center"/>
    </xf>
    <xf numFmtId="166" fontId="63" fillId="2" borderId="34" xfId="126" applyNumberFormat="1" applyFont="1" applyFill="1" applyBorder="1" applyAlignment="1">
      <alignment vertical="center"/>
    </xf>
    <xf numFmtId="166" fontId="82" fillId="0" borderId="0" xfId="62" applyFont="1" applyBorder="1" applyAlignment="1">
      <alignment vertical="center"/>
    </xf>
    <xf numFmtId="4" fontId="82" fillId="0" borderId="0" xfId="126" applyNumberFormat="1" applyFont="1" applyAlignment="1">
      <alignment vertical="center"/>
    </xf>
    <xf numFmtId="166" fontId="84" fillId="0" borderId="0" xfId="62" applyFont="1" applyBorder="1" applyAlignment="1">
      <alignment vertical="center"/>
    </xf>
    <xf numFmtId="176" fontId="62" fillId="2" borderId="4" xfId="126" applyNumberFormat="1" applyFont="1" applyFill="1" applyBorder="1" applyAlignment="1">
      <alignment horizontal="left" vertical="center"/>
    </xf>
    <xf numFmtId="176" fontId="62" fillId="2" borderId="5" xfId="126" applyNumberFormat="1" applyFont="1" applyFill="1" applyBorder="1" applyAlignment="1">
      <alignment horizontal="left" vertical="center"/>
    </xf>
    <xf numFmtId="176" fontId="63" fillId="2" borderId="5" xfId="126" applyNumberFormat="1" applyFont="1" applyFill="1" applyBorder="1" applyAlignment="1">
      <alignment horizontal="left" vertical="center"/>
    </xf>
    <xf numFmtId="0" fontId="63" fillId="2" borderId="7" xfId="126" applyFont="1" applyFill="1" applyBorder="1" applyAlignment="1">
      <alignment horizontal="center" vertical="center"/>
    </xf>
    <xf numFmtId="0" fontId="82" fillId="2" borderId="0" xfId="183" applyFont="1" applyFill="1" applyAlignment="1">
      <alignment horizontal="left" vertical="center"/>
    </xf>
    <xf numFmtId="0" fontId="62" fillId="2" borderId="34" xfId="126" applyFont="1" applyFill="1" applyBorder="1" applyAlignment="1">
      <alignment horizontal="center" vertical="center"/>
    </xf>
    <xf numFmtId="0" fontId="63" fillId="2" borderId="34" xfId="126" applyFont="1" applyFill="1" applyBorder="1" applyAlignment="1">
      <alignment vertical="center"/>
    </xf>
    <xf numFmtId="166" fontId="63" fillId="2" borderId="34" xfId="126" applyNumberFormat="1" applyFont="1" applyFill="1" applyBorder="1" applyAlignment="1">
      <alignment vertical="top"/>
    </xf>
    <xf numFmtId="0" fontId="63" fillId="0" borderId="4" xfId="0" applyFont="1" applyBorder="1" applyAlignment="1">
      <alignment horizontal="left" vertical="center" wrapText="1"/>
    </xf>
    <xf numFmtId="0" fontId="63" fillId="0" borderId="5" xfId="0" applyFont="1" applyBorder="1" applyAlignment="1">
      <alignment horizontal="left" vertical="center" wrapText="1"/>
    </xf>
    <xf numFmtId="176" fontId="63" fillId="2" borderId="4" xfId="126" applyNumberFormat="1" applyFont="1" applyFill="1" applyBorder="1" applyAlignment="1">
      <alignment horizontal="left" vertical="center"/>
    </xf>
    <xf numFmtId="0" fontId="63" fillId="2" borderId="4" xfId="126" applyFont="1" applyFill="1" applyBorder="1" applyAlignment="1">
      <alignment horizontal="left" vertical="center"/>
    </xf>
    <xf numFmtId="188" fontId="62" fillId="0" borderId="7" xfId="183" applyNumberFormat="1" applyFont="1" applyBorder="1" applyAlignment="1">
      <alignment horizontal="center" vertical="top"/>
    </xf>
    <xf numFmtId="175" fontId="63" fillId="2" borderId="7" xfId="2" applyNumberFormat="1" applyFont="1" applyFill="1" applyBorder="1" applyAlignment="1">
      <alignment horizontal="center" vertical="center"/>
    </xf>
    <xf numFmtId="0" fontId="63" fillId="2" borderId="5" xfId="126" applyFont="1" applyFill="1" applyBorder="1" applyAlignment="1">
      <alignment horizontal="left" vertical="center"/>
    </xf>
    <xf numFmtId="0" fontId="63" fillId="2" borderId="5" xfId="126" applyFont="1" applyFill="1" applyBorder="1" applyAlignment="1">
      <alignment vertical="center"/>
    </xf>
    <xf numFmtId="0" fontId="63" fillId="2" borderId="36" xfId="126" applyFont="1" applyFill="1" applyBorder="1" applyAlignment="1">
      <alignment vertical="center"/>
    </xf>
    <xf numFmtId="0" fontId="63" fillId="2" borderId="185" xfId="126" applyFont="1" applyFill="1" applyBorder="1" applyAlignment="1">
      <alignment horizontal="left" vertical="center"/>
    </xf>
    <xf numFmtId="0" fontId="63" fillId="2" borderId="185" xfId="126" applyFont="1" applyFill="1" applyBorder="1" applyAlignment="1">
      <alignment vertical="center"/>
    </xf>
    <xf numFmtId="0" fontId="63" fillId="2" borderId="36" xfId="126" applyFont="1" applyFill="1" applyBorder="1" applyAlignment="1">
      <alignment horizontal="center" vertical="center"/>
    </xf>
    <xf numFmtId="0" fontId="63" fillId="2" borderId="78" xfId="126" applyFont="1" applyFill="1" applyBorder="1" applyAlignment="1">
      <alignment vertical="center"/>
    </xf>
    <xf numFmtId="0" fontId="63" fillId="2" borderId="82" xfId="126" applyFont="1" applyFill="1" applyBorder="1" applyAlignment="1">
      <alignment horizontal="left" vertical="center"/>
    </xf>
    <xf numFmtId="0" fontId="63" fillId="2" borderId="82" xfId="126" applyFont="1" applyFill="1" applyBorder="1" applyAlignment="1">
      <alignment vertical="center"/>
    </xf>
    <xf numFmtId="0" fontId="62" fillId="2" borderId="82" xfId="126" applyFont="1" applyFill="1" applyBorder="1" applyAlignment="1">
      <alignment horizontal="center" vertical="center"/>
    </xf>
    <xf numFmtId="166" fontId="62" fillId="2" borderId="37" xfId="126" applyNumberFormat="1" applyFont="1" applyFill="1" applyBorder="1" applyAlignment="1">
      <alignment vertical="center"/>
    </xf>
    <xf numFmtId="0" fontId="63" fillId="2" borderId="0" xfId="126" applyFont="1" applyFill="1" applyBorder="1" applyAlignment="1">
      <alignment vertical="center"/>
    </xf>
    <xf numFmtId="0" fontId="63" fillId="2" borderId="0" xfId="126" applyFont="1" applyFill="1" applyBorder="1" applyAlignment="1">
      <alignment horizontal="left" vertical="center"/>
    </xf>
    <xf numFmtId="0" fontId="62" fillId="2" borderId="0" xfId="126" applyFont="1" applyFill="1" applyBorder="1" applyAlignment="1">
      <alignment horizontal="center" vertical="center"/>
    </xf>
    <xf numFmtId="166" fontId="62" fillId="2" borderId="0" xfId="126" applyNumberFormat="1" applyFont="1" applyFill="1" applyBorder="1" applyAlignment="1">
      <alignment vertical="center"/>
    </xf>
    <xf numFmtId="176" fontId="63" fillId="0" borderId="0" xfId="126" applyNumberFormat="1" applyFont="1" applyAlignment="1">
      <alignment horizontal="left" vertical="center"/>
    </xf>
    <xf numFmtId="176" fontId="63" fillId="0" borderId="0" xfId="126" applyNumberFormat="1" applyFont="1" applyAlignment="1">
      <alignment vertical="center"/>
    </xf>
    <xf numFmtId="183" fontId="63" fillId="0" borderId="0" xfId="126" applyNumberFormat="1" applyFont="1" applyAlignment="1">
      <alignment horizontal="right" vertical="center"/>
    </xf>
    <xf numFmtId="0" fontId="82" fillId="0" borderId="0" xfId="126" applyFont="1" applyAlignment="1">
      <alignment horizontal="left" vertical="center"/>
    </xf>
    <xf numFmtId="166" fontId="82" fillId="0" borderId="0" xfId="62" applyFont="1" applyAlignment="1">
      <alignment vertical="center"/>
    </xf>
    <xf numFmtId="166" fontId="84" fillId="0" borderId="0" xfId="62" applyFont="1" applyAlignment="1">
      <alignment vertical="center"/>
    </xf>
    <xf numFmtId="0" fontId="86" fillId="0" borderId="0" xfId="114" applyFont="1" applyBorder="1"/>
    <xf numFmtId="0" fontId="87" fillId="0" borderId="0" xfId="114" applyFont="1" applyBorder="1" applyAlignment="1">
      <alignment vertical="center"/>
    </xf>
    <xf numFmtId="9" fontId="86" fillId="0" borderId="0" xfId="114" applyNumberFormat="1" applyFont="1" applyBorder="1"/>
    <xf numFmtId="0" fontId="68" fillId="0" borderId="0" xfId="114" applyFont="1" applyFill="1" applyBorder="1" applyAlignment="1">
      <alignment horizontal="center" vertical="center"/>
    </xf>
    <xf numFmtId="0" fontId="68" fillId="0" borderId="0" xfId="114" applyFont="1" applyBorder="1" applyAlignment="1">
      <alignment horizontal="center" vertical="center"/>
    </xf>
    <xf numFmtId="183" fontId="68" fillId="0" borderId="0" xfId="1" applyNumberFormat="1" applyFont="1" applyBorder="1" applyAlignment="1">
      <alignment horizontal="center" vertical="center"/>
    </xf>
    <xf numFmtId="0" fontId="88" fillId="0" borderId="0" xfId="132" applyFont="1" applyFill="1" applyAlignment="1">
      <alignment vertical="center"/>
    </xf>
    <xf numFmtId="0" fontId="88" fillId="0" borderId="0" xfId="132" applyNumberFormat="1" applyFont="1" applyFill="1" applyBorder="1" applyAlignment="1">
      <alignment vertical="center"/>
    </xf>
    <xf numFmtId="0" fontId="88" fillId="0" borderId="174" xfId="132" applyNumberFormat="1" applyFont="1" applyFill="1" applyBorder="1" applyAlignment="1">
      <alignment vertical="center"/>
    </xf>
    <xf numFmtId="0" fontId="88" fillId="0" borderId="216" xfId="132" applyNumberFormat="1" applyFont="1" applyFill="1" applyBorder="1" applyAlignment="1">
      <alignment vertical="center"/>
    </xf>
    <xf numFmtId="0" fontId="68" fillId="0" borderId="174" xfId="114" applyFont="1" applyBorder="1" applyAlignment="1">
      <alignment horizontal="center" vertical="center"/>
    </xf>
    <xf numFmtId="183" fontId="68" fillId="0" borderId="174" xfId="1" applyNumberFormat="1" applyFont="1" applyBorder="1" applyAlignment="1">
      <alignment horizontal="center" vertical="center"/>
    </xf>
    <xf numFmtId="0" fontId="69" fillId="0" borderId="0" xfId="114" applyFont="1" applyFill="1" applyBorder="1" applyAlignment="1">
      <alignment vertical="center"/>
    </xf>
    <xf numFmtId="0" fontId="69" fillId="0" borderId="0" xfId="114" applyFont="1" applyBorder="1" applyAlignment="1">
      <alignment vertical="center"/>
    </xf>
    <xf numFmtId="183" fontId="69" fillId="0" borderId="0" xfId="1" applyNumberFormat="1" applyFont="1" applyBorder="1" applyAlignment="1">
      <alignment vertical="center"/>
    </xf>
    <xf numFmtId="0" fontId="68" fillId="0" borderId="0" xfId="114" applyFont="1" applyFill="1" applyBorder="1"/>
    <xf numFmtId="0" fontId="69" fillId="0" borderId="0" xfId="114" applyFont="1" applyFill="1" applyBorder="1"/>
    <xf numFmtId="183" fontId="68" fillId="0" borderId="0" xfId="1" applyNumberFormat="1" applyFont="1" applyFill="1" applyBorder="1" applyAlignment="1">
      <alignment horizontal="center"/>
    </xf>
    <xf numFmtId="168" fontId="68" fillId="0" borderId="0" xfId="114" applyNumberFormat="1" applyFont="1" applyFill="1" applyBorder="1"/>
    <xf numFmtId="177" fontId="68" fillId="0" borderId="0" xfId="114" applyNumberFormat="1" applyFont="1" applyFill="1" applyBorder="1"/>
    <xf numFmtId="0" fontId="69" fillId="0" borderId="0" xfId="114" applyFont="1" applyBorder="1"/>
    <xf numFmtId="0" fontId="68" fillId="0" borderId="0" xfId="114" applyFont="1" applyBorder="1"/>
    <xf numFmtId="183" fontId="68" fillId="0" borderId="0" xfId="1" applyNumberFormat="1" applyFont="1" applyBorder="1" applyAlignment="1">
      <alignment horizontal="center"/>
    </xf>
    <xf numFmtId="168" fontId="68" fillId="0" borderId="0" xfId="114" applyNumberFormat="1" applyFont="1" applyBorder="1"/>
    <xf numFmtId="177" fontId="68" fillId="0" borderId="0" xfId="114" applyNumberFormat="1" applyFont="1" applyBorder="1"/>
    <xf numFmtId="0" fontId="86" fillId="4" borderId="0" xfId="114" applyFont="1" applyFill="1" applyBorder="1"/>
    <xf numFmtId="0" fontId="68" fillId="0" borderId="0" xfId="114" applyFont="1" applyFill="1" applyBorder="1" applyAlignment="1">
      <alignment vertical="center" wrapText="1"/>
    </xf>
    <xf numFmtId="0" fontId="68" fillId="5" borderId="0" xfId="114" applyFont="1" applyFill="1" applyBorder="1" applyAlignment="1">
      <alignment horizontal="center" vertical="center" wrapText="1"/>
    </xf>
    <xf numFmtId="183" fontId="68" fillId="5" borderId="0" xfId="1" applyNumberFormat="1" applyFont="1" applyFill="1" applyBorder="1" applyAlignment="1">
      <alignment horizontal="center" vertical="center" wrapText="1"/>
    </xf>
    <xf numFmtId="168" fontId="68" fillId="5" borderId="0" xfId="114" applyNumberFormat="1" applyFont="1" applyFill="1" applyBorder="1" applyAlignment="1">
      <alignment horizontal="center" vertical="center" wrapText="1"/>
    </xf>
    <xf numFmtId="177" fontId="68" fillId="5" borderId="0" xfId="114" applyNumberFormat="1" applyFont="1" applyFill="1" applyBorder="1" applyAlignment="1">
      <alignment horizontal="center" vertical="center" wrapText="1"/>
    </xf>
    <xf numFmtId="0" fontId="68" fillId="0" borderId="0" xfId="114" applyFont="1" applyBorder="1" applyAlignment="1">
      <alignment horizontal="center"/>
    </xf>
    <xf numFmtId="0" fontId="68" fillId="0" borderId="0" xfId="0" applyFont="1" applyFill="1" applyBorder="1"/>
    <xf numFmtId="0" fontId="69" fillId="0" borderId="0" xfId="0" applyFont="1" applyFill="1" applyBorder="1"/>
    <xf numFmtId="0" fontId="69" fillId="0" borderId="0" xfId="0" applyFont="1" applyBorder="1"/>
    <xf numFmtId="178" fontId="69" fillId="0" borderId="0" xfId="0" applyNumberFormat="1" applyFont="1" applyBorder="1"/>
    <xf numFmtId="0" fontId="68" fillId="0" borderId="0" xfId="114" applyFont="1" applyBorder="1" applyAlignment="1">
      <alignment horizontal="left"/>
    </xf>
    <xf numFmtId="183" fontId="68" fillId="0" borderId="0" xfId="1" applyNumberFormat="1" applyFont="1" applyBorder="1" applyAlignment="1">
      <alignment horizontal="left"/>
    </xf>
    <xf numFmtId="0" fontId="68" fillId="0" borderId="0" xfId="114" applyFont="1" applyBorder="1" applyAlignment="1">
      <alignment wrapText="1"/>
    </xf>
    <xf numFmtId="0" fontId="68" fillId="4" borderId="0" xfId="114" applyFont="1" applyFill="1" applyBorder="1"/>
    <xf numFmtId="168" fontId="68" fillId="0" borderId="0" xfId="114" applyNumberFormat="1" applyFont="1" applyBorder="1" applyAlignment="1">
      <alignment horizontal="left"/>
    </xf>
    <xf numFmtId="183" fontId="67" fillId="0" borderId="0" xfId="1" applyNumberFormat="1" applyFont="1" applyBorder="1" applyAlignment="1">
      <alignment horizontal="center"/>
    </xf>
    <xf numFmtId="0" fontId="68" fillId="0" borderId="0" xfId="114" applyFont="1" applyBorder="1" applyAlignment="1"/>
    <xf numFmtId="0" fontId="86" fillId="0" borderId="0" xfId="114" applyFont="1" applyFill="1" applyBorder="1"/>
    <xf numFmtId="0" fontId="86" fillId="0" borderId="0" xfId="114" applyFont="1" applyBorder="1" applyAlignment="1">
      <alignment horizontal="left"/>
    </xf>
    <xf numFmtId="183" fontId="86" fillId="0" borderId="0" xfId="1" applyNumberFormat="1" applyFont="1" applyBorder="1" applyAlignment="1">
      <alignment horizontal="left"/>
    </xf>
    <xf numFmtId="177" fontId="86" fillId="0" borderId="0" xfId="114" applyNumberFormat="1" applyFont="1" applyBorder="1"/>
    <xf numFmtId="0" fontId="68" fillId="6" borderId="0" xfId="114" applyFont="1" applyFill="1" applyBorder="1" applyAlignment="1">
      <alignment horizontal="center" vertical="center" wrapText="1"/>
    </xf>
    <xf numFmtId="183" fontId="68" fillId="6" borderId="0" xfId="1" applyNumberFormat="1" applyFont="1" applyFill="1" applyBorder="1" applyAlignment="1">
      <alignment horizontal="center" vertical="center" wrapText="1"/>
    </xf>
    <xf numFmtId="168" fontId="68" fillId="6" borderId="0" xfId="114" applyNumberFormat="1" applyFont="1" applyFill="1" applyBorder="1" applyAlignment="1">
      <alignment horizontal="center" vertical="center" wrapText="1"/>
    </xf>
    <xf numFmtId="177" fontId="68" fillId="6" borderId="0" xfId="114" applyNumberFormat="1" applyFont="1" applyFill="1" applyBorder="1" applyAlignment="1">
      <alignment horizontal="center" vertical="center" wrapText="1"/>
    </xf>
    <xf numFmtId="0" fontId="68" fillId="0" borderId="0" xfId="114" applyFont="1" applyFill="1" applyBorder="1" applyAlignment="1">
      <alignment horizontal="center"/>
    </xf>
    <xf numFmtId="0" fontId="68" fillId="0" borderId="0" xfId="114" applyFont="1" applyFill="1" applyBorder="1" applyAlignment="1">
      <alignment wrapText="1"/>
    </xf>
    <xf numFmtId="0" fontId="68" fillId="0" borderId="0" xfId="114" applyFont="1" applyFill="1" applyBorder="1" applyAlignment="1"/>
    <xf numFmtId="178" fontId="69" fillId="0" borderId="0" xfId="0" applyNumberFormat="1" applyFont="1" applyFill="1" applyBorder="1"/>
    <xf numFmtId="0" fontId="69" fillId="0" borderId="0" xfId="114" applyFont="1" applyFill="1"/>
    <xf numFmtId="0" fontId="68" fillId="0" borderId="0" xfId="114" applyFont="1" applyFill="1" applyAlignment="1">
      <alignment vertical="center" wrapText="1"/>
    </xf>
    <xf numFmtId="0" fontId="68" fillId="0" borderId="0" xfId="114" applyFont="1" applyFill="1"/>
    <xf numFmtId="0" fontId="68" fillId="0" borderId="0" xfId="114" applyFont="1" applyFill="1" applyAlignment="1">
      <alignment vertical="center"/>
    </xf>
    <xf numFmtId="183" fontId="86" fillId="0" borderId="0" xfId="1" applyNumberFormat="1" applyFont="1" applyBorder="1" applyAlignment="1">
      <alignment horizontal="center"/>
    </xf>
    <xf numFmtId="168" fontId="86" fillId="0" borderId="0" xfId="114" applyNumberFormat="1" applyFont="1" applyBorder="1"/>
    <xf numFmtId="0" fontId="68" fillId="7" borderId="0" xfId="114" applyFont="1" applyFill="1" applyBorder="1"/>
    <xf numFmtId="49" fontId="68" fillId="10" borderId="0" xfId="0" applyNumberFormat="1" applyFont="1" applyFill="1" applyBorder="1"/>
    <xf numFmtId="9" fontId="63" fillId="0" borderId="0" xfId="114" applyNumberFormat="1" applyFont="1" applyFill="1"/>
    <xf numFmtId="0" fontId="63" fillId="0" borderId="0" xfId="0" applyFont="1" applyBorder="1"/>
    <xf numFmtId="0" fontId="62" fillId="0" borderId="0" xfId="0" applyFont="1" applyFill="1" applyBorder="1"/>
    <xf numFmtId="0" fontId="62" fillId="0" borderId="0" xfId="0" applyFont="1" applyBorder="1"/>
    <xf numFmtId="0" fontId="63" fillId="0" borderId="0" xfId="115" applyFont="1" applyBorder="1" applyAlignment="1">
      <alignment horizontal="center"/>
    </xf>
    <xf numFmtId="9" fontId="63" fillId="0" borderId="0" xfId="188" applyFont="1" applyBorder="1"/>
    <xf numFmtId="0" fontId="69" fillId="0" borderId="0" xfId="114" applyFont="1" applyFill="1" applyAlignment="1">
      <alignment vertical="center"/>
    </xf>
    <xf numFmtId="9" fontId="68" fillId="0" borderId="0" xfId="114" applyNumberFormat="1" applyFont="1" applyFill="1"/>
    <xf numFmtId="0" fontId="69" fillId="0" borderId="0" xfId="114" applyFont="1" applyFill="1" applyBorder="1" applyAlignment="1">
      <alignment horizontal="center" vertical="center"/>
    </xf>
    <xf numFmtId="0" fontId="69" fillId="0" borderId="174" xfId="114" applyFont="1" applyFill="1" applyBorder="1" applyAlignment="1">
      <alignment horizontal="center" vertical="center"/>
    </xf>
    <xf numFmtId="0" fontId="69" fillId="0" borderId="0" xfId="114" applyFont="1" applyFill="1" applyAlignment="1">
      <alignment horizontal="center" vertical="center"/>
    </xf>
    <xf numFmtId="0" fontId="69" fillId="0" borderId="0" xfId="114" applyFont="1" applyFill="1" applyAlignment="1">
      <alignment horizontal="center"/>
    </xf>
    <xf numFmtId="172" fontId="68" fillId="0" borderId="0" xfId="42" applyNumberFormat="1" applyFont="1" applyFill="1" applyBorder="1" applyAlignment="1">
      <alignment horizontal="center"/>
    </xf>
    <xf numFmtId="168" fontId="68" fillId="0" borderId="0" xfId="114" applyNumberFormat="1" applyFont="1" applyFill="1"/>
    <xf numFmtId="177" fontId="68" fillId="0" borderId="0" xfId="114" applyNumberFormat="1" applyFont="1" applyFill="1"/>
    <xf numFmtId="0" fontId="68" fillId="7" borderId="0" xfId="114" applyFont="1" applyFill="1"/>
    <xf numFmtId="0" fontId="68" fillId="7" borderId="0" xfId="114" applyFont="1" applyFill="1" applyAlignment="1">
      <alignment horizontal="center" vertical="center" wrapText="1"/>
    </xf>
    <xf numFmtId="172" fontId="68" fillId="7" borderId="0" xfId="42" applyNumberFormat="1" applyFont="1" applyFill="1" applyBorder="1" applyAlignment="1">
      <alignment horizontal="center" vertical="center" wrapText="1"/>
    </xf>
    <xf numFmtId="168" fontId="68" fillId="7" borderId="0" xfId="114" applyNumberFormat="1" applyFont="1" applyFill="1" applyAlignment="1">
      <alignment horizontal="center" vertical="center" wrapText="1"/>
    </xf>
    <xf numFmtId="177" fontId="68" fillId="7" borderId="0" xfId="114" applyNumberFormat="1" applyFont="1" applyFill="1" applyAlignment="1">
      <alignment horizontal="center" vertical="center" wrapText="1"/>
    </xf>
    <xf numFmtId="0" fontId="68" fillId="0" borderId="0" xfId="114" applyFont="1" applyFill="1" applyAlignment="1">
      <alignment horizontal="center"/>
    </xf>
    <xf numFmtId="179" fontId="68" fillId="0" borderId="0" xfId="3" applyNumberFormat="1" applyFont="1" applyFill="1" applyBorder="1" applyAlignment="1">
      <alignment horizontal="center" vertical="center"/>
    </xf>
    <xf numFmtId="0" fontId="68" fillId="0" borderId="0" xfId="114" applyFont="1" applyFill="1" applyAlignment="1">
      <alignment horizontal="center" vertical="center"/>
    </xf>
    <xf numFmtId="166" fontId="68" fillId="0" borderId="0" xfId="42" applyFont="1" applyFill="1" applyBorder="1" applyAlignment="1">
      <alignment horizontal="center" vertical="center"/>
    </xf>
    <xf numFmtId="168" fontId="68" fillId="0" borderId="0" xfId="114" applyNumberFormat="1" applyFont="1" applyFill="1" applyAlignment="1">
      <alignment vertical="center"/>
    </xf>
    <xf numFmtId="177" fontId="68" fillId="0" borderId="0" xfId="114" applyNumberFormat="1" applyFont="1" applyFill="1" applyAlignment="1">
      <alignment vertical="center"/>
    </xf>
    <xf numFmtId="0" fontId="68" fillId="0" borderId="0" xfId="0" applyFont="1" applyBorder="1"/>
    <xf numFmtId="0" fontId="68" fillId="0" borderId="0" xfId="114" applyFont="1" applyFill="1" applyAlignment="1">
      <alignment horizontal="left"/>
    </xf>
    <xf numFmtId="166" fontId="68" fillId="0" borderId="0" xfId="1" applyFont="1" applyFill="1"/>
    <xf numFmtId="0" fontId="67" fillId="0" borderId="0" xfId="114" applyFont="1" applyFill="1" applyAlignment="1">
      <alignment vertical="center"/>
    </xf>
    <xf numFmtId="0" fontId="67" fillId="0" borderId="0" xfId="114" applyFont="1" applyFill="1" applyAlignment="1">
      <alignment horizontal="center" vertical="center"/>
    </xf>
    <xf numFmtId="179" fontId="67" fillId="0" borderId="0" xfId="3" applyNumberFormat="1" applyFont="1" applyFill="1" applyBorder="1" applyAlignment="1">
      <alignment horizontal="center" vertical="center"/>
    </xf>
    <xf numFmtId="168" fontId="67" fillId="0" borderId="0" xfId="114" applyNumberFormat="1" applyFont="1" applyFill="1" applyAlignment="1">
      <alignment vertical="center"/>
    </xf>
    <xf numFmtId="177" fontId="67" fillId="0" borderId="0" xfId="114" applyNumberFormat="1" applyFont="1" applyFill="1" applyAlignment="1">
      <alignment vertical="center"/>
    </xf>
    <xf numFmtId="0" fontId="68" fillId="0" borderId="0" xfId="115" applyFont="1" applyFill="1"/>
    <xf numFmtId="177" fontId="68" fillId="0" borderId="0" xfId="40" applyNumberFormat="1" applyFont="1" applyFill="1" applyBorder="1" applyAlignment="1">
      <alignment vertical="center"/>
    </xf>
    <xf numFmtId="0" fontId="88" fillId="0" borderId="0" xfId="114" applyFont="1" applyFill="1" applyAlignment="1">
      <alignment vertical="center"/>
    </xf>
    <xf numFmtId="172" fontId="68" fillId="0" borderId="0" xfId="1" applyNumberFormat="1" applyFont="1" applyFill="1" applyBorder="1" applyAlignment="1">
      <alignment horizontal="center"/>
    </xf>
    <xf numFmtId="0" fontId="68" fillId="7" borderId="0" xfId="114" applyFont="1" applyFill="1" applyBorder="1" applyAlignment="1">
      <alignment horizontal="center" vertical="center" wrapText="1"/>
    </xf>
    <xf numFmtId="172" fontId="68" fillId="7" borderId="0" xfId="1" applyNumberFormat="1" applyFont="1" applyFill="1" applyBorder="1" applyAlignment="1">
      <alignment horizontal="center" vertical="center" wrapText="1"/>
    </xf>
    <xf numFmtId="168" fontId="68" fillId="7" borderId="0" xfId="114" applyNumberFormat="1" applyFont="1" applyFill="1" applyBorder="1" applyAlignment="1">
      <alignment horizontal="center" vertical="center" wrapText="1"/>
    </xf>
    <xf numFmtId="177" fontId="68" fillId="7" borderId="0" xfId="114" applyNumberFormat="1" applyFont="1" applyFill="1" applyBorder="1" applyAlignment="1">
      <alignment horizontal="center" vertical="center" wrapText="1"/>
    </xf>
    <xf numFmtId="0" fontId="92" fillId="0" borderId="0" xfId="114" applyFont="1" applyFill="1" applyAlignment="1">
      <alignment vertical="center"/>
    </xf>
    <xf numFmtId="0" fontId="88" fillId="0" borderId="0" xfId="114" applyFont="1" applyFill="1" applyAlignment="1">
      <alignment horizontal="center" vertical="center"/>
    </xf>
    <xf numFmtId="179" fontId="88" fillId="0" borderId="0" xfId="3" applyNumberFormat="1" applyFont="1" applyFill="1" applyBorder="1" applyAlignment="1">
      <alignment horizontal="center" vertical="center"/>
    </xf>
    <xf numFmtId="177" fontId="88" fillId="0" borderId="0" xfId="114" applyNumberFormat="1" applyFont="1" applyFill="1" applyAlignment="1">
      <alignment vertical="center"/>
    </xf>
    <xf numFmtId="177" fontId="68" fillId="0" borderId="0" xfId="114" applyNumberFormat="1" applyFont="1" applyFill="1" applyBorder="1" applyAlignment="1">
      <alignment vertical="center"/>
    </xf>
    <xf numFmtId="0" fontId="68" fillId="0" borderId="0" xfId="0" applyFont="1" applyFill="1" applyAlignment="1">
      <alignment horizontal="right"/>
    </xf>
    <xf numFmtId="9" fontId="68" fillId="0" borderId="0" xfId="114" applyNumberFormat="1" applyFont="1" applyFill="1" applyAlignment="1">
      <alignment horizontal="right"/>
    </xf>
    <xf numFmtId="0" fontId="68" fillId="0" borderId="0" xfId="115" applyFont="1" applyBorder="1" applyAlignment="1">
      <alignment horizontal="center"/>
    </xf>
    <xf numFmtId="9" fontId="68" fillId="0" borderId="0" xfId="188" applyFont="1" applyBorder="1"/>
    <xf numFmtId="0" fontId="88" fillId="0" borderId="0" xfId="132" applyNumberFormat="1" applyFont="1" applyFill="1" applyBorder="1" applyAlignment="1">
      <alignment horizontal="left" vertical="center"/>
    </xf>
    <xf numFmtId="0" fontId="88" fillId="0" borderId="174" xfId="132" applyNumberFormat="1" applyFont="1" applyFill="1" applyBorder="1" applyAlignment="1">
      <alignment horizontal="left" vertical="center"/>
    </xf>
    <xf numFmtId="0" fontId="80" fillId="0" borderId="0" xfId="132" applyFont="1" applyFill="1" applyBorder="1" applyAlignment="1">
      <alignment vertical="center"/>
    </xf>
    <xf numFmtId="175" fontId="64" fillId="0" borderId="146" xfId="41" applyNumberFormat="1" applyFont="1" applyFill="1" applyBorder="1" applyAlignment="1">
      <alignment horizontal="right" vertical="center"/>
    </xf>
    <xf numFmtId="176" fontId="79" fillId="2" borderId="4" xfId="126" applyNumberFormat="1" applyFont="1" applyFill="1" applyBorder="1" applyAlignment="1">
      <alignment vertical="center"/>
    </xf>
    <xf numFmtId="0" fontId="80" fillId="0" borderId="0" xfId="132" applyFont="1" applyFill="1" applyBorder="1"/>
    <xf numFmtId="166" fontId="80" fillId="0" borderId="0" xfId="1" applyFont="1" applyFill="1" applyBorder="1"/>
    <xf numFmtId="0" fontId="80" fillId="0" borderId="0" xfId="132" applyFont="1" applyFill="1" applyBorder="1" applyAlignment="1">
      <alignment horizontal="center"/>
    </xf>
    <xf numFmtId="0" fontId="80" fillId="0" borderId="174" xfId="132" applyFont="1" applyFill="1" applyBorder="1"/>
    <xf numFmtId="0" fontId="80" fillId="0" borderId="174" xfId="132" applyFont="1" applyFill="1" applyBorder="1" applyAlignment="1"/>
    <xf numFmtId="0" fontId="80" fillId="0" borderId="174" xfId="132" applyFont="1" applyFill="1" applyBorder="1" applyAlignment="1">
      <alignment horizontal="center"/>
    </xf>
    <xf numFmtId="168" fontId="80" fillId="0" borderId="174" xfId="1" applyNumberFormat="1" applyFont="1" applyFill="1" applyBorder="1" applyAlignment="1">
      <alignment horizontal="right"/>
    </xf>
    <xf numFmtId="0" fontId="95" fillId="0" borderId="182" xfId="132" applyFont="1" applyFill="1" applyBorder="1" applyAlignment="1">
      <alignment horizontal="center"/>
    </xf>
    <xf numFmtId="0" fontId="95" fillId="0" borderId="183" xfId="132" applyFont="1" applyFill="1" applyBorder="1" applyAlignment="1"/>
    <xf numFmtId="0" fontId="95" fillId="0" borderId="98" xfId="132" applyFont="1" applyFill="1" applyBorder="1" applyAlignment="1">
      <alignment horizontal="center"/>
    </xf>
    <xf numFmtId="0" fontId="95" fillId="0" borderId="184" xfId="132" applyFont="1" applyFill="1" applyBorder="1" applyAlignment="1">
      <alignment horizontal="center"/>
    </xf>
    <xf numFmtId="0" fontId="95" fillId="0" borderId="54" xfId="132" applyFont="1" applyFill="1" applyBorder="1" applyAlignment="1">
      <alignment horizontal="center"/>
    </xf>
    <xf numFmtId="168" fontId="95" fillId="0" borderId="138" xfId="1" applyNumberFormat="1" applyFont="1" applyFill="1" applyBorder="1" applyAlignment="1">
      <alignment horizontal="center"/>
    </xf>
    <xf numFmtId="0" fontId="95" fillId="0" borderId="158" xfId="132" applyFont="1" applyFill="1" applyBorder="1" applyAlignment="1">
      <alignment horizontal="center"/>
    </xf>
    <xf numFmtId="0" fontId="95" fillId="0" borderId="32" xfId="132" applyFont="1" applyFill="1" applyBorder="1" applyAlignment="1">
      <alignment horizontal="center"/>
    </xf>
    <xf numFmtId="168" fontId="95" fillId="0" borderId="159" xfId="1" applyNumberFormat="1" applyFont="1" applyFill="1" applyBorder="1" applyAlignment="1">
      <alignment horizontal="center"/>
    </xf>
    <xf numFmtId="0" fontId="95" fillId="0" borderId="33" xfId="132" applyFont="1" applyFill="1" applyBorder="1" applyAlignment="1"/>
    <xf numFmtId="166" fontId="96" fillId="0" borderId="0" xfId="1" applyFont="1" applyFill="1" applyBorder="1"/>
    <xf numFmtId="0" fontId="80" fillId="0" borderId="161" xfId="132" applyFont="1" applyFill="1" applyBorder="1"/>
    <xf numFmtId="0" fontId="80" fillId="0" borderId="162" xfId="132" applyFont="1" applyFill="1" applyBorder="1" applyAlignment="1"/>
    <xf numFmtId="0" fontId="80" fillId="0" borderId="206" xfId="132" applyFont="1" applyFill="1" applyBorder="1"/>
    <xf numFmtId="0" fontId="80" fillId="0" borderId="163" xfId="132" applyFont="1" applyFill="1" applyBorder="1"/>
    <xf numFmtId="0" fontId="80" fillId="0" borderId="129" xfId="132" applyFont="1" applyFill="1" applyBorder="1" applyAlignment="1">
      <alignment horizontal="center"/>
    </xf>
    <xf numFmtId="168" fontId="80" fillId="0" borderId="171" xfId="1" applyNumberFormat="1" applyFont="1" applyFill="1" applyBorder="1" applyAlignment="1">
      <alignment horizontal="right"/>
    </xf>
    <xf numFmtId="0" fontId="95" fillId="0" borderId="145" xfId="132" applyFont="1" applyFill="1" applyBorder="1" applyAlignment="1">
      <alignment horizontal="center"/>
    </xf>
    <xf numFmtId="0" fontId="97" fillId="0" borderId="4" xfId="132" applyFont="1" applyFill="1" applyBorder="1" applyAlignment="1"/>
    <xf numFmtId="0" fontId="95" fillId="0" borderId="5" xfId="132" applyFont="1" applyFill="1" applyBorder="1" applyAlignment="1">
      <alignment horizontal="left" indent="1"/>
    </xf>
    <xf numFmtId="0" fontId="95" fillId="0" borderId="6" xfId="132" applyFont="1" applyFill="1" applyBorder="1" applyAlignment="1">
      <alignment horizontal="left" indent="1"/>
    </xf>
    <xf numFmtId="0" fontId="80" fillId="0" borderId="7" xfId="132" applyFont="1" applyFill="1" applyBorder="1" applyAlignment="1">
      <alignment horizontal="center"/>
    </xf>
    <xf numFmtId="168" fontId="64" fillId="0" borderId="146" xfId="42" applyNumberFormat="1" applyFont="1" applyFill="1" applyBorder="1" applyAlignment="1">
      <alignment horizontal="right"/>
    </xf>
    <xf numFmtId="0" fontId="80" fillId="0" borderId="145" xfId="132" applyFont="1" applyFill="1" applyBorder="1" applyAlignment="1">
      <alignment horizontal="center"/>
    </xf>
    <xf numFmtId="0" fontId="80" fillId="0" borderId="4" xfId="132" applyFont="1" applyFill="1" applyBorder="1" applyAlignment="1"/>
    <xf numFmtId="0" fontId="80" fillId="0" borderId="5" xfId="132" applyFont="1" applyFill="1" applyBorder="1" applyAlignment="1">
      <alignment horizontal="left" indent="1"/>
    </xf>
    <xf numFmtId="0" fontId="80" fillId="0" borderId="6" xfId="132" applyFont="1" applyFill="1" applyBorder="1" applyAlignment="1">
      <alignment horizontal="left" indent="1"/>
    </xf>
    <xf numFmtId="168" fontId="63" fillId="0" borderId="146" xfId="42" applyNumberFormat="1" applyFont="1" applyFill="1" applyBorder="1" applyAlignment="1">
      <alignment horizontal="left"/>
    </xf>
    <xf numFmtId="166" fontId="71" fillId="11" borderId="0" xfId="1" applyFont="1" applyFill="1" applyBorder="1"/>
    <xf numFmtId="166" fontId="71" fillId="0" borderId="0" xfId="1" applyFont="1" applyFill="1" applyBorder="1"/>
    <xf numFmtId="168" fontId="64" fillId="0" borderId="146" xfId="42" applyNumberFormat="1" applyFont="1" applyFill="1" applyBorder="1" applyAlignment="1">
      <alignment horizontal="left"/>
    </xf>
    <xf numFmtId="0" fontId="71" fillId="0" borderId="0" xfId="132" applyFont="1" applyFill="1" applyBorder="1" applyAlignment="1">
      <alignment horizontal="center"/>
    </xf>
    <xf numFmtId="185" fontId="80" fillId="0" borderId="0" xfId="1" applyNumberFormat="1" applyFont="1" applyFill="1" applyBorder="1"/>
    <xf numFmtId="0" fontId="80" fillId="0" borderId="7" xfId="132" applyFont="1" applyFill="1" applyBorder="1" applyAlignment="1">
      <alignment horizontal="center" vertical="center"/>
    </xf>
    <xf numFmtId="0" fontId="63" fillId="0" borderId="4" xfId="132" applyFont="1" applyFill="1" applyBorder="1" applyAlignment="1"/>
    <xf numFmtId="0" fontId="63" fillId="0" borderId="5" xfId="132" applyFont="1" applyFill="1" applyBorder="1" applyAlignment="1">
      <alignment horizontal="left" indent="1"/>
    </xf>
    <xf numFmtId="168" fontId="63" fillId="0" borderId="146" xfId="114" applyNumberFormat="1" applyFont="1" applyFill="1" applyBorder="1" applyAlignment="1">
      <alignment vertical="center"/>
    </xf>
    <xf numFmtId="0" fontId="80" fillId="0" borderId="5" xfId="0" applyFont="1" applyBorder="1" applyAlignment="1"/>
    <xf numFmtId="0" fontId="80" fillId="0" borderId="4" xfId="132" applyFont="1" applyFill="1" applyBorder="1" applyAlignment="1">
      <alignment horizontal="left"/>
    </xf>
    <xf numFmtId="0" fontId="80" fillId="0" borderId="5" xfId="132" applyFont="1" applyFill="1" applyBorder="1"/>
    <xf numFmtId="0" fontId="80" fillId="0" borderId="6" xfId="132" applyFont="1" applyFill="1" applyBorder="1"/>
    <xf numFmtId="168" fontId="63" fillId="0" borderId="127" xfId="114" applyNumberFormat="1" applyFont="1" applyFill="1" applyBorder="1" applyAlignment="1">
      <alignment vertical="center"/>
    </xf>
    <xf numFmtId="0" fontId="80" fillId="0" borderId="145" xfId="132" applyFont="1" applyFill="1" applyBorder="1" applyAlignment="1">
      <alignment horizontal="center" vertical="center"/>
    </xf>
    <xf numFmtId="0" fontId="80" fillId="0" borderId="5" xfId="0" applyFont="1" applyBorder="1" applyAlignment="1">
      <alignment horizontal="left"/>
    </xf>
    <xf numFmtId="0" fontId="63" fillId="0" borderId="5" xfId="132" applyFont="1" applyFill="1" applyBorder="1"/>
    <xf numFmtId="0" fontId="63" fillId="0" borderId="6" xfId="132" applyFont="1" applyFill="1" applyBorder="1"/>
    <xf numFmtId="39" fontId="80" fillId="0" borderId="4" xfId="132" applyNumberFormat="1" applyFont="1" applyFill="1" applyBorder="1" applyAlignment="1"/>
    <xf numFmtId="0" fontId="80" fillId="0" borderId="8" xfId="132" applyFont="1" applyFill="1" applyBorder="1" applyAlignment="1">
      <alignment horizontal="center"/>
    </xf>
    <xf numFmtId="0" fontId="80" fillId="0" borderId="5" xfId="132" applyFont="1" applyFill="1" applyBorder="1" applyAlignment="1">
      <alignment horizontal="center"/>
    </xf>
    <xf numFmtId="168" fontId="64" fillId="0" borderId="146" xfId="1" applyNumberFormat="1" applyFont="1" applyFill="1" applyBorder="1" applyAlignment="1">
      <alignment horizontal="right"/>
    </xf>
    <xf numFmtId="0" fontId="98" fillId="0" borderId="4" xfId="132" applyFont="1" applyFill="1" applyBorder="1" applyAlignment="1"/>
    <xf numFmtId="168" fontId="63" fillId="0" borderId="146" xfId="1" applyNumberFormat="1" applyFont="1" applyFill="1" applyBorder="1" applyAlignment="1">
      <alignment horizontal="right"/>
    </xf>
    <xf numFmtId="0" fontId="63" fillId="0" borderId="7" xfId="0" applyFont="1" applyBorder="1" applyAlignment="1" applyProtection="1">
      <alignment horizontal="left" vertical="top"/>
      <protection hidden="1"/>
    </xf>
    <xf numFmtId="0" fontId="80" fillId="0" borderId="168" xfId="132" applyFont="1" applyFill="1" applyBorder="1"/>
    <xf numFmtId="0" fontId="63" fillId="0" borderId="8" xfId="132" applyFont="1" applyFill="1" applyBorder="1" applyAlignment="1">
      <alignment horizontal="center"/>
    </xf>
    <xf numFmtId="0" fontId="66" fillId="0" borderId="4" xfId="132" applyFont="1" applyFill="1" applyBorder="1" applyAlignment="1"/>
    <xf numFmtId="0" fontId="63" fillId="0" borderId="5" xfId="132" applyFont="1" applyFill="1" applyBorder="1" applyAlignment="1">
      <alignment horizontal="center"/>
    </xf>
    <xf numFmtId="176" fontId="66" fillId="2" borderId="4" xfId="126" applyNumberFormat="1" applyFont="1" applyFill="1" applyBorder="1" applyAlignment="1">
      <alignment vertical="center"/>
    </xf>
    <xf numFmtId="176" fontId="62" fillId="2" borderId="5" xfId="126" applyNumberFormat="1" applyFont="1" applyFill="1" applyBorder="1" applyAlignment="1">
      <alignment vertical="center"/>
    </xf>
    <xf numFmtId="176" fontId="63" fillId="2" borderId="4" xfId="126" applyNumberFormat="1" applyFont="1" applyFill="1" applyBorder="1" applyAlignment="1">
      <alignment vertical="center"/>
    </xf>
    <xf numFmtId="176" fontId="63" fillId="2" borderId="5" xfId="126" applyNumberFormat="1" applyFont="1" applyFill="1" applyBorder="1" applyAlignment="1">
      <alignment vertical="center"/>
    </xf>
    <xf numFmtId="0" fontId="63" fillId="2" borderId="4" xfId="126" applyFont="1" applyFill="1" applyBorder="1" applyAlignment="1">
      <alignment vertical="center"/>
    </xf>
    <xf numFmtId="176" fontId="73" fillId="2" borderId="4" xfId="126" applyNumberFormat="1" applyFont="1" applyFill="1" applyBorder="1" applyAlignment="1">
      <alignment vertical="center"/>
    </xf>
    <xf numFmtId="0" fontId="63" fillId="2" borderId="5" xfId="126" applyFont="1" applyFill="1" applyBorder="1" applyAlignment="1">
      <alignment horizontal="center" vertical="center"/>
    </xf>
    <xf numFmtId="0" fontId="80" fillId="0" borderId="9" xfId="132" applyFont="1" applyFill="1" applyBorder="1"/>
    <xf numFmtId="0" fontId="80" fillId="0" borderId="10" xfId="132" applyFont="1" applyFill="1" applyBorder="1" applyAlignment="1"/>
    <xf numFmtId="0" fontId="80" fillId="0" borderId="11" xfId="132" applyFont="1" applyFill="1" applyBorder="1"/>
    <xf numFmtId="0" fontId="80" fillId="0" borderId="12" xfId="132" applyFont="1" applyFill="1" applyBorder="1"/>
    <xf numFmtId="0" fontId="80" fillId="0" borderId="11" xfId="132" applyFont="1" applyFill="1" applyBorder="1" applyAlignment="1">
      <alignment horizontal="center"/>
    </xf>
    <xf numFmtId="168" fontId="80" fillId="0" borderId="205" xfId="1" applyNumberFormat="1" applyFont="1" applyFill="1" applyBorder="1" applyAlignment="1">
      <alignment horizontal="right"/>
    </xf>
    <xf numFmtId="0" fontId="80" fillId="0" borderId="0" xfId="132" applyFont="1" applyFill="1" applyBorder="1" applyAlignment="1"/>
    <xf numFmtId="168" fontId="80" fillId="0" borderId="0" xfId="1" applyNumberFormat="1" applyFont="1" applyFill="1" applyBorder="1" applyAlignment="1">
      <alignment horizontal="right"/>
    </xf>
    <xf numFmtId="0" fontId="100" fillId="0" borderId="0" xfId="132" applyFont="1" applyFill="1" applyBorder="1"/>
    <xf numFmtId="168" fontId="101" fillId="0" borderId="146" xfId="42" applyNumberFormat="1" applyFont="1" applyFill="1" applyBorder="1" applyAlignment="1">
      <alignment horizontal="left"/>
    </xf>
    <xf numFmtId="0" fontId="63" fillId="10" borderId="0" xfId="115" applyFont="1" applyFill="1" applyAlignment="1">
      <alignment vertical="center"/>
    </xf>
    <xf numFmtId="166" fontId="63" fillId="10" borderId="0" xfId="42" applyFont="1" applyFill="1" applyAlignment="1">
      <alignment vertical="center"/>
    </xf>
    <xf numFmtId="166" fontId="63" fillId="10" borderId="0" xfId="42" applyFont="1" applyFill="1" applyAlignment="1">
      <alignment horizontal="center" vertical="center"/>
    </xf>
    <xf numFmtId="0" fontId="63" fillId="10" borderId="0" xfId="115" applyFont="1" applyFill="1" applyAlignment="1">
      <alignment horizontal="center" vertical="center"/>
    </xf>
    <xf numFmtId="166" fontId="71" fillId="10" borderId="0" xfId="42" applyFont="1" applyFill="1" applyAlignment="1">
      <alignment horizontal="center" vertical="center"/>
    </xf>
    <xf numFmtId="0" fontId="78" fillId="10" borderId="0" xfId="115" applyFont="1" applyFill="1" applyAlignment="1">
      <alignment horizontal="center" vertical="center"/>
    </xf>
    <xf numFmtId="0" fontId="63" fillId="10" borderId="0" xfId="115" applyFont="1" applyFill="1" applyAlignment="1">
      <alignment horizontal="left" vertical="center"/>
    </xf>
    <xf numFmtId="0" fontId="61" fillId="10" borderId="0" xfId="115" applyFont="1" applyFill="1" applyAlignment="1">
      <alignment vertical="center"/>
    </xf>
    <xf numFmtId="0" fontId="62" fillId="10" borderId="0" xfId="115" applyFont="1" applyFill="1" applyAlignment="1">
      <alignment horizontal="center" vertical="center"/>
    </xf>
    <xf numFmtId="0" fontId="63" fillId="10" borderId="0" xfId="115" applyNumberFormat="1" applyFont="1" applyFill="1" applyAlignment="1">
      <alignment horizontal="left" vertical="center"/>
    </xf>
    <xf numFmtId="0" fontId="63" fillId="10" borderId="0" xfId="115" applyNumberFormat="1" applyFont="1" applyFill="1" applyBorder="1" applyAlignment="1">
      <alignment horizontal="center" vertical="center"/>
    </xf>
    <xf numFmtId="0" fontId="63" fillId="10" borderId="0" xfId="115" applyNumberFormat="1" applyFont="1" applyFill="1" applyAlignment="1">
      <alignment horizontal="center" vertical="center"/>
    </xf>
    <xf numFmtId="0" fontId="62" fillId="10" borderId="0" xfId="115" applyFont="1" applyFill="1" applyBorder="1" applyAlignment="1">
      <alignment horizontal="center" vertical="center"/>
    </xf>
    <xf numFmtId="4" fontId="62" fillId="10" borderId="0" xfId="115" applyNumberFormat="1" applyFont="1" applyFill="1" applyBorder="1" applyAlignment="1">
      <alignment horizontal="center" vertical="center"/>
    </xf>
    <xf numFmtId="0" fontId="69" fillId="10" borderId="182" xfId="115" applyFont="1" applyFill="1" applyBorder="1" applyAlignment="1">
      <alignment horizontal="center" vertical="center"/>
    </xf>
    <xf numFmtId="0" fontId="69" fillId="10" borderId="183" xfId="115" applyFont="1" applyFill="1" applyBorder="1" applyAlignment="1">
      <alignment horizontal="center" vertical="center"/>
    </xf>
    <xf numFmtId="0" fontId="69" fillId="10" borderId="54" xfId="115" applyFont="1" applyFill="1" applyBorder="1" applyAlignment="1">
      <alignment horizontal="center" vertical="center"/>
    </xf>
    <xf numFmtId="175" fontId="69" fillId="10" borderId="138" xfId="2" applyNumberFormat="1" applyFont="1" applyFill="1" applyBorder="1" applyAlignment="1">
      <alignment horizontal="center" vertical="center"/>
    </xf>
    <xf numFmtId="0" fontId="62" fillId="10" borderId="0" xfId="115" applyFont="1" applyFill="1" applyAlignment="1">
      <alignment vertical="center"/>
    </xf>
    <xf numFmtId="166" fontId="62" fillId="10" borderId="0" xfId="42" applyFont="1" applyFill="1" applyAlignment="1">
      <alignment vertical="center"/>
    </xf>
    <xf numFmtId="166" fontId="62" fillId="10" borderId="0" xfId="42" applyFont="1" applyFill="1" applyAlignment="1">
      <alignment horizontal="center" vertical="center"/>
    </xf>
    <xf numFmtId="166" fontId="102" fillId="10" borderId="0" xfId="42" applyFont="1" applyFill="1" applyAlignment="1">
      <alignment horizontal="center" vertical="center"/>
    </xf>
    <xf numFmtId="0" fontId="63" fillId="7" borderId="169" xfId="115" applyFont="1" applyFill="1" applyBorder="1" applyAlignment="1">
      <alignment horizontal="center" vertical="center"/>
    </xf>
    <xf numFmtId="0" fontId="63" fillId="7" borderId="37" xfId="115" applyFont="1" applyFill="1" applyBorder="1" applyAlignment="1">
      <alignment horizontal="center" vertical="center"/>
    </xf>
    <xf numFmtId="0" fontId="63" fillId="7" borderId="170" xfId="2" applyNumberFormat="1" applyFont="1" applyFill="1" applyBorder="1" applyAlignment="1">
      <alignment horizontal="center" vertical="center"/>
    </xf>
    <xf numFmtId="0" fontId="68" fillId="10" borderId="161" xfId="115" applyFont="1" applyFill="1" applyBorder="1" applyAlignment="1">
      <alignment horizontal="center" vertical="center"/>
    </xf>
    <xf numFmtId="0" fontId="68" fillId="10" borderId="162" xfId="115" applyFont="1" applyFill="1" applyBorder="1" applyAlignment="1">
      <alignment horizontal="center" vertical="center"/>
    </xf>
    <xf numFmtId="0" fontId="68" fillId="10" borderId="206" xfId="115" applyFont="1" applyFill="1" applyBorder="1" applyAlignment="1">
      <alignment vertical="center"/>
    </xf>
    <xf numFmtId="0" fontId="68" fillId="10" borderId="129" xfId="115" applyFont="1" applyFill="1" applyBorder="1" applyAlignment="1">
      <alignment horizontal="center" vertical="center"/>
    </xf>
    <xf numFmtId="175" fontId="68" fillId="10" borderId="171" xfId="2" applyNumberFormat="1" applyFont="1" applyFill="1" applyBorder="1" applyAlignment="1">
      <alignment horizontal="right" vertical="center"/>
    </xf>
    <xf numFmtId="0" fontId="68" fillId="10" borderId="0" xfId="115" applyFont="1" applyFill="1" applyAlignment="1">
      <alignment vertical="center"/>
    </xf>
    <xf numFmtId="166" fontId="68" fillId="10" borderId="0" xfId="42" applyFont="1" applyFill="1" applyAlignment="1">
      <alignment vertical="center"/>
    </xf>
    <xf numFmtId="166" fontId="68" fillId="10" borderId="0" xfId="42" applyFont="1" applyFill="1" applyAlignment="1">
      <alignment horizontal="center" vertical="center"/>
    </xf>
    <xf numFmtId="0" fontId="68" fillId="10" borderId="0" xfId="115" applyFont="1" applyFill="1" applyAlignment="1">
      <alignment horizontal="center" vertical="center"/>
    </xf>
    <xf numFmtId="166" fontId="89" fillId="10" borderId="0" xfId="42" applyFont="1" applyFill="1" applyAlignment="1">
      <alignment horizontal="center" vertical="center"/>
    </xf>
    <xf numFmtId="0" fontId="68" fillId="10" borderId="145" xfId="115" applyFont="1" applyFill="1" applyBorder="1" applyAlignment="1">
      <alignment horizontal="center" vertical="center"/>
    </xf>
    <xf numFmtId="0" fontId="68" fillId="10" borderId="4" xfId="115" applyFont="1" applyFill="1" applyBorder="1" applyAlignment="1">
      <alignment horizontal="center" vertical="center"/>
    </xf>
    <xf numFmtId="0" fontId="69" fillId="10" borderId="5" xfId="115" applyFont="1" applyFill="1" applyBorder="1" applyAlignment="1">
      <alignment vertical="center"/>
    </xf>
    <xf numFmtId="0" fontId="68" fillId="10" borderId="5" xfId="115" applyFont="1" applyFill="1" applyBorder="1" applyAlignment="1">
      <alignment vertical="center"/>
    </xf>
    <xf numFmtId="0" fontId="68" fillId="10" borderId="7" xfId="115" applyFont="1" applyFill="1" applyBorder="1" applyAlignment="1">
      <alignment horizontal="center" vertical="center"/>
    </xf>
    <xf numFmtId="197" fontId="68" fillId="10" borderId="146" xfId="2" applyNumberFormat="1" applyFont="1" applyFill="1" applyBorder="1" applyAlignment="1">
      <alignment horizontal="right" vertical="center"/>
    </xf>
    <xf numFmtId="176" fontId="68" fillId="10" borderId="0" xfId="42" applyNumberFormat="1" applyFont="1" applyFill="1" applyAlignment="1">
      <alignment horizontal="center" vertical="center"/>
    </xf>
    <xf numFmtId="9" fontId="68" fillId="10" borderId="0" xfId="115" applyNumberFormat="1" applyFont="1" applyFill="1" applyAlignment="1">
      <alignment horizontal="center" vertical="center"/>
    </xf>
    <xf numFmtId="43" fontId="68" fillId="10" borderId="0" xfId="115" applyNumberFormat="1" applyFont="1" applyFill="1" applyAlignment="1">
      <alignment horizontal="center" vertical="center"/>
    </xf>
    <xf numFmtId="176" fontId="68" fillId="10" borderId="0" xfId="2" applyNumberFormat="1" applyFont="1" applyFill="1" applyAlignment="1">
      <alignment horizontal="center" vertical="center"/>
    </xf>
    <xf numFmtId="165" fontId="68" fillId="10" borderId="0" xfId="2" applyFont="1" applyFill="1" applyAlignment="1">
      <alignment vertical="center"/>
    </xf>
    <xf numFmtId="165" fontId="68" fillId="10" borderId="0" xfId="115" applyNumberFormat="1" applyFont="1" applyFill="1" applyAlignment="1">
      <alignment horizontal="center" vertical="center"/>
    </xf>
    <xf numFmtId="0" fontId="68" fillId="10" borderId="5" xfId="115" applyFont="1" applyFill="1" applyBorder="1" applyAlignment="1">
      <alignment horizontal="center" vertical="center"/>
    </xf>
    <xf numFmtId="0" fontId="99" fillId="10" borderId="5" xfId="115" applyFont="1" applyFill="1" applyBorder="1" applyAlignment="1" applyProtection="1">
      <alignment horizontal="left" vertical="center"/>
    </xf>
    <xf numFmtId="0" fontId="88" fillId="10" borderId="5" xfId="115" applyFont="1" applyFill="1" applyBorder="1" applyAlignment="1" applyProtection="1">
      <alignment horizontal="left" vertical="center"/>
    </xf>
    <xf numFmtId="0" fontId="88" fillId="10" borderId="7" xfId="115" applyFont="1" applyFill="1" applyBorder="1" applyAlignment="1" applyProtection="1">
      <alignment horizontal="center" vertical="center"/>
    </xf>
    <xf numFmtId="0" fontId="68" fillId="10" borderId="5" xfId="115" applyFont="1" applyFill="1" applyBorder="1" applyAlignment="1">
      <alignment horizontal="left" vertical="center"/>
    </xf>
    <xf numFmtId="0" fontId="68" fillId="10" borderId="5" xfId="115" applyFont="1" applyFill="1" applyBorder="1" applyAlignment="1">
      <alignment horizontal="justify" vertical="center" wrapText="1"/>
    </xf>
    <xf numFmtId="0" fontId="68" fillId="10" borderId="224" xfId="115" applyFont="1" applyFill="1" applyBorder="1" applyAlignment="1">
      <alignment horizontal="center" vertical="center"/>
    </xf>
    <xf numFmtId="0" fontId="68" fillId="10" borderId="224" xfId="115" applyFont="1" applyFill="1" applyBorder="1" applyAlignment="1">
      <alignment vertical="center"/>
    </xf>
    <xf numFmtId="0" fontId="68" fillId="10" borderId="226" xfId="115" applyFont="1" applyFill="1" applyBorder="1" applyAlignment="1">
      <alignment horizontal="center" vertical="center"/>
    </xf>
    <xf numFmtId="0" fontId="68" fillId="10" borderId="11" xfId="115" applyFont="1" applyFill="1" applyBorder="1" applyAlignment="1">
      <alignment horizontal="center" vertical="center"/>
    </xf>
    <xf numFmtId="0" fontId="88" fillId="10" borderId="11" xfId="115" applyFont="1" applyFill="1" applyBorder="1" applyAlignment="1" applyProtection="1">
      <alignment horizontal="left" vertical="center"/>
    </xf>
    <xf numFmtId="0" fontId="68" fillId="10" borderId="11" xfId="115" applyFont="1" applyFill="1" applyBorder="1" applyAlignment="1">
      <alignment vertical="center"/>
    </xf>
    <xf numFmtId="0" fontId="88" fillId="10" borderId="13" xfId="115" applyFont="1" applyFill="1" applyBorder="1" applyAlignment="1" applyProtection="1">
      <alignment horizontal="center" vertical="center"/>
    </xf>
    <xf numFmtId="197" fontId="68" fillId="10" borderId="205" xfId="2" applyNumberFormat="1" applyFont="1" applyFill="1" applyBorder="1" applyAlignment="1">
      <alignment horizontal="right" vertical="center"/>
    </xf>
    <xf numFmtId="0" fontId="63" fillId="10" borderId="0" xfId="115" applyFont="1" applyFill="1" applyBorder="1" applyAlignment="1">
      <alignment horizontal="center" vertical="center"/>
    </xf>
    <xf numFmtId="0" fontId="80" fillId="10" borderId="0" xfId="115" applyFont="1" applyFill="1" applyBorder="1" applyAlignment="1" applyProtection="1">
      <alignment horizontal="left" vertical="center"/>
    </xf>
    <xf numFmtId="0" fontId="63" fillId="10" borderId="0" xfId="115" applyFont="1" applyFill="1" applyBorder="1" applyAlignment="1">
      <alignment vertical="center"/>
    </xf>
    <xf numFmtId="0" fontId="80" fillId="10" borderId="0" xfId="115" applyFont="1" applyFill="1" applyBorder="1" applyAlignment="1" applyProtection="1">
      <alignment horizontal="center" vertical="center"/>
    </xf>
    <xf numFmtId="175" fontId="63" fillId="10" borderId="0" xfId="2" applyNumberFormat="1" applyFont="1" applyFill="1" applyBorder="1" applyAlignment="1">
      <alignment horizontal="right" vertical="center"/>
    </xf>
    <xf numFmtId="0" fontId="103" fillId="10" borderId="0" xfId="115" applyFont="1" applyFill="1" applyAlignment="1">
      <alignment vertical="center"/>
    </xf>
    <xf numFmtId="166" fontId="103" fillId="10" borderId="0" xfId="42" applyFont="1" applyFill="1" applyAlignment="1">
      <alignment vertical="center"/>
    </xf>
    <xf numFmtId="166" fontId="103" fillId="10" borderId="0" xfId="42" applyFont="1" applyFill="1" applyAlignment="1">
      <alignment horizontal="center" vertical="center"/>
    </xf>
    <xf numFmtId="0" fontId="103" fillId="10" borderId="0" xfId="115" applyFont="1" applyFill="1" applyAlignment="1">
      <alignment horizontal="center" vertical="center"/>
    </xf>
    <xf numFmtId="4" fontId="63" fillId="10" borderId="0" xfId="115" applyNumberFormat="1" applyFont="1" applyFill="1" applyBorder="1" applyAlignment="1">
      <alignment vertical="center"/>
    </xf>
    <xf numFmtId="0" fontId="104" fillId="10" borderId="0" xfId="115" applyFont="1" applyFill="1" applyBorder="1" applyAlignment="1" applyProtection="1">
      <alignment horizontal="left" vertical="center"/>
    </xf>
    <xf numFmtId="4" fontId="81" fillId="10" borderId="0" xfId="115" applyNumberFormat="1" applyFont="1" applyFill="1" applyBorder="1" applyAlignment="1">
      <alignment vertical="center"/>
    </xf>
    <xf numFmtId="4" fontId="63" fillId="10" borderId="0" xfId="115" applyNumberFormat="1" applyFont="1" applyFill="1" applyAlignment="1">
      <alignment vertical="center"/>
    </xf>
    <xf numFmtId="0" fontId="105" fillId="0" borderId="0" xfId="132" applyFont="1" applyBorder="1"/>
    <xf numFmtId="0" fontId="105" fillId="0" borderId="0" xfId="0" applyFont="1"/>
    <xf numFmtId="0" fontId="79" fillId="0" borderId="0" xfId="0" applyFont="1"/>
    <xf numFmtId="0" fontId="72" fillId="0" borderId="0" xfId="132" applyFont="1" applyBorder="1" applyAlignment="1">
      <alignment horizontal="center"/>
    </xf>
    <xf numFmtId="0" fontId="76" fillId="0" borderId="0" xfId="132" applyFont="1" applyFill="1" applyBorder="1" applyAlignment="1"/>
    <xf numFmtId="0" fontId="105" fillId="0" borderId="0" xfId="132" applyFont="1" applyFill="1" applyBorder="1"/>
    <xf numFmtId="0" fontId="105" fillId="0" borderId="0" xfId="0" applyFont="1" applyFill="1"/>
    <xf numFmtId="0" fontId="79" fillId="0" borderId="0" xfId="0" applyFont="1" applyFill="1"/>
    <xf numFmtId="0" fontId="94" fillId="0" borderId="0" xfId="0" applyFont="1" applyFill="1"/>
    <xf numFmtId="0" fontId="105" fillId="0" borderId="0" xfId="132" applyFont="1" applyBorder="1" applyAlignment="1">
      <alignment vertical="center"/>
    </xf>
    <xf numFmtId="166" fontId="94" fillId="0" borderId="0" xfId="1" applyFont="1"/>
    <xf numFmtId="175" fontId="105" fillId="0" borderId="7" xfId="11" applyNumberFormat="1" applyFont="1" applyBorder="1" applyAlignment="1">
      <alignment vertical="center"/>
    </xf>
    <xf numFmtId="166" fontId="105" fillId="0" borderId="0" xfId="1" applyFont="1"/>
    <xf numFmtId="166" fontId="105" fillId="0" borderId="0" xfId="0" applyNumberFormat="1" applyFont="1"/>
    <xf numFmtId="0" fontId="94" fillId="0" borderId="0" xfId="0" applyFont="1"/>
    <xf numFmtId="0" fontId="68" fillId="0" borderId="0" xfId="132" applyFont="1" applyBorder="1"/>
    <xf numFmtId="0" fontId="68" fillId="0" borderId="0" xfId="132" applyFont="1" applyBorder="1" applyAlignment="1">
      <alignment horizontal="center"/>
    </xf>
    <xf numFmtId="175" fontId="68" fillId="0" borderId="0" xfId="31" applyNumberFormat="1" applyFont="1" applyBorder="1" applyAlignment="1"/>
    <xf numFmtId="0" fontId="68" fillId="0" borderId="0" xfId="0" applyFont="1"/>
    <xf numFmtId="0" fontId="79" fillId="0" borderId="8" xfId="132" applyFont="1" applyBorder="1" applyAlignment="1">
      <alignment horizontal="center" vertical="center"/>
    </xf>
    <xf numFmtId="0" fontId="79" fillId="0" borderId="4" xfId="132" applyFont="1" applyBorder="1" applyAlignment="1">
      <alignment horizontal="left" vertical="center" indent="1"/>
    </xf>
    <xf numFmtId="0" fontId="79" fillId="0" borderId="5" xfId="132" applyFont="1" applyBorder="1" applyAlignment="1">
      <alignment horizontal="center" vertical="center"/>
    </xf>
    <xf numFmtId="0" fontId="79" fillId="0" borderId="6" xfId="132" applyFont="1" applyBorder="1" applyAlignment="1">
      <alignment horizontal="center" vertical="center"/>
    </xf>
    <xf numFmtId="175" fontId="79" fillId="0" borderId="7" xfId="11" applyNumberFormat="1" applyFont="1" applyFill="1" applyBorder="1" applyAlignment="1">
      <alignment vertical="center"/>
    </xf>
    <xf numFmtId="166" fontId="79" fillId="0" borderId="127" xfId="132" applyNumberFormat="1" applyFont="1" applyFill="1" applyBorder="1" applyAlignment="1">
      <alignment vertical="center"/>
    </xf>
    <xf numFmtId="0" fontId="79" fillId="0" borderId="9" xfId="132" applyFont="1" applyBorder="1" applyAlignment="1">
      <alignment horizontal="center" vertical="center"/>
    </xf>
    <xf numFmtId="0" fontId="79" fillId="0" borderId="10" xfId="132" applyFont="1" applyBorder="1" applyAlignment="1">
      <alignment vertical="center"/>
    </xf>
    <xf numFmtId="0" fontId="79" fillId="0" borderId="11" xfId="132" applyFont="1" applyBorder="1" applyAlignment="1">
      <alignment horizontal="center" vertical="center"/>
    </xf>
    <xf numFmtId="0" fontId="79" fillId="0" borderId="12" xfId="132" applyFont="1" applyBorder="1" applyAlignment="1">
      <alignment horizontal="center" vertical="center"/>
    </xf>
    <xf numFmtId="175" fontId="79" fillId="0" borderId="13" xfId="11" applyNumberFormat="1" applyFont="1" applyBorder="1" applyAlignment="1">
      <alignment vertical="center"/>
    </xf>
    <xf numFmtId="0" fontId="79" fillId="0" borderId="14" xfId="132" applyFont="1" applyBorder="1" applyAlignment="1">
      <alignment vertical="center"/>
    </xf>
    <xf numFmtId="0" fontId="79" fillId="0" borderId="0" xfId="132" applyFont="1" applyBorder="1"/>
    <xf numFmtId="0" fontId="91" fillId="0" borderId="0" xfId="132" applyFont="1" applyFill="1" applyAlignment="1">
      <alignment vertical="center"/>
    </xf>
    <xf numFmtId="0" fontId="91" fillId="0" borderId="0" xfId="132" applyNumberFormat="1" applyFont="1" applyFill="1" applyAlignment="1">
      <alignment vertical="center"/>
    </xf>
    <xf numFmtId="0" fontId="76" fillId="0" borderId="0" xfId="132" applyFont="1" applyFill="1" applyBorder="1" applyAlignment="1">
      <alignment horizontal="center" vertical="center"/>
    </xf>
    <xf numFmtId="0" fontId="63" fillId="0" borderId="0" xfId="126" applyFont="1" applyFill="1" applyAlignment="1">
      <alignment horizontal="center" vertical="center"/>
    </xf>
    <xf numFmtId="0" fontId="82" fillId="0" borderId="0" xfId="126" applyFont="1" applyFill="1" applyAlignment="1">
      <alignment horizontal="center" vertical="center"/>
    </xf>
    <xf numFmtId="166" fontId="84" fillId="0" borderId="0" xfId="62" applyFont="1" applyFill="1" applyAlignment="1">
      <alignment horizontal="center" vertical="center"/>
    </xf>
    <xf numFmtId="166" fontId="106" fillId="0" borderId="0" xfId="110" applyNumberFormat="1" applyFont="1" applyFill="1" applyAlignment="1" applyProtection="1">
      <alignment vertical="center"/>
    </xf>
    <xf numFmtId="186" fontId="84" fillId="0" borderId="0" xfId="126" applyNumberFormat="1" applyFont="1" applyFill="1" applyAlignment="1">
      <alignment horizontal="left" vertical="center"/>
    </xf>
    <xf numFmtId="0" fontId="62" fillId="0" borderId="0" xfId="126" applyFont="1" applyFill="1" applyAlignment="1">
      <alignment horizontal="right" vertical="center"/>
    </xf>
    <xf numFmtId="187" fontId="62" fillId="0" borderId="0" xfId="126" applyNumberFormat="1" applyFont="1" applyFill="1" applyAlignment="1">
      <alignment horizontal="left" vertical="center"/>
    </xf>
    <xf numFmtId="0" fontId="63" fillId="0" borderId="0" xfId="126" applyFont="1" applyFill="1" applyAlignment="1">
      <alignment vertical="center"/>
    </xf>
    <xf numFmtId="166" fontId="106" fillId="0" borderId="0" xfId="110" applyNumberFormat="1" applyFont="1" applyFill="1" applyAlignment="1" applyProtection="1">
      <alignment horizontal="left" vertical="center"/>
    </xf>
    <xf numFmtId="187" fontId="84" fillId="0" borderId="0" xfId="126" applyNumberFormat="1" applyFont="1" applyFill="1" applyAlignment="1">
      <alignment horizontal="left" vertical="center"/>
    </xf>
    <xf numFmtId="176" fontId="63" fillId="0" borderId="0" xfId="126" applyNumberFormat="1" applyFont="1" applyFill="1" applyAlignment="1">
      <alignment vertical="center"/>
    </xf>
    <xf numFmtId="183" fontId="63" fillId="0" borderId="0" xfId="126" applyNumberFormat="1" applyFont="1" applyFill="1" applyAlignment="1">
      <alignment horizontal="right" vertical="center"/>
    </xf>
    <xf numFmtId="166" fontId="63" fillId="0" borderId="0" xfId="126" applyNumberFormat="1" applyFont="1" applyFill="1" applyAlignment="1">
      <alignment vertical="center"/>
    </xf>
    <xf numFmtId="176" fontId="82" fillId="0" borderId="0" xfId="126" applyNumberFormat="1" applyFont="1" applyFill="1" applyAlignment="1">
      <alignment vertical="center"/>
    </xf>
    <xf numFmtId="166" fontId="84" fillId="0" borderId="0" xfId="62" applyFont="1" applyFill="1" applyAlignment="1">
      <alignment vertical="center"/>
    </xf>
    <xf numFmtId="0" fontId="84" fillId="0" borderId="0" xfId="126" applyFont="1" applyFill="1" applyAlignment="1">
      <alignment vertical="center"/>
    </xf>
    <xf numFmtId="0" fontId="80" fillId="0" borderId="0" xfId="132" applyNumberFormat="1" applyFont="1" applyFill="1" applyAlignment="1">
      <alignment vertical="center"/>
    </xf>
    <xf numFmtId="0" fontId="63" fillId="0" borderId="225" xfId="126" applyFont="1" applyFill="1" applyBorder="1" applyAlignment="1">
      <alignment horizontal="center" vertical="center"/>
    </xf>
    <xf numFmtId="0" fontId="80" fillId="0" borderId="225" xfId="132" applyFont="1" applyFill="1" applyBorder="1" applyAlignment="1">
      <alignment vertical="center"/>
    </xf>
    <xf numFmtId="0" fontId="80" fillId="0" borderId="225" xfId="132" applyNumberFormat="1" applyFont="1" applyFill="1" applyBorder="1" applyAlignment="1">
      <alignment vertical="center"/>
    </xf>
    <xf numFmtId="0" fontId="63" fillId="0" borderId="225" xfId="126" applyFont="1" applyFill="1" applyBorder="1" applyAlignment="1">
      <alignment vertical="center"/>
    </xf>
    <xf numFmtId="183" fontId="63" fillId="0" borderId="225" xfId="126" applyNumberFormat="1" applyFont="1" applyFill="1" applyBorder="1" applyAlignment="1">
      <alignment horizontal="right" vertical="center"/>
    </xf>
    <xf numFmtId="166" fontId="63" fillId="0" borderId="225" xfId="126" applyNumberFormat="1" applyFont="1" applyFill="1" applyBorder="1" applyAlignment="1">
      <alignment vertical="center"/>
    </xf>
    <xf numFmtId="0" fontId="63" fillId="0" borderId="0" xfId="126" applyFont="1" applyFill="1" applyAlignment="1">
      <alignment horizontal="right" vertical="center"/>
    </xf>
    <xf numFmtId="0" fontId="63" fillId="0" borderId="0" xfId="182" quotePrefix="1" applyFont="1" applyFill="1" applyAlignment="1" applyProtection="1">
      <alignment vertical="center"/>
    </xf>
    <xf numFmtId="3" fontId="63" fillId="0" borderId="0" xfId="182" applyNumberFormat="1" applyFont="1" applyFill="1" applyAlignment="1" applyProtection="1">
      <alignment vertical="center"/>
    </xf>
    <xf numFmtId="165" fontId="84" fillId="0" borderId="0" xfId="182" applyNumberFormat="1" applyFont="1" applyFill="1" applyAlignment="1" applyProtection="1">
      <alignment vertical="center"/>
    </xf>
    <xf numFmtId="0" fontId="63" fillId="0" borderId="0" xfId="182" applyFont="1" applyFill="1" applyAlignment="1" applyProtection="1">
      <alignment vertical="center"/>
    </xf>
    <xf numFmtId="190" fontId="63" fillId="0" borderId="0" xfId="182" applyNumberFormat="1" applyFont="1" applyFill="1" applyAlignment="1" applyProtection="1">
      <alignment vertical="center"/>
    </xf>
    <xf numFmtId="37" fontId="63" fillId="0" borderId="0" xfId="171" applyNumberFormat="1" applyFont="1" applyFill="1" applyAlignment="1">
      <alignment horizontal="left" vertical="center"/>
    </xf>
    <xf numFmtId="191" fontId="63" fillId="0" borderId="0" xfId="182" applyNumberFormat="1" applyFont="1" applyFill="1" applyAlignment="1" applyProtection="1">
      <alignment horizontal="right" vertical="center"/>
    </xf>
    <xf numFmtId="192" fontId="84" fillId="0" borderId="0" xfId="182" applyNumberFormat="1" applyFont="1" applyFill="1" applyAlignment="1" applyProtection="1">
      <alignment vertical="center"/>
    </xf>
    <xf numFmtId="166" fontId="62" fillId="0" borderId="50" xfId="183" applyNumberFormat="1" applyFont="1" applyFill="1" applyBorder="1" applyAlignment="1">
      <alignment horizontal="center" vertical="center"/>
    </xf>
    <xf numFmtId="166" fontId="62" fillId="0" borderId="53" xfId="183" applyNumberFormat="1" applyFont="1" applyFill="1" applyBorder="1" applyAlignment="1">
      <alignment horizontal="center" vertical="center"/>
    </xf>
    <xf numFmtId="0" fontId="63" fillId="0" borderId="54" xfId="126" applyFont="1" applyFill="1" applyBorder="1" applyAlignment="1">
      <alignment horizontal="center" vertical="center"/>
    </xf>
    <xf numFmtId="176" fontId="62" fillId="0" borderId="98" xfId="180" applyNumberFormat="1" applyFont="1" applyFill="1" applyBorder="1" applyAlignment="1">
      <alignment vertical="center"/>
    </xf>
    <xf numFmtId="183" fontId="63" fillId="0" borderId="54" xfId="126" applyNumberFormat="1" applyFont="1" applyFill="1" applyBorder="1" applyAlignment="1">
      <alignment horizontal="right" vertical="center"/>
    </xf>
    <xf numFmtId="166" fontId="63" fillId="0" borderId="54" xfId="126" applyNumberFormat="1" applyFont="1" applyFill="1" applyBorder="1" applyAlignment="1">
      <alignment horizontal="center" vertical="center"/>
    </xf>
    <xf numFmtId="0" fontId="62" fillId="0" borderId="32" xfId="126" applyFont="1" applyFill="1" applyBorder="1" applyAlignment="1">
      <alignment horizontal="center" vertical="center"/>
    </xf>
    <xf numFmtId="176" fontId="62" fillId="0" borderId="33" xfId="182" applyNumberFormat="1" applyFont="1" applyFill="1" applyBorder="1" applyAlignment="1" applyProtection="1">
      <alignment horizontal="left" vertical="center"/>
    </xf>
    <xf numFmtId="0" fontId="63" fillId="0" borderId="32" xfId="126" applyFont="1" applyFill="1" applyBorder="1" applyAlignment="1">
      <alignment horizontal="center" vertical="center"/>
    </xf>
    <xf numFmtId="0" fontId="63" fillId="0" borderId="32" xfId="126" applyFont="1" applyFill="1" applyBorder="1" applyAlignment="1">
      <alignment vertical="center"/>
    </xf>
    <xf numFmtId="183" fontId="63" fillId="0" borderId="32" xfId="126" applyNumberFormat="1" applyFont="1" applyFill="1" applyBorder="1" applyAlignment="1">
      <alignment horizontal="right" vertical="center"/>
    </xf>
    <xf numFmtId="166" fontId="63" fillId="0" borderId="32" xfId="126" applyNumberFormat="1" applyFont="1" applyFill="1" applyBorder="1" applyAlignment="1">
      <alignment vertical="center"/>
    </xf>
    <xf numFmtId="188" fontId="63" fillId="0" borderId="32" xfId="183" applyNumberFormat="1" applyFont="1" applyFill="1" applyBorder="1" applyAlignment="1">
      <alignment horizontal="center" vertical="center"/>
    </xf>
    <xf numFmtId="176" fontId="73" fillId="0" borderId="33" xfId="182" applyNumberFormat="1" applyFont="1" applyFill="1" applyBorder="1" applyAlignment="1" applyProtection="1">
      <alignment horizontal="left" vertical="center"/>
    </xf>
    <xf numFmtId="176" fontId="63" fillId="0" borderId="32" xfId="62" applyNumberFormat="1" applyFont="1" applyFill="1" applyBorder="1" applyAlignment="1">
      <alignment horizontal="center" vertical="center"/>
    </xf>
    <xf numFmtId="183" fontId="63" fillId="0" borderId="32" xfId="126" applyNumberFormat="1" applyFont="1" applyFill="1" applyBorder="1" applyAlignment="1">
      <alignment vertical="center"/>
    </xf>
    <xf numFmtId="166" fontId="63" fillId="0" borderId="32" xfId="62" applyFont="1" applyFill="1" applyBorder="1" applyAlignment="1">
      <alignment vertical="center"/>
    </xf>
    <xf numFmtId="176" fontId="63" fillId="0" borderId="0" xfId="180" applyNumberFormat="1" applyFont="1" applyFill="1" applyBorder="1" applyAlignment="1">
      <alignment vertical="center"/>
    </xf>
    <xf numFmtId="0" fontId="63" fillId="0" borderId="32" xfId="126" applyNumberFormat="1" applyFont="1" applyFill="1" applyBorder="1" applyAlignment="1">
      <alignment horizontal="center" vertical="center"/>
    </xf>
    <xf numFmtId="166" fontId="63" fillId="0" borderId="33" xfId="95" applyFont="1" applyFill="1" applyBorder="1" applyAlignment="1" applyProtection="1">
      <alignment vertical="center"/>
    </xf>
    <xf numFmtId="0" fontId="63" fillId="0" borderId="79" xfId="126" applyFont="1" applyFill="1" applyBorder="1" applyAlignment="1">
      <alignment horizontal="center" vertical="center"/>
    </xf>
    <xf numFmtId="0" fontId="62" fillId="0" borderId="37" xfId="181" applyFont="1" applyFill="1" applyBorder="1" applyAlignment="1" applyProtection="1">
      <alignment horizontal="center" vertical="center"/>
    </xf>
    <xf numFmtId="176" fontId="62" fillId="0" borderId="81" xfId="126" applyNumberFormat="1" applyFont="1" applyFill="1" applyBorder="1" applyAlignment="1">
      <alignment vertical="center"/>
    </xf>
    <xf numFmtId="0" fontId="62" fillId="0" borderId="81" xfId="126" applyFont="1" applyFill="1" applyBorder="1" applyAlignment="1">
      <alignment vertical="center"/>
    </xf>
    <xf numFmtId="0" fontId="62" fillId="0" borderId="99" xfId="126" applyFont="1" applyFill="1" applyBorder="1" applyAlignment="1">
      <alignment vertical="center"/>
    </xf>
    <xf numFmtId="166" fontId="62" fillId="0" borderId="37" xfId="126" applyNumberFormat="1" applyFont="1" applyFill="1" applyBorder="1" applyAlignment="1">
      <alignment vertical="center"/>
    </xf>
    <xf numFmtId="166" fontId="63" fillId="0" borderId="37" xfId="126" applyNumberFormat="1" applyFont="1" applyFill="1" applyBorder="1" applyAlignment="1">
      <alignment vertical="center"/>
    </xf>
    <xf numFmtId="0" fontId="62" fillId="0" borderId="80" xfId="182" applyFont="1" applyFill="1" applyBorder="1" applyAlignment="1" applyProtection="1">
      <alignment horizontal="center" vertical="center"/>
    </xf>
    <xf numFmtId="166" fontId="62" fillId="0" borderId="37" xfId="20" applyNumberFormat="1" applyFont="1" applyFill="1" applyBorder="1" applyAlignment="1" applyProtection="1">
      <alignment vertical="center"/>
    </xf>
    <xf numFmtId="0" fontId="85" fillId="0" borderId="0" xfId="126" applyFont="1" applyFill="1" applyAlignment="1">
      <alignment vertical="center"/>
    </xf>
    <xf numFmtId="176" fontId="85" fillId="0" borderId="0" xfId="126" applyNumberFormat="1" applyFont="1" applyFill="1" applyAlignment="1">
      <alignment vertical="center"/>
    </xf>
    <xf numFmtId="0" fontId="85" fillId="0" borderId="0" xfId="126" applyFont="1" applyFill="1" applyAlignment="1">
      <alignment horizontal="right" vertical="center"/>
    </xf>
    <xf numFmtId="0" fontId="85" fillId="0" borderId="0" xfId="182" quotePrefix="1" applyFont="1" applyFill="1" applyAlignment="1" applyProtection="1">
      <alignment vertical="center"/>
    </xf>
    <xf numFmtId="166" fontId="85" fillId="0" borderId="0" xfId="126" applyNumberFormat="1" applyFont="1" applyFill="1" applyAlignment="1">
      <alignment vertical="center"/>
    </xf>
    <xf numFmtId="0" fontId="85" fillId="0" borderId="0" xfId="182" applyFont="1" applyFill="1" applyAlignment="1" applyProtection="1">
      <alignment vertical="center"/>
    </xf>
    <xf numFmtId="190" fontId="85" fillId="0" borderId="0" xfId="182" applyNumberFormat="1" applyFont="1" applyFill="1" applyAlignment="1" applyProtection="1">
      <alignment vertical="center"/>
    </xf>
    <xf numFmtId="0" fontId="85" fillId="0" borderId="0" xfId="126" applyFont="1" applyFill="1" applyAlignment="1">
      <alignment horizontal="center" vertical="center"/>
    </xf>
    <xf numFmtId="183" fontId="85" fillId="0" borderId="0" xfId="126" applyNumberFormat="1" applyFont="1" applyFill="1" applyAlignment="1">
      <alignment horizontal="right" vertical="center"/>
    </xf>
    <xf numFmtId="166" fontId="107" fillId="0" borderId="50" xfId="183" applyNumberFormat="1" applyFont="1" applyFill="1" applyBorder="1" applyAlignment="1">
      <alignment horizontal="center" vertical="center"/>
    </xf>
    <xf numFmtId="166" fontId="107" fillId="0" borderId="53" xfId="183" applyNumberFormat="1" applyFont="1" applyFill="1" applyBorder="1" applyAlignment="1">
      <alignment horizontal="center" vertical="center"/>
    </xf>
    <xf numFmtId="0" fontId="85" fillId="0" borderId="32" xfId="126" applyFont="1" applyFill="1" applyBorder="1" applyAlignment="1">
      <alignment horizontal="center" vertical="center"/>
    </xf>
    <xf numFmtId="176" fontId="107" fillId="0" borderId="0" xfId="180" applyNumberFormat="1" applyFont="1" applyFill="1" applyAlignment="1">
      <alignment vertical="center"/>
    </xf>
    <xf numFmtId="0" fontId="85" fillId="0" borderId="54" xfId="126" applyFont="1" applyFill="1" applyBorder="1" applyAlignment="1">
      <alignment horizontal="center" vertical="center"/>
    </xf>
    <xf numFmtId="183" fontId="85" fillId="0" borderId="32" xfId="126" applyNumberFormat="1" applyFont="1" applyFill="1" applyBorder="1" applyAlignment="1">
      <alignment horizontal="right" vertical="center"/>
    </xf>
    <xf numFmtId="166" fontId="85" fillId="0" borderId="32" xfId="126" applyNumberFormat="1" applyFont="1" applyFill="1" applyBorder="1" applyAlignment="1">
      <alignment horizontal="center" vertical="center"/>
    </xf>
    <xf numFmtId="0" fontId="107" fillId="0" borderId="32" xfId="126" applyFont="1" applyFill="1" applyBorder="1" applyAlignment="1">
      <alignment horizontal="center" vertical="center"/>
    </xf>
    <xf numFmtId="0" fontId="85" fillId="0" borderId="32" xfId="126" applyFont="1" applyFill="1" applyBorder="1" applyAlignment="1">
      <alignment vertical="center"/>
    </xf>
    <xf numFmtId="166" fontId="85" fillId="0" borderId="32" xfId="126" applyNumberFormat="1" applyFont="1" applyFill="1" applyBorder="1" applyAlignment="1">
      <alignment vertical="center"/>
    </xf>
    <xf numFmtId="188" fontId="85" fillId="0" borderId="32" xfId="183" applyNumberFormat="1" applyFont="1" applyFill="1" applyBorder="1" applyAlignment="1">
      <alignment horizontal="center" vertical="center"/>
    </xf>
    <xf numFmtId="176" fontId="85" fillId="0" borderId="0" xfId="180" applyNumberFormat="1" applyFont="1" applyFill="1" applyAlignment="1">
      <alignment vertical="center"/>
    </xf>
    <xf numFmtId="176" fontId="85" fillId="0" borderId="32" xfId="62" applyNumberFormat="1" applyFont="1" applyFill="1" applyBorder="1" applyAlignment="1">
      <alignment horizontal="center" vertical="center"/>
    </xf>
    <xf numFmtId="183" fontId="85" fillId="0" borderId="32" xfId="126" applyNumberFormat="1" applyFont="1" applyFill="1" applyBorder="1" applyAlignment="1">
      <alignment vertical="center"/>
    </xf>
    <xf numFmtId="166" fontId="85" fillId="0" borderId="32" xfId="62" applyFont="1" applyFill="1" applyBorder="1" applyAlignment="1">
      <alignment vertical="center"/>
    </xf>
    <xf numFmtId="0" fontId="85" fillId="0" borderId="79" xfId="126" applyFont="1" applyFill="1" applyBorder="1" applyAlignment="1">
      <alignment horizontal="center" vertical="center"/>
    </xf>
    <xf numFmtId="9" fontId="85" fillId="0" borderId="32" xfId="189" applyFont="1" applyFill="1" applyBorder="1" applyAlignment="1">
      <alignment horizontal="center" vertical="center"/>
    </xf>
    <xf numFmtId="166" fontId="107" fillId="0" borderId="37" xfId="126" applyNumberFormat="1" applyFont="1" applyFill="1" applyBorder="1" applyAlignment="1">
      <alignment vertical="center"/>
    </xf>
    <xf numFmtId="0" fontId="85" fillId="0" borderId="50" xfId="126" applyFont="1" applyFill="1" applyBorder="1" applyAlignment="1">
      <alignment horizontal="center" vertical="center"/>
    </xf>
    <xf numFmtId="0" fontId="107" fillId="0" borderId="50" xfId="126" applyFont="1" applyFill="1" applyBorder="1" applyAlignment="1">
      <alignment horizontal="center" vertical="center"/>
    </xf>
    <xf numFmtId="166" fontId="107" fillId="0" borderId="50" xfId="126" applyNumberFormat="1" applyFont="1" applyFill="1" applyBorder="1" applyAlignment="1">
      <alignment vertical="center"/>
    </xf>
    <xf numFmtId="0" fontId="107" fillId="0" borderId="37" xfId="126" applyFont="1" applyFill="1" applyBorder="1" applyAlignment="1">
      <alignment horizontal="center" vertical="center"/>
    </xf>
    <xf numFmtId="0" fontId="107" fillId="0" borderId="79" xfId="126" applyFont="1" applyFill="1" applyBorder="1" applyAlignment="1">
      <alignment horizontal="center" vertical="center"/>
    </xf>
    <xf numFmtId="166" fontId="107" fillId="0" borderId="79" xfId="126" applyNumberFormat="1" applyFont="1" applyFill="1" applyBorder="1" applyAlignment="1">
      <alignment vertical="center"/>
    </xf>
    <xf numFmtId="4" fontId="63" fillId="0" borderId="0" xfId="0" applyNumberFormat="1" applyFont="1" applyFill="1"/>
    <xf numFmtId="166" fontId="63" fillId="0" borderId="0" xfId="62" applyFont="1" applyFill="1" applyAlignment="1">
      <alignment vertical="center"/>
    </xf>
    <xf numFmtId="0" fontId="68" fillId="0" borderId="0" xfId="177" applyFont="1" applyAlignment="1">
      <alignment vertical="center"/>
    </xf>
    <xf numFmtId="0" fontId="68" fillId="0" borderId="0" xfId="126" applyFont="1" applyAlignment="1">
      <alignment vertical="center"/>
    </xf>
    <xf numFmtId="0" fontId="68" fillId="0" borderId="0" xfId="178" applyFont="1" applyAlignment="1">
      <alignment vertical="center"/>
    </xf>
    <xf numFmtId="0" fontId="69" fillId="0" borderId="0" xfId="177" applyFont="1" applyAlignment="1">
      <alignment vertical="center"/>
    </xf>
    <xf numFmtId="0" fontId="69" fillId="0" borderId="0" xfId="176" applyFont="1" applyAlignment="1" applyProtection="1">
      <alignment vertical="center"/>
      <protection locked="0"/>
    </xf>
    <xf numFmtId="0" fontId="69" fillId="0" borderId="0" xfId="178" applyFont="1" applyAlignment="1">
      <alignment vertical="center"/>
    </xf>
    <xf numFmtId="39" fontId="68" fillId="0" borderId="0" xfId="178" applyNumberFormat="1" applyFont="1" applyAlignment="1">
      <alignment vertical="center"/>
    </xf>
    <xf numFmtId="0" fontId="68" fillId="0" borderId="0" xfId="178" applyFont="1" applyAlignment="1">
      <alignment horizontal="centerContinuous" vertical="center"/>
    </xf>
    <xf numFmtId="0" fontId="68" fillId="0" borderId="0" xfId="178" applyFont="1" applyAlignment="1">
      <alignment horizontal="right" vertical="center"/>
    </xf>
    <xf numFmtId="0" fontId="109" fillId="0" borderId="0" xfId="178" applyFont="1" applyAlignment="1">
      <alignment horizontal="right" vertical="center"/>
    </xf>
    <xf numFmtId="0" fontId="67" fillId="0" borderId="0" xfId="178" applyFont="1" applyAlignment="1">
      <alignment horizontal="right" vertical="center"/>
    </xf>
    <xf numFmtId="0" fontId="68" fillId="0" borderId="212" xfId="178" applyFont="1" applyBorder="1" applyAlignment="1">
      <alignment vertical="center"/>
    </xf>
    <xf numFmtId="0" fontId="68" fillId="0" borderId="229" xfId="178" applyFont="1" applyBorder="1" applyAlignment="1">
      <alignment vertical="center"/>
    </xf>
    <xf numFmtId="0" fontId="68" fillId="0" borderId="213" xfId="178" applyFont="1" applyBorder="1" applyAlignment="1">
      <alignment vertical="center"/>
    </xf>
    <xf numFmtId="0" fontId="68" fillId="0" borderId="230" xfId="178" applyFont="1" applyBorder="1" applyAlignment="1">
      <alignment vertical="center"/>
    </xf>
    <xf numFmtId="0" fontId="68" fillId="0" borderId="0" xfId="178" applyFont="1" applyBorder="1" applyAlignment="1">
      <alignment vertical="center"/>
    </xf>
    <xf numFmtId="0" fontId="69" fillId="0" borderId="84" xfId="178" applyFont="1" applyBorder="1" applyAlignment="1">
      <alignment horizontal="center" vertical="center"/>
    </xf>
    <xf numFmtId="0" fontId="69" fillId="0" borderId="67" xfId="178" applyFont="1" applyBorder="1" applyAlignment="1">
      <alignment vertical="center"/>
    </xf>
    <xf numFmtId="0" fontId="69" fillId="0" borderId="0" xfId="178" applyFont="1" applyBorder="1" applyAlignment="1">
      <alignment horizontal="centerContinuous" vertical="center"/>
    </xf>
    <xf numFmtId="0" fontId="69" fillId="0" borderId="67" xfId="178" applyFont="1" applyBorder="1" applyAlignment="1">
      <alignment horizontal="center" vertical="center"/>
    </xf>
    <xf numFmtId="0" fontId="69" fillId="0" borderId="85" xfId="178" applyFont="1" applyBorder="1" applyAlignment="1">
      <alignment horizontal="center" vertical="center"/>
    </xf>
    <xf numFmtId="0" fontId="69" fillId="0" borderId="0" xfId="178" applyFont="1" applyBorder="1" applyAlignment="1">
      <alignment horizontal="center" vertical="center"/>
    </xf>
    <xf numFmtId="0" fontId="69" fillId="0" borderId="0" xfId="178" applyFont="1" applyAlignment="1">
      <alignment horizontal="centerContinuous" vertical="center"/>
    </xf>
    <xf numFmtId="0" fontId="69" fillId="0" borderId="0" xfId="178" applyFont="1" applyAlignment="1">
      <alignment horizontal="center" vertical="center"/>
    </xf>
    <xf numFmtId="0" fontId="68" fillId="0" borderId="86" xfId="178" applyFont="1" applyBorder="1" applyAlignment="1">
      <alignment vertical="center"/>
    </xf>
    <xf numFmtId="0" fontId="68" fillId="0" borderId="87" xfId="178" applyFont="1" applyBorder="1" applyAlignment="1">
      <alignment vertical="center"/>
    </xf>
    <xf numFmtId="0" fontId="68" fillId="0" borderId="88" xfId="178" applyFont="1" applyBorder="1" applyAlignment="1">
      <alignment vertical="center"/>
    </xf>
    <xf numFmtId="0" fontId="68" fillId="0" borderId="89" xfId="178" applyFont="1" applyBorder="1" applyAlignment="1">
      <alignment vertical="center"/>
    </xf>
    <xf numFmtId="0" fontId="68" fillId="0" borderId="0" xfId="174" applyFont="1" applyAlignment="1">
      <alignment vertical="center"/>
    </xf>
    <xf numFmtId="0" fontId="68" fillId="0" borderId="84" xfId="178" applyFont="1" applyBorder="1" applyAlignment="1">
      <alignment vertical="center"/>
    </xf>
    <xf numFmtId="0" fontId="68" fillId="0" borderId="67" xfId="178" applyFont="1" applyBorder="1" applyAlignment="1">
      <alignment vertical="center"/>
    </xf>
    <xf numFmtId="39" fontId="68" fillId="0" borderId="67" xfId="178" applyNumberFormat="1" applyFont="1" applyBorder="1" applyAlignment="1">
      <alignment vertical="center"/>
    </xf>
    <xf numFmtId="0" fontId="109" fillId="0" borderId="85" xfId="178" applyFont="1" applyBorder="1" applyAlignment="1">
      <alignment vertical="center"/>
    </xf>
    <xf numFmtId="165" fontId="69" fillId="0" borderId="84" xfId="178" applyNumberFormat="1" applyFont="1" applyBorder="1" applyAlignment="1">
      <alignment horizontal="center" vertical="center"/>
    </xf>
    <xf numFmtId="0" fontId="69" fillId="0" borderId="0" xfId="178" applyFont="1" applyBorder="1" applyAlignment="1">
      <alignment vertical="center"/>
    </xf>
    <xf numFmtId="165" fontId="68" fillId="0" borderId="84" xfId="178" applyNumberFormat="1" applyFont="1" applyBorder="1" applyAlignment="1">
      <alignment horizontal="center" vertical="center"/>
    </xf>
    <xf numFmtId="165" fontId="68" fillId="0" borderId="84" xfId="178" applyNumberFormat="1" applyFont="1" applyBorder="1" applyAlignment="1">
      <alignment vertical="center"/>
    </xf>
    <xf numFmtId="0" fontId="68" fillId="0" borderId="0" xfId="178" applyFont="1" applyAlignment="1">
      <alignment horizontal="center" vertical="center"/>
    </xf>
    <xf numFmtId="172" fontId="68" fillId="0" borderId="0" xfId="175" applyFont="1" applyAlignment="1">
      <alignment vertical="center"/>
    </xf>
    <xf numFmtId="39" fontId="67" fillId="3" borderId="0" xfId="126" applyNumberFormat="1" applyFont="1" applyFill="1" applyAlignment="1">
      <alignment vertical="center"/>
    </xf>
    <xf numFmtId="39" fontId="67" fillId="4" borderId="0" xfId="126" applyNumberFormat="1" applyFont="1" applyFill="1" applyAlignment="1">
      <alignment vertical="center"/>
    </xf>
    <xf numFmtId="0" fontId="68" fillId="0" borderId="0" xfId="173" applyFont="1" applyBorder="1" applyAlignment="1">
      <alignment vertical="center"/>
    </xf>
    <xf numFmtId="0" fontId="68" fillId="0" borderId="67" xfId="173" applyFont="1" applyBorder="1" applyAlignment="1">
      <alignment horizontal="center" vertical="center"/>
    </xf>
    <xf numFmtId="39" fontId="68" fillId="0" borderId="67" xfId="173" applyNumberFormat="1" applyFont="1" applyBorder="1" applyAlignment="1">
      <alignment vertical="center"/>
    </xf>
    <xf numFmtId="166" fontId="68" fillId="0" borderId="0" xfId="178" applyNumberFormat="1" applyFont="1" applyAlignment="1">
      <alignment vertical="center"/>
    </xf>
    <xf numFmtId="39" fontId="68" fillId="0" borderId="0" xfId="178" applyNumberFormat="1" applyFont="1" applyAlignment="1" applyProtection="1">
      <alignment vertical="center"/>
      <protection locked="0"/>
    </xf>
    <xf numFmtId="0" fontId="68" fillId="0" borderId="67" xfId="178" applyFont="1" applyBorder="1" applyAlignment="1">
      <alignment horizontal="center" vertical="center"/>
    </xf>
    <xf numFmtId="39" fontId="68" fillId="0" borderId="67" xfId="178" applyNumberFormat="1" applyFont="1" applyBorder="1" applyAlignment="1" applyProtection="1">
      <alignment vertical="center"/>
      <protection locked="0"/>
    </xf>
    <xf numFmtId="37" fontId="68" fillId="0" borderId="67" xfId="178" applyNumberFormat="1" applyFont="1" applyBorder="1" applyAlignment="1" applyProtection="1">
      <alignment vertical="center"/>
      <protection locked="0"/>
    </xf>
    <xf numFmtId="0" fontId="69" fillId="0" borderId="90" xfId="178" applyFont="1" applyBorder="1" applyAlignment="1">
      <alignment vertical="center"/>
    </xf>
    <xf numFmtId="180" fontId="69" fillId="0" borderId="0" xfId="178" applyNumberFormat="1" applyFont="1" applyAlignment="1">
      <alignment vertical="center"/>
    </xf>
    <xf numFmtId="0" fontId="69" fillId="0" borderId="90" xfId="178" applyFont="1" applyBorder="1" applyAlignment="1">
      <alignment horizontal="centerContinuous" vertical="center"/>
    </xf>
    <xf numFmtId="39" fontId="68" fillId="0" borderId="67" xfId="178" applyNumberFormat="1" applyFont="1" applyFill="1" applyBorder="1" applyAlignment="1" applyProtection="1">
      <alignment vertical="center"/>
      <protection locked="0"/>
    </xf>
    <xf numFmtId="0" fontId="68" fillId="0" borderId="90" xfId="178" applyFont="1" applyBorder="1" applyAlignment="1">
      <alignment vertical="center"/>
    </xf>
    <xf numFmtId="0" fontId="69" fillId="0" borderId="84" xfId="178" applyFont="1" applyBorder="1" applyAlignment="1">
      <alignment vertical="center"/>
    </xf>
    <xf numFmtId="39" fontId="68" fillId="0" borderId="90" xfId="178" applyNumberFormat="1" applyFont="1" applyBorder="1" applyAlignment="1">
      <alignment vertical="center"/>
    </xf>
    <xf numFmtId="180" fontId="68" fillId="0" borderId="67" xfId="178" applyNumberFormat="1" applyFont="1" applyBorder="1" applyAlignment="1" applyProtection="1">
      <alignment vertical="center"/>
      <protection locked="0"/>
    </xf>
    <xf numFmtId="0" fontId="68" fillId="0" borderId="0" xfId="177" applyFont="1" applyAlignment="1">
      <alignment horizontal="right" vertical="center"/>
    </xf>
    <xf numFmtId="0" fontId="110" fillId="0" borderId="0" xfId="178" applyFont="1" applyBorder="1" applyAlignment="1">
      <alignment vertical="center"/>
    </xf>
    <xf numFmtId="0" fontId="68" fillId="0" borderId="0" xfId="178" quotePrefix="1" applyFont="1" applyBorder="1" applyAlignment="1">
      <alignment vertical="center"/>
    </xf>
    <xf numFmtId="0" fontId="68" fillId="0" borderId="91" xfId="178" applyFont="1" applyBorder="1" applyAlignment="1">
      <alignment horizontal="center" vertical="center"/>
    </xf>
    <xf numFmtId="39" fontId="68" fillId="0" borderId="91" xfId="178" applyNumberFormat="1" applyFont="1" applyBorder="1" applyAlignment="1">
      <alignment vertical="center"/>
    </xf>
    <xf numFmtId="0" fontId="68" fillId="0" borderId="92" xfId="178" applyFont="1" applyBorder="1" applyAlignment="1">
      <alignment horizontal="center" vertical="center"/>
    </xf>
    <xf numFmtId="180" fontId="69" fillId="0" borderId="67" xfId="178" applyNumberFormat="1" applyFont="1" applyBorder="1" applyAlignment="1">
      <alignment vertical="center"/>
    </xf>
    <xf numFmtId="171" fontId="68" fillId="0" borderId="0" xfId="178" applyNumberFormat="1" applyFont="1" applyAlignment="1">
      <alignment vertical="center"/>
    </xf>
    <xf numFmtId="0" fontId="68" fillId="0" borderId="0" xfId="173" applyFont="1" applyAlignment="1">
      <alignment vertical="center"/>
    </xf>
    <xf numFmtId="0" fontId="109" fillId="0" borderId="85" xfId="178" applyFont="1" applyBorder="1" applyAlignment="1">
      <alignment horizontal="left" vertical="center"/>
    </xf>
    <xf numFmtId="39" fontId="68" fillId="0" borderId="0" xfId="174" applyNumberFormat="1" applyFont="1" applyAlignment="1">
      <alignment vertical="center"/>
    </xf>
    <xf numFmtId="39" fontId="68" fillId="4" borderId="67" xfId="178" applyNumberFormat="1" applyFont="1" applyFill="1" applyBorder="1" applyAlignment="1" applyProtection="1">
      <alignment vertical="center"/>
      <protection locked="0"/>
    </xf>
    <xf numFmtId="2" fontId="68" fillId="0" borderId="0" xfId="173" applyNumberFormat="1" applyFont="1" applyAlignment="1">
      <alignment vertical="center"/>
    </xf>
    <xf numFmtId="0" fontId="69" fillId="0" borderId="0" xfId="178" quotePrefix="1" applyFont="1" applyBorder="1" applyAlignment="1">
      <alignment vertical="center"/>
    </xf>
    <xf numFmtId="0" fontId="68" fillId="0" borderId="91" xfId="177" applyFont="1" applyBorder="1" applyAlignment="1">
      <alignment vertical="center"/>
    </xf>
    <xf numFmtId="0" fontId="68" fillId="0" borderId="93" xfId="177" applyFont="1" applyBorder="1" applyAlignment="1">
      <alignment vertical="center"/>
    </xf>
    <xf numFmtId="0" fontId="68" fillId="0" borderId="94" xfId="178" applyFont="1" applyBorder="1" applyAlignment="1">
      <alignment vertical="center"/>
    </xf>
    <xf numFmtId="0" fontId="68" fillId="0" borderId="67" xfId="177" applyFont="1" applyBorder="1" applyAlignment="1">
      <alignment horizontal="right" vertical="center"/>
    </xf>
    <xf numFmtId="0" fontId="68" fillId="0" borderId="95" xfId="178" applyFont="1" applyBorder="1" applyAlignment="1">
      <alignment vertical="center"/>
    </xf>
    <xf numFmtId="0" fontId="68" fillId="0" borderId="96" xfId="177" applyFont="1" applyBorder="1" applyAlignment="1">
      <alignment vertical="center"/>
    </xf>
    <xf numFmtId="0" fontId="68" fillId="0" borderId="77" xfId="177" applyFont="1" applyBorder="1" applyAlignment="1">
      <alignment vertical="center"/>
    </xf>
    <xf numFmtId="0" fontId="68" fillId="0" borderId="97" xfId="178" applyFont="1" applyBorder="1" applyAlignment="1">
      <alignment vertical="center"/>
    </xf>
    <xf numFmtId="0" fontId="109" fillId="0" borderId="89" xfId="178" applyFont="1" applyBorder="1" applyAlignment="1">
      <alignment vertical="center"/>
    </xf>
    <xf numFmtId="0" fontId="62" fillId="0" borderId="0" xfId="0" applyFont="1" applyBorder="1" applyAlignment="1">
      <alignment horizontal="center"/>
    </xf>
    <xf numFmtId="0" fontId="63" fillId="0" borderId="0" xfId="0" applyFont="1" applyBorder="1" applyAlignment="1">
      <alignment horizontal="left" vertical="center"/>
    </xf>
    <xf numFmtId="0" fontId="63" fillId="0" borderId="0" xfId="0" applyFont="1" applyBorder="1" applyAlignment="1">
      <alignment horizontal="center"/>
    </xf>
    <xf numFmtId="0" fontId="63" fillId="0" borderId="225" xfId="0" applyFont="1" applyBorder="1" applyAlignment="1">
      <alignment horizontal="left" vertical="center"/>
    </xf>
    <xf numFmtId="0" fontId="63" fillId="0" borderId="225" xfId="0" applyFont="1" applyBorder="1" applyAlignment="1">
      <alignment horizontal="center"/>
    </xf>
    <xf numFmtId="0" fontId="62" fillId="0" borderId="0" xfId="140" applyFont="1" applyFill="1" applyBorder="1" applyAlignment="1">
      <alignment vertical="center"/>
    </xf>
    <xf numFmtId="171" fontId="63" fillId="0" borderId="0" xfId="0" applyNumberFormat="1" applyFont="1" applyBorder="1"/>
    <xf numFmtId="184" fontId="62" fillId="0" borderId="0" xfId="0" applyNumberFormat="1" applyFont="1" applyBorder="1"/>
    <xf numFmtId="0" fontId="63" fillId="9" borderId="0" xfId="0" applyFont="1" applyFill="1" applyBorder="1" applyAlignment="1">
      <alignment horizontal="center" vertical="center"/>
    </xf>
    <xf numFmtId="0" fontId="63" fillId="9" borderId="0" xfId="0" applyFont="1" applyFill="1" applyBorder="1" applyAlignment="1">
      <alignment horizontal="center" vertical="center" wrapText="1"/>
    </xf>
    <xf numFmtId="179" fontId="63" fillId="9" borderId="0" xfId="2" applyNumberFormat="1" applyFont="1" applyFill="1" applyBorder="1" applyAlignment="1">
      <alignment horizontal="center" vertical="center" wrapText="1"/>
    </xf>
    <xf numFmtId="0" fontId="63" fillId="0" borderId="0" xfId="0" applyFont="1" applyBorder="1" applyAlignment="1">
      <alignment horizontal="center" vertical="center"/>
    </xf>
    <xf numFmtId="0" fontId="63" fillId="0" borderId="0" xfId="114" applyFont="1" applyFill="1" applyBorder="1" applyAlignment="1">
      <alignment horizontal="center" vertical="center" wrapText="1"/>
    </xf>
    <xf numFmtId="183" fontId="63" fillId="0" borderId="0" xfId="1" applyNumberFormat="1" applyFont="1" applyFill="1" applyBorder="1" applyAlignment="1">
      <alignment horizontal="center" vertical="center" wrapText="1"/>
    </xf>
    <xf numFmtId="168" fontId="63" fillId="0" borderId="0" xfId="114" applyNumberFormat="1" applyFont="1" applyFill="1" applyBorder="1" applyAlignment="1">
      <alignment horizontal="center" vertical="center" wrapText="1"/>
    </xf>
    <xf numFmtId="177" fontId="63" fillId="0" borderId="0" xfId="114" applyNumberFormat="1" applyFont="1" applyFill="1" applyBorder="1" applyAlignment="1">
      <alignment horizontal="center" vertical="center" wrapText="1"/>
    </xf>
    <xf numFmtId="0" fontId="62" fillId="0" borderId="0" xfId="0" applyFont="1" applyBorder="1" applyAlignment="1">
      <alignment horizontal="center" vertical="center"/>
    </xf>
    <xf numFmtId="0" fontId="62" fillId="0" borderId="0" xfId="0" applyFont="1" applyBorder="1" applyAlignment="1">
      <alignment horizontal="left" vertical="center"/>
    </xf>
    <xf numFmtId="0" fontId="62" fillId="0" borderId="0" xfId="0" applyFont="1" applyBorder="1" applyAlignment="1">
      <alignment horizontal="center" vertical="center" wrapText="1"/>
    </xf>
    <xf numFmtId="179" fontId="62" fillId="0" borderId="0" xfId="2" applyNumberFormat="1" applyFont="1" applyBorder="1" applyAlignment="1">
      <alignment horizontal="center" vertical="center" wrapText="1"/>
    </xf>
    <xf numFmtId="179" fontId="63" fillId="0" borderId="0" xfId="2" applyNumberFormat="1" applyFont="1" applyFill="1" applyBorder="1" applyAlignment="1">
      <alignment horizontal="center" vertical="center"/>
    </xf>
    <xf numFmtId="175" fontId="63" fillId="0" borderId="0" xfId="2" applyNumberFormat="1" applyFont="1" applyBorder="1"/>
    <xf numFmtId="166" fontId="63" fillId="0" borderId="0" xfId="0" applyNumberFormat="1" applyFont="1" applyBorder="1" applyAlignment="1">
      <alignment horizontal="center" vertical="center" wrapText="1"/>
    </xf>
    <xf numFmtId="4" fontId="63" fillId="0" borderId="0" xfId="2" applyNumberFormat="1" applyFont="1" applyBorder="1" applyAlignment="1">
      <alignment horizontal="right" vertical="center"/>
    </xf>
    <xf numFmtId="0" fontId="63" fillId="0" borderId="0" xfId="155" applyFont="1" applyFill="1" applyBorder="1" applyAlignment="1">
      <alignment vertical="center"/>
    </xf>
    <xf numFmtId="166" fontId="63" fillId="0" borderId="0" xfId="192" applyFont="1" applyFill="1" applyBorder="1" applyAlignment="1">
      <alignment horizontal="center" vertical="center"/>
    </xf>
    <xf numFmtId="0" fontId="63" fillId="0" borderId="0" xfId="140" applyFont="1" applyFill="1" applyBorder="1" applyAlignment="1">
      <alignment vertical="center"/>
    </xf>
    <xf numFmtId="195" fontId="63" fillId="0" borderId="0" xfId="0" applyNumberFormat="1" applyFont="1" applyBorder="1"/>
    <xf numFmtId="175" fontId="63" fillId="0" borderId="0" xfId="2" applyNumberFormat="1" applyFont="1" applyBorder="1" applyAlignment="1">
      <alignment horizontal="right"/>
    </xf>
    <xf numFmtId="175" fontId="63" fillId="0" borderId="0" xfId="2" applyNumberFormat="1" applyFont="1" applyBorder="1" applyAlignment="1">
      <alignment horizontal="center"/>
    </xf>
    <xf numFmtId="9" fontId="63" fillId="0" borderId="0" xfId="0" applyNumberFormat="1" applyFont="1" applyBorder="1" applyAlignment="1">
      <alignment horizontal="left"/>
    </xf>
    <xf numFmtId="175" fontId="62" fillId="0" borderId="0" xfId="0" applyNumberFormat="1" applyFont="1" applyBorder="1"/>
    <xf numFmtId="0" fontId="65" fillId="0" borderId="0" xfId="0" applyFont="1" applyBorder="1" applyAlignment="1">
      <alignment horizontal="center"/>
    </xf>
    <xf numFmtId="0" fontId="64" fillId="0" borderId="0" xfId="0" applyFont="1" applyBorder="1" applyAlignment="1">
      <alignment horizontal="center"/>
    </xf>
    <xf numFmtId="0" fontId="64" fillId="0" borderId="0" xfId="0" applyFont="1" applyBorder="1"/>
    <xf numFmtId="171" fontId="62" fillId="0" borderId="0" xfId="0" applyNumberFormat="1" applyFont="1" applyBorder="1"/>
    <xf numFmtId="0" fontId="62" fillId="0" borderId="0" xfId="140" applyFont="1" applyFill="1" applyBorder="1" applyAlignment="1">
      <alignment horizontal="left" vertical="center"/>
    </xf>
    <xf numFmtId="0" fontId="65" fillId="0" borderId="0" xfId="0" applyFont="1" applyFill="1" applyBorder="1"/>
    <xf numFmtId="0" fontId="65" fillId="0" borderId="0" xfId="0" applyFont="1" applyBorder="1"/>
    <xf numFmtId="175" fontId="65" fillId="0" borderId="0" xfId="0" applyNumberFormat="1" applyFont="1" applyBorder="1"/>
    <xf numFmtId="181" fontId="63" fillId="0" borderId="0" xfId="2" applyNumberFormat="1" applyFont="1" applyFill="1" applyBorder="1" applyAlignment="1">
      <alignment horizontal="center" vertical="center"/>
    </xf>
    <xf numFmtId="0" fontId="62" fillId="0" borderId="82" xfId="0" applyFont="1" applyFill="1" applyBorder="1"/>
    <xf numFmtId="175" fontId="62" fillId="0" borderId="82" xfId="0" applyNumberFormat="1" applyFont="1" applyFill="1" applyBorder="1"/>
    <xf numFmtId="171" fontId="64" fillId="0" borderId="0" xfId="0" applyNumberFormat="1" applyFont="1" applyBorder="1"/>
    <xf numFmtId="184" fontId="65" fillId="0" borderId="0" xfId="0" applyNumberFormat="1" applyFont="1" applyBorder="1"/>
    <xf numFmtId="9" fontId="63" fillId="0" borderId="0" xfId="1" applyNumberFormat="1" applyFont="1" applyBorder="1"/>
    <xf numFmtId="9" fontId="63" fillId="0" borderId="0" xfId="0" applyNumberFormat="1" applyFont="1" applyBorder="1"/>
    <xf numFmtId="0" fontId="64" fillId="0" borderId="0" xfId="115" applyFont="1" applyBorder="1"/>
    <xf numFmtId="0" fontId="63" fillId="0" borderId="0" xfId="115" applyFont="1" applyBorder="1" applyAlignment="1">
      <alignment horizontal="left"/>
    </xf>
    <xf numFmtId="0" fontId="62" fillId="0" borderId="0" xfId="115" applyFont="1" applyBorder="1" applyAlignment="1">
      <alignment horizontal="center"/>
    </xf>
    <xf numFmtId="0" fontId="63" fillId="0" borderId="225" xfId="115" applyFont="1" applyBorder="1" applyAlignment="1">
      <alignment horizontal="left"/>
    </xf>
    <xf numFmtId="0" fontId="62" fillId="0" borderId="225" xfId="115" applyFont="1" applyBorder="1" applyAlignment="1">
      <alignment horizontal="center"/>
    </xf>
    <xf numFmtId="0" fontId="62" fillId="0" borderId="0" xfId="115" applyFont="1" applyBorder="1"/>
    <xf numFmtId="0" fontId="63" fillId="0" borderId="0" xfId="115" applyFont="1" applyBorder="1"/>
    <xf numFmtId="171" fontId="63" fillId="0" borderId="0" xfId="115" applyNumberFormat="1" applyFont="1" applyBorder="1"/>
    <xf numFmtId="184" fontId="62" fillId="0" borderId="0" xfId="115" applyNumberFormat="1" applyFont="1" applyBorder="1"/>
    <xf numFmtId="0" fontId="64" fillId="0" borderId="0" xfId="0" applyFont="1" applyBorder="1" applyAlignment="1">
      <alignment horizontal="center" vertical="center"/>
    </xf>
    <xf numFmtId="0" fontId="64" fillId="0" borderId="0" xfId="114" applyFont="1" applyFill="1" applyBorder="1" applyAlignment="1">
      <alignment horizontal="center" vertical="center" wrapText="1"/>
    </xf>
    <xf numFmtId="183" fontId="64" fillId="0" borderId="0" xfId="1" applyNumberFormat="1" applyFont="1" applyFill="1" applyBorder="1" applyAlignment="1">
      <alignment horizontal="center" vertical="center" wrapText="1"/>
    </xf>
    <xf numFmtId="168" fontId="64" fillId="0" borderId="0" xfId="114" applyNumberFormat="1" applyFont="1" applyFill="1" applyBorder="1" applyAlignment="1">
      <alignment horizontal="center" vertical="center" wrapText="1"/>
    </xf>
    <xf numFmtId="177" fontId="64" fillId="0" borderId="0" xfId="114" applyNumberFormat="1" applyFont="1" applyFill="1" applyBorder="1" applyAlignment="1">
      <alignment horizontal="center" vertical="center" wrapText="1"/>
    </xf>
    <xf numFmtId="0" fontId="62" fillId="0" borderId="0" xfId="115" applyFont="1" applyBorder="1" applyAlignment="1">
      <alignment horizontal="center" vertical="center"/>
    </xf>
    <xf numFmtId="0" fontId="62" fillId="0" borderId="0" xfId="115" applyFont="1" applyBorder="1" applyAlignment="1">
      <alignment horizontal="left" vertical="center"/>
    </xf>
    <xf numFmtId="0" fontId="62" fillId="0" borderId="0" xfId="115" applyFont="1" applyBorder="1" applyAlignment="1">
      <alignment horizontal="center" vertical="center" wrapText="1"/>
    </xf>
    <xf numFmtId="179" fontId="62" fillId="0" borderId="0" xfId="11" applyNumberFormat="1" applyFont="1" applyBorder="1" applyAlignment="1">
      <alignment horizontal="center" vertical="center" wrapText="1"/>
    </xf>
    <xf numFmtId="0" fontId="63" fillId="0" borderId="0" xfId="115" applyFont="1" applyBorder="1" applyAlignment="1">
      <alignment horizontal="center" vertical="center"/>
    </xf>
    <xf numFmtId="195" fontId="63" fillId="0" borderId="0" xfId="115" applyNumberFormat="1" applyFont="1" applyBorder="1" applyAlignment="1">
      <alignment vertical="center"/>
    </xf>
    <xf numFmtId="166" fontId="63" fillId="0" borderId="0" xfId="115" applyNumberFormat="1" applyFont="1" applyBorder="1" applyAlignment="1">
      <alignment horizontal="center" vertical="center" wrapText="1"/>
    </xf>
    <xf numFmtId="4" fontId="63" fillId="0" borderId="0" xfId="11" applyNumberFormat="1" applyFont="1" applyBorder="1" applyAlignment="1">
      <alignment horizontal="right" vertical="center"/>
    </xf>
    <xf numFmtId="175" fontId="63" fillId="0" borderId="0" xfId="11" applyNumberFormat="1" applyFont="1" applyBorder="1"/>
    <xf numFmtId="195" fontId="63" fillId="0" borderId="0" xfId="115" applyNumberFormat="1" applyFont="1" applyBorder="1"/>
    <xf numFmtId="175" fontId="63" fillId="0" borderId="0" xfId="11" applyNumberFormat="1" applyFont="1" applyBorder="1" applyAlignment="1">
      <alignment horizontal="right"/>
    </xf>
    <xf numFmtId="0" fontId="62" fillId="0" borderId="0" xfId="115" applyFont="1" applyFill="1" applyBorder="1"/>
    <xf numFmtId="175" fontId="63" fillId="0" borderId="0" xfId="11" applyNumberFormat="1" applyFont="1" applyBorder="1" applyAlignment="1">
      <alignment horizontal="center"/>
    </xf>
    <xf numFmtId="0" fontId="65" fillId="0" borderId="0" xfId="115" applyFont="1" applyBorder="1" applyAlignment="1">
      <alignment horizontal="center"/>
    </xf>
    <xf numFmtId="171" fontId="64" fillId="0" borderId="0" xfId="115" applyNumberFormat="1" applyFont="1" applyBorder="1"/>
    <xf numFmtId="0" fontId="64" fillId="0" borderId="0" xfId="115" applyFont="1" applyBorder="1" applyAlignment="1">
      <alignment horizontal="center"/>
    </xf>
    <xf numFmtId="184" fontId="65" fillId="0" borderId="0" xfId="115" applyNumberFormat="1" applyFont="1" applyBorder="1"/>
    <xf numFmtId="0" fontId="65" fillId="0" borderId="0" xfId="115" applyFont="1" applyFill="1" applyBorder="1"/>
    <xf numFmtId="0" fontId="65" fillId="0" borderId="0" xfId="115" applyFont="1" applyBorder="1"/>
    <xf numFmtId="175" fontId="65" fillId="0" borderId="0" xfId="115" applyNumberFormat="1" applyFont="1" applyBorder="1"/>
    <xf numFmtId="0" fontId="62" fillId="0" borderId="82" xfId="115" applyFont="1" applyFill="1" applyBorder="1" applyAlignment="1">
      <alignment horizontal="left"/>
    </xf>
    <xf numFmtId="0" fontId="62" fillId="0" borderId="82" xfId="115" applyFont="1" applyFill="1" applyBorder="1" applyAlignment="1">
      <alignment horizontal="center"/>
    </xf>
    <xf numFmtId="181" fontId="63" fillId="0" borderId="0" xfId="11" applyNumberFormat="1" applyFont="1" applyBorder="1" applyAlignment="1">
      <alignment vertical="center"/>
    </xf>
    <xf numFmtId="181" fontId="63" fillId="0" borderId="0" xfId="11" applyNumberFormat="1" applyFont="1" applyBorder="1"/>
    <xf numFmtId="171" fontId="62" fillId="0" borderId="0" xfId="115" applyNumberFormat="1" applyFont="1" applyBorder="1"/>
    <xf numFmtId="175" fontId="62" fillId="0" borderId="0" xfId="115" applyNumberFormat="1" applyFont="1" applyBorder="1"/>
    <xf numFmtId="0" fontId="62" fillId="0" borderId="225" xfId="115" applyFont="1" applyFill="1" applyBorder="1" applyAlignment="1">
      <alignment horizontal="left"/>
    </xf>
    <xf numFmtId="0" fontId="62" fillId="0" borderId="225" xfId="115" applyFont="1" applyFill="1" applyBorder="1" applyAlignment="1">
      <alignment horizontal="center"/>
    </xf>
    <xf numFmtId="9" fontId="64" fillId="0" borderId="0" xfId="115" applyNumberFormat="1" applyFont="1" applyBorder="1"/>
    <xf numFmtId="9" fontId="64" fillId="0" borderId="0" xfId="115" applyNumberFormat="1" applyFont="1" applyBorder="1" applyAlignment="1">
      <alignment horizontal="center"/>
    </xf>
    <xf numFmtId="175" fontId="64" fillId="0" borderId="0" xfId="2" applyNumberFormat="1" applyFont="1" applyBorder="1"/>
    <xf numFmtId="175" fontId="65" fillId="0" borderId="0" xfId="2" applyNumberFormat="1" applyFont="1" applyBorder="1"/>
    <xf numFmtId="0" fontId="65" fillId="0" borderId="0" xfId="115" applyFont="1" applyBorder="1" applyAlignment="1">
      <alignment horizontal="center" vertical="center"/>
    </xf>
    <xf numFmtId="0" fontId="65" fillId="0" borderId="0" xfId="115" applyFont="1" applyBorder="1" applyAlignment="1">
      <alignment horizontal="left" vertical="center"/>
    </xf>
    <xf numFmtId="0" fontId="65" fillId="0" borderId="0" xfId="115" applyFont="1" applyBorder="1" applyAlignment="1">
      <alignment horizontal="center" vertical="center" wrapText="1"/>
    </xf>
    <xf numFmtId="179" fontId="65" fillId="0" borderId="0" xfId="11" applyNumberFormat="1" applyFont="1" applyBorder="1" applyAlignment="1">
      <alignment horizontal="center" vertical="center" wrapText="1"/>
    </xf>
    <xf numFmtId="0" fontId="64" fillId="0" borderId="0" xfId="115" applyFont="1" applyBorder="1" applyAlignment="1">
      <alignment horizontal="center" vertical="center"/>
    </xf>
    <xf numFmtId="181" fontId="64" fillId="0" borderId="0" xfId="11" applyNumberFormat="1" applyFont="1" applyBorder="1" applyAlignment="1">
      <alignment vertical="center"/>
    </xf>
    <xf numFmtId="166" fontId="64" fillId="0" borderId="0" xfId="115" applyNumberFormat="1" applyFont="1" applyBorder="1" applyAlignment="1">
      <alignment horizontal="center" vertical="center" wrapText="1"/>
    </xf>
    <xf numFmtId="181" fontId="64" fillId="0" borderId="0" xfId="11" applyNumberFormat="1" applyFont="1" applyBorder="1"/>
    <xf numFmtId="4" fontId="64" fillId="0" borderId="0" xfId="11" applyNumberFormat="1" applyFont="1" applyBorder="1" applyAlignment="1">
      <alignment horizontal="right" vertical="center"/>
    </xf>
    <xf numFmtId="175" fontId="64" fillId="0" borderId="0" xfId="11" applyNumberFormat="1" applyFont="1" applyBorder="1"/>
    <xf numFmtId="9" fontId="64" fillId="0" borderId="0" xfId="188" applyFont="1" applyBorder="1"/>
    <xf numFmtId="195" fontId="64" fillId="0" borderId="0" xfId="115" applyNumberFormat="1" applyFont="1" applyBorder="1"/>
    <xf numFmtId="175" fontId="64" fillId="0" borderId="0" xfId="11" applyNumberFormat="1" applyFont="1" applyBorder="1" applyAlignment="1">
      <alignment horizontal="right"/>
    </xf>
    <xf numFmtId="175" fontId="64" fillId="0" borderId="0" xfId="11" applyNumberFormat="1" applyFont="1" applyBorder="1" applyAlignment="1">
      <alignment horizontal="center"/>
    </xf>
    <xf numFmtId="0" fontId="64" fillId="0" borderId="0" xfId="115" applyFont="1" applyBorder="1" applyAlignment="1">
      <alignment horizontal="right"/>
    </xf>
    <xf numFmtId="3" fontId="64" fillId="0" borderId="0" xfId="115" applyNumberFormat="1" applyFont="1" applyBorder="1"/>
    <xf numFmtId="195" fontId="64" fillId="0" borderId="0" xfId="115" applyNumberFormat="1" applyFont="1" applyBorder="1" applyAlignment="1">
      <alignment vertical="center"/>
    </xf>
    <xf numFmtId="0" fontId="64" fillId="0" borderId="0" xfId="140" applyFont="1" applyFill="1" applyBorder="1" applyAlignment="1">
      <alignment horizontal="left" vertical="center"/>
    </xf>
    <xf numFmtId="179" fontId="65" fillId="0" borderId="0" xfId="2" applyNumberFormat="1" applyFont="1" applyBorder="1" applyAlignment="1">
      <alignment horizontal="center" vertical="center" wrapText="1"/>
    </xf>
    <xf numFmtId="181" fontId="64" fillId="0" borderId="0" xfId="2" applyNumberFormat="1" applyFont="1" applyFill="1" applyBorder="1" applyAlignment="1">
      <alignment horizontal="center" vertical="center"/>
    </xf>
    <xf numFmtId="4" fontId="64" fillId="0" borderId="0" xfId="2" applyNumberFormat="1" applyFont="1" applyBorder="1" applyAlignment="1">
      <alignment horizontal="right" vertical="center"/>
    </xf>
    <xf numFmtId="0" fontId="64" fillId="0" borderId="0" xfId="155" applyFont="1" applyFill="1" applyBorder="1" applyAlignment="1">
      <alignment vertical="center"/>
    </xf>
    <xf numFmtId="0" fontId="64" fillId="0" borderId="0" xfId="140" applyFont="1" applyFill="1" applyBorder="1" applyAlignment="1">
      <alignment vertical="center"/>
    </xf>
    <xf numFmtId="175" fontId="64" fillId="0" borderId="0" xfId="2" applyNumberFormat="1" applyFont="1" applyBorder="1" applyAlignment="1">
      <alignment horizontal="right"/>
    </xf>
    <xf numFmtId="175" fontId="64" fillId="0" borderId="0" xfId="2" applyNumberFormat="1" applyFont="1" applyBorder="1" applyAlignment="1">
      <alignment horizontal="center"/>
    </xf>
    <xf numFmtId="0" fontId="68" fillId="0" borderId="0" xfId="179" applyFont="1" applyFill="1" applyAlignment="1">
      <alignment vertical="center"/>
    </xf>
    <xf numFmtId="166" fontId="68" fillId="0" borderId="0" xfId="179" applyNumberFormat="1" applyFont="1" applyFill="1" applyAlignment="1">
      <alignment vertical="center"/>
    </xf>
    <xf numFmtId="0" fontId="111" fillId="0" borderId="0" xfId="179" applyFont="1" applyFill="1" applyAlignment="1">
      <alignment vertical="center"/>
    </xf>
    <xf numFmtId="0" fontId="68" fillId="0" borderId="60" xfId="179" applyFont="1" applyFill="1" applyBorder="1" applyAlignment="1">
      <alignment vertical="center"/>
    </xf>
    <xf numFmtId="0" fontId="68" fillId="0" borderId="0" xfId="179" applyFont="1" applyFill="1" applyBorder="1" applyAlignment="1">
      <alignment vertical="center"/>
    </xf>
    <xf numFmtId="0" fontId="68" fillId="0" borderId="61" xfId="179" applyFont="1" applyFill="1" applyBorder="1" applyAlignment="1">
      <alignment vertical="center"/>
    </xf>
    <xf numFmtId="0" fontId="69" fillId="0" borderId="0" xfId="179" applyFont="1" applyFill="1" applyAlignment="1">
      <alignment horizontal="centerContinuous" vertical="center"/>
    </xf>
    <xf numFmtId="0" fontId="68" fillId="0" borderId="0" xfId="179" applyFont="1" applyFill="1" applyAlignment="1">
      <alignment horizontal="centerContinuous" vertical="center"/>
    </xf>
    <xf numFmtId="176" fontId="68" fillId="0" borderId="60" xfId="62" applyNumberFormat="1" applyFont="1" applyFill="1" applyBorder="1" applyAlignment="1">
      <alignment vertical="center"/>
    </xf>
    <xf numFmtId="3" fontId="68" fillId="0" borderId="76" xfId="179" applyNumberFormat="1" applyFont="1" applyFill="1" applyBorder="1" applyAlignment="1">
      <alignment horizontal="center" vertical="center"/>
    </xf>
    <xf numFmtId="3" fontId="68" fillId="0" borderId="50" xfId="179" applyNumberFormat="1" applyFont="1" applyFill="1" applyBorder="1" applyAlignment="1">
      <alignment horizontal="center" vertical="center"/>
    </xf>
    <xf numFmtId="176" fontId="68" fillId="0" borderId="60" xfId="62" applyNumberFormat="1" applyFont="1" applyFill="1" applyBorder="1" applyAlignment="1">
      <alignment horizontal="right" vertical="center"/>
    </xf>
    <xf numFmtId="3" fontId="68" fillId="0" borderId="33" xfId="179" applyNumberFormat="1" applyFont="1" applyFill="1" applyBorder="1" applyAlignment="1">
      <alignment horizontal="center" vertical="center"/>
    </xf>
    <xf numFmtId="3" fontId="68" fillId="0" borderId="32" xfId="179" applyNumberFormat="1" applyFont="1" applyFill="1" applyBorder="1" applyAlignment="1">
      <alignment horizontal="center" vertical="center"/>
    </xf>
    <xf numFmtId="4" fontId="68" fillId="0" borderId="0" xfId="179" applyNumberFormat="1" applyFont="1" applyFill="1" applyAlignment="1">
      <alignment vertical="center"/>
    </xf>
    <xf numFmtId="166" fontId="68" fillId="0" borderId="0" xfId="1" applyFont="1" applyFill="1" applyAlignment="1">
      <alignment vertical="center"/>
    </xf>
    <xf numFmtId="3" fontId="68" fillId="0" borderId="78" xfId="179" applyNumberFormat="1" applyFont="1" applyFill="1" applyBorder="1" applyAlignment="1">
      <alignment horizontal="center" vertical="center"/>
    </xf>
    <xf numFmtId="3" fontId="68" fillId="0" borderId="79" xfId="179" applyNumberFormat="1" applyFont="1" applyFill="1" applyBorder="1" applyAlignment="1">
      <alignment horizontal="center" vertical="center"/>
    </xf>
    <xf numFmtId="3" fontId="68" fillId="0" borderId="78" xfId="179" quotePrefix="1" applyNumberFormat="1" applyFont="1" applyFill="1" applyBorder="1" applyAlignment="1">
      <alignment horizontal="center" vertical="center"/>
    </xf>
    <xf numFmtId="3" fontId="113" fillId="0" borderId="78" xfId="179" quotePrefix="1" applyNumberFormat="1" applyFont="1" applyFill="1" applyBorder="1" applyAlignment="1">
      <alignment horizontal="center" vertical="center"/>
    </xf>
    <xf numFmtId="0" fontId="68" fillId="0" borderId="37" xfId="179" applyFont="1" applyFill="1" applyBorder="1" applyAlignment="1">
      <alignment vertical="center"/>
    </xf>
    <xf numFmtId="3" fontId="111" fillId="0" borderId="80" xfId="179" applyNumberFormat="1" applyFont="1" applyFill="1" applyBorder="1" applyAlignment="1">
      <alignment horizontal="left" vertical="center"/>
    </xf>
    <xf numFmtId="3" fontId="68" fillId="0" borderId="81" xfId="179" applyNumberFormat="1" applyFont="1" applyFill="1" applyBorder="1" applyAlignment="1">
      <alignment horizontal="center" vertical="center"/>
    </xf>
    <xf numFmtId="0" fontId="111" fillId="0" borderId="37" xfId="179" applyFont="1" applyFill="1" applyBorder="1" applyAlignment="1">
      <alignment horizontal="center" vertical="center"/>
    </xf>
    <xf numFmtId="3" fontId="111" fillId="0" borderId="33" xfId="179" applyNumberFormat="1" applyFont="1" applyFill="1" applyBorder="1" applyAlignment="1">
      <alignment horizontal="left" vertical="center"/>
    </xf>
    <xf numFmtId="3" fontId="68" fillId="0" borderId="0" xfId="179" applyNumberFormat="1" applyFont="1" applyFill="1" applyAlignment="1">
      <alignment horizontal="center" vertical="center"/>
    </xf>
    <xf numFmtId="0" fontId="111" fillId="0" borderId="78" xfId="179" applyFont="1" applyFill="1" applyBorder="1" applyAlignment="1">
      <alignment horizontal="left" vertical="center"/>
    </xf>
    <xf numFmtId="0" fontId="68" fillId="0" borderId="82" xfId="179" applyFont="1" applyFill="1" applyBorder="1" applyAlignment="1">
      <alignment vertical="center"/>
    </xf>
    <xf numFmtId="0" fontId="68" fillId="0" borderId="0" xfId="179" applyFont="1" applyFill="1" applyAlignment="1">
      <alignment horizontal="center" vertical="center"/>
    </xf>
    <xf numFmtId="0" fontId="68" fillId="0" borderId="0" xfId="179" applyFont="1" applyAlignment="1">
      <alignment vertical="center"/>
    </xf>
    <xf numFmtId="0" fontId="111" fillId="0" borderId="0" xfId="179" applyFont="1" applyAlignment="1">
      <alignment vertical="center"/>
    </xf>
    <xf numFmtId="176" fontId="68" fillId="0" borderId="60" xfId="42" applyNumberFormat="1" applyFont="1" applyFill="1" applyBorder="1" applyAlignment="1">
      <alignment vertical="center"/>
    </xf>
    <xf numFmtId="0" fontId="68" fillId="0" borderId="61" xfId="179" applyFont="1" applyBorder="1" applyAlignment="1">
      <alignment vertical="center"/>
    </xf>
    <xf numFmtId="166" fontId="68" fillId="0" borderId="0" xfId="179" applyNumberFormat="1" applyFont="1" applyAlignment="1">
      <alignment vertical="center"/>
    </xf>
    <xf numFmtId="0" fontId="68" fillId="0" borderId="0" xfId="179" applyFont="1" applyAlignment="1">
      <alignment horizontal="center" vertical="center"/>
    </xf>
    <xf numFmtId="3" fontId="68" fillId="0" borderId="76" xfId="179" applyNumberFormat="1" applyFont="1" applyBorder="1" applyAlignment="1">
      <alignment horizontal="center" vertical="center"/>
    </xf>
    <xf numFmtId="3" fontId="68" fillId="0" borderId="50" xfId="179" applyNumberFormat="1" applyFont="1" applyBorder="1" applyAlignment="1">
      <alignment horizontal="center" vertical="center"/>
    </xf>
    <xf numFmtId="37" fontId="68" fillId="0" borderId="61" xfId="179" applyNumberFormat="1" applyFont="1" applyBorder="1" applyAlignment="1">
      <alignment vertical="center"/>
    </xf>
    <xf numFmtId="176" fontId="68" fillId="0" borderId="60" xfId="42" applyNumberFormat="1" applyFont="1" applyFill="1" applyBorder="1" applyAlignment="1">
      <alignment horizontal="right" vertical="center"/>
    </xf>
    <xf numFmtId="3" fontId="68" fillId="0" borderId="33" xfId="179" applyNumberFormat="1" applyFont="1" applyBorder="1" applyAlignment="1">
      <alignment horizontal="center" vertical="center"/>
    </xf>
    <xf numFmtId="3" fontId="68" fillId="0" borderId="32" xfId="179" applyNumberFormat="1" applyFont="1" applyBorder="1" applyAlignment="1">
      <alignment horizontal="center" vertical="center"/>
    </xf>
    <xf numFmtId="39" fontId="68" fillId="0" borderId="0" xfId="179" applyNumberFormat="1" applyFont="1" applyAlignment="1">
      <alignment vertical="center"/>
    </xf>
    <xf numFmtId="3" fontId="68" fillId="0" borderId="78" xfId="179" applyNumberFormat="1" applyFont="1" applyBorder="1" applyAlignment="1">
      <alignment horizontal="center" vertical="center"/>
    </xf>
    <xf numFmtId="3" fontId="68" fillId="0" borderId="79" xfId="179" applyNumberFormat="1" applyFont="1" applyBorder="1" applyAlignment="1">
      <alignment horizontal="center" vertical="center"/>
    </xf>
    <xf numFmtId="3" fontId="68" fillId="0" borderId="78" xfId="179" quotePrefix="1" applyNumberFormat="1" applyFont="1" applyBorder="1" applyAlignment="1">
      <alignment horizontal="center" vertical="center"/>
    </xf>
    <xf numFmtId="3" fontId="113" fillId="0" borderId="78" xfId="179" quotePrefix="1" applyNumberFormat="1" applyFont="1" applyBorder="1" applyAlignment="1">
      <alignment horizontal="center" vertical="center"/>
    </xf>
    <xf numFmtId="0" fontId="68" fillId="0" borderId="37" xfId="179" applyFont="1" applyBorder="1" applyAlignment="1">
      <alignment vertical="center"/>
    </xf>
    <xf numFmtId="0" fontId="113" fillId="0" borderId="61" xfId="179" applyFont="1" applyBorder="1" applyAlignment="1">
      <alignment vertical="center"/>
    </xf>
    <xf numFmtId="3" fontId="111" fillId="0" borderId="80" xfId="179" applyNumberFormat="1" applyFont="1" applyBorder="1" applyAlignment="1">
      <alignment horizontal="left" vertical="center"/>
    </xf>
    <xf numFmtId="3" fontId="68" fillId="0" borderId="81" xfId="179" applyNumberFormat="1" applyFont="1" applyBorder="1" applyAlignment="1">
      <alignment horizontal="center" vertical="center"/>
    </xf>
    <xf numFmtId="0" fontId="111" fillId="0" borderId="37" xfId="179" applyFont="1" applyBorder="1" applyAlignment="1">
      <alignment horizontal="center" vertical="center"/>
    </xf>
    <xf numFmtId="3" fontId="111" fillId="0" borderId="33" xfId="179" applyNumberFormat="1" applyFont="1" applyBorder="1" applyAlignment="1">
      <alignment horizontal="left" vertical="center"/>
    </xf>
    <xf numFmtId="3" fontId="68" fillId="0" borderId="0" xfId="179" applyNumberFormat="1" applyFont="1" applyAlignment="1">
      <alignment horizontal="center" vertical="center"/>
    </xf>
    <xf numFmtId="37" fontId="113" fillId="0" borderId="61" xfId="179" applyNumberFormat="1" applyFont="1" applyBorder="1" applyAlignment="1">
      <alignment horizontal="center" vertical="center"/>
    </xf>
    <xf numFmtId="0" fontId="111" fillId="0" borderId="78" xfId="179" applyFont="1" applyBorder="1" applyAlignment="1">
      <alignment horizontal="left" vertical="center"/>
    </xf>
    <xf numFmtId="0" fontId="68" fillId="0" borderId="82" xfId="179" applyFont="1" applyBorder="1" applyAlignment="1">
      <alignment vertical="center"/>
    </xf>
    <xf numFmtId="166" fontId="68" fillId="0" borderId="0" xfId="1" applyFont="1" applyAlignment="1">
      <alignment vertical="center"/>
    </xf>
    <xf numFmtId="180" fontId="109" fillId="0" borderId="85" xfId="178" applyNumberFormat="1" applyFont="1" applyBorder="1" applyAlignment="1">
      <alignment vertical="center"/>
    </xf>
    <xf numFmtId="39" fontId="68" fillId="0" borderId="0" xfId="177" applyNumberFormat="1" applyFont="1" applyAlignment="1">
      <alignment vertical="center"/>
    </xf>
    <xf numFmtId="166" fontId="63" fillId="0" borderId="0" xfId="2" applyNumberFormat="1" applyFont="1" applyFill="1" applyBorder="1" applyAlignment="1">
      <alignment horizontal="left" vertical="center"/>
    </xf>
    <xf numFmtId="166" fontId="62" fillId="0" borderId="0" xfId="2" applyNumberFormat="1" applyFont="1" applyFill="1" applyBorder="1" applyAlignment="1">
      <alignment horizontal="left" vertical="center"/>
    </xf>
    <xf numFmtId="166" fontId="115" fillId="0" borderId="0" xfId="2" applyNumberFormat="1" applyFont="1" applyFill="1" applyBorder="1" applyAlignment="1">
      <alignment horizontal="left" vertical="center"/>
    </xf>
    <xf numFmtId="166" fontId="63" fillId="0" borderId="0" xfId="2" applyNumberFormat="1" applyFont="1" applyFill="1" applyBorder="1" applyAlignment="1">
      <alignment horizontal="center" vertical="center"/>
    </xf>
    <xf numFmtId="166" fontId="62" fillId="0" borderId="0" xfId="2" applyNumberFormat="1" applyFont="1" applyFill="1" applyBorder="1" applyAlignment="1">
      <alignment horizontal="center" vertical="center"/>
    </xf>
    <xf numFmtId="166" fontId="115" fillId="0" borderId="0" xfId="2" applyNumberFormat="1" applyFont="1" applyFill="1" applyBorder="1" applyAlignment="1">
      <alignment horizontal="center" vertical="center"/>
    </xf>
    <xf numFmtId="0" fontId="69" fillId="0" borderId="124" xfId="131" applyFont="1" applyFill="1" applyBorder="1" applyAlignment="1">
      <alignment horizontal="right" vertical="center"/>
    </xf>
    <xf numFmtId="0" fontId="69" fillId="0" borderId="99" xfId="131" applyFont="1" applyFill="1" applyBorder="1" applyAlignment="1">
      <alignment horizontal="right" vertical="center"/>
    </xf>
    <xf numFmtId="0" fontId="69" fillId="0" borderId="126" xfId="131" applyFont="1" applyFill="1" applyBorder="1" applyAlignment="1">
      <alignment horizontal="right" vertical="center"/>
    </xf>
    <xf numFmtId="0" fontId="79" fillId="0" borderId="0" xfId="0" applyFont="1" applyFill="1" applyBorder="1"/>
    <xf numFmtId="0" fontId="91" fillId="0" borderId="0" xfId="132" applyNumberFormat="1" applyFont="1" applyFill="1" applyAlignment="1">
      <alignment horizontal="left" vertical="center"/>
    </xf>
    <xf numFmtId="0" fontId="76" fillId="0" borderId="0" xfId="0" applyFont="1" applyFill="1" applyBorder="1" applyAlignment="1">
      <alignment horizontal="center" vertical="center"/>
    </xf>
    <xf numFmtId="0" fontId="105" fillId="0" borderId="0" xfId="0" applyFont="1" applyFill="1" applyBorder="1"/>
    <xf numFmtId="0" fontId="76" fillId="0" borderId="80" xfId="0" applyFont="1" applyFill="1" applyBorder="1" applyAlignment="1">
      <alignment horizontal="center"/>
    </xf>
    <xf numFmtId="0" fontId="76" fillId="0" borderId="81" xfId="0" applyFont="1" applyFill="1" applyBorder="1"/>
    <xf numFmtId="177" fontId="79" fillId="0" borderId="99" xfId="0" applyNumberFormat="1" applyFont="1" applyFill="1" applyBorder="1" applyAlignment="1">
      <alignment horizontal="center"/>
    </xf>
    <xf numFmtId="0" fontId="79" fillId="0" borderId="80" xfId="0" applyFont="1" applyFill="1" applyBorder="1" applyAlignment="1">
      <alignment horizontal="center"/>
    </xf>
    <xf numFmtId="0" fontId="79" fillId="0" borderId="81" xfId="0" applyFont="1" applyFill="1" applyBorder="1"/>
    <xf numFmtId="165" fontId="79" fillId="0" borderId="0" xfId="2" applyFont="1" applyFill="1" applyBorder="1"/>
    <xf numFmtId="166" fontId="79" fillId="0" borderId="0" xfId="1" applyFont="1" applyFill="1" applyBorder="1"/>
    <xf numFmtId="0" fontId="105" fillId="0" borderId="80" xfId="0" applyFont="1" applyFill="1" applyBorder="1" applyAlignment="1">
      <alignment horizontal="center"/>
    </xf>
    <xf numFmtId="0" fontId="72" fillId="0" borderId="81" xfId="0" applyFont="1" applyFill="1" applyBorder="1" applyAlignment="1">
      <alignment horizontal="center"/>
    </xf>
    <xf numFmtId="177" fontId="105" fillId="0" borderId="99" xfId="0" applyNumberFormat="1" applyFont="1" applyFill="1" applyBorder="1" applyAlignment="1">
      <alignment horizontal="center"/>
    </xf>
    <xf numFmtId="0" fontId="72" fillId="0" borderId="81" xfId="0" applyFont="1" applyFill="1" applyBorder="1"/>
    <xf numFmtId="0" fontId="79" fillId="0" borderId="0" xfId="0" applyFont="1" applyFill="1" applyBorder="1" applyAlignment="1">
      <alignment horizontal="center"/>
    </xf>
    <xf numFmtId="177" fontId="79" fillId="0" borderId="0" xfId="0" applyNumberFormat="1" applyFont="1" applyFill="1" applyBorder="1" applyAlignment="1">
      <alignment horizontal="center"/>
    </xf>
    <xf numFmtId="0" fontId="76" fillId="0" borderId="0" xfId="0" applyFont="1" applyFill="1" applyBorder="1" applyAlignment="1">
      <alignment vertical="center"/>
    </xf>
    <xf numFmtId="0" fontId="76" fillId="0" borderId="80" xfId="0" applyFont="1" applyFill="1" applyBorder="1" applyAlignment="1">
      <alignment horizontal="center" vertical="center"/>
    </xf>
    <xf numFmtId="0" fontId="76" fillId="0" borderId="81" xfId="0" applyFont="1" applyFill="1" applyBorder="1" applyAlignment="1">
      <alignment vertical="center"/>
    </xf>
    <xf numFmtId="177" fontId="76" fillId="0" borderId="99" xfId="0" applyNumberFormat="1" applyFont="1" applyFill="1" applyBorder="1" applyAlignment="1">
      <alignment horizontal="center" vertical="center" wrapText="1"/>
    </xf>
    <xf numFmtId="0" fontId="76" fillId="0" borderId="80" xfId="0" applyFont="1" applyFill="1" applyBorder="1" applyAlignment="1">
      <alignment horizontal="center" vertical="center" wrapText="1"/>
    </xf>
    <xf numFmtId="0" fontId="76" fillId="0" borderId="81" xfId="0" applyFont="1" applyFill="1" applyBorder="1" applyAlignment="1">
      <alignment horizontal="center" vertical="center" wrapText="1"/>
    </xf>
    <xf numFmtId="0" fontId="76" fillId="0" borderId="0" xfId="0" applyFont="1" applyFill="1" applyBorder="1" applyAlignment="1">
      <alignment vertical="center" wrapText="1"/>
    </xf>
    <xf numFmtId="0" fontId="76" fillId="0" borderId="81" xfId="0" applyFont="1" applyFill="1" applyBorder="1" applyAlignment="1">
      <alignment vertical="center" wrapText="1"/>
    </xf>
    <xf numFmtId="0" fontId="63" fillId="0" borderId="0" xfId="118" applyFont="1" applyFill="1"/>
    <xf numFmtId="0" fontId="63" fillId="0" borderId="0" xfId="118" applyFont="1"/>
    <xf numFmtId="0" fontId="63" fillId="0" borderId="0" xfId="42" applyNumberFormat="1" applyFont="1" applyAlignment="1">
      <alignment horizontal="center"/>
    </xf>
    <xf numFmtId="0" fontId="109" fillId="0" borderId="0" xfId="2" applyNumberFormat="1" applyFont="1" applyAlignment="1">
      <alignment horizontal="center"/>
    </xf>
    <xf numFmtId="0" fontId="63" fillId="0" borderId="0" xfId="2" applyNumberFormat="1" applyFont="1" applyAlignment="1">
      <alignment horizontal="center"/>
    </xf>
    <xf numFmtId="0" fontId="62" fillId="0" borderId="0" xfId="118" applyFont="1"/>
    <xf numFmtId="0" fontId="62" fillId="0" borderId="0" xfId="118" applyFont="1" applyAlignment="1">
      <alignment horizontal="center"/>
    </xf>
    <xf numFmtId="166" fontId="63" fillId="0" borderId="0" xfId="42" applyFont="1"/>
    <xf numFmtId="166" fontId="63" fillId="0" borderId="0" xfId="42" applyFont="1" applyAlignment="1">
      <alignment vertical="center"/>
    </xf>
    <xf numFmtId="0" fontId="63" fillId="0" borderId="0" xfId="118" applyFont="1" applyAlignment="1">
      <alignment vertical="center"/>
    </xf>
    <xf numFmtId="0" fontId="62" fillId="0" borderId="0" xfId="118" applyFont="1" applyFill="1" applyAlignment="1">
      <alignment horizontal="center"/>
    </xf>
    <xf numFmtId="0" fontId="62" fillId="0" borderId="0" xfId="118" applyFont="1" applyAlignment="1"/>
    <xf numFmtId="175" fontId="63" fillId="0" borderId="0" xfId="2" applyNumberFormat="1" applyFont="1" applyAlignment="1">
      <alignment horizontal="center"/>
    </xf>
    <xf numFmtId="0" fontId="62" fillId="0" borderId="0" xfId="118" applyFont="1" applyFill="1"/>
    <xf numFmtId="0" fontId="64" fillId="0" borderId="0" xfId="118" applyFont="1"/>
    <xf numFmtId="0" fontId="64" fillId="0" borderId="0" xfId="42" applyNumberFormat="1" applyFont="1" applyAlignment="1">
      <alignment horizontal="center"/>
    </xf>
    <xf numFmtId="0" fontId="117" fillId="0" borderId="0" xfId="2" applyNumberFormat="1" applyFont="1" applyAlignment="1">
      <alignment horizontal="center"/>
    </xf>
    <xf numFmtId="0" fontId="64" fillId="0" borderId="0" xfId="2" applyNumberFormat="1" applyFont="1" applyAlignment="1">
      <alignment horizontal="center"/>
    </xf>
    <xf numFmtId="175" fontId="64" fillId="0" borderId="0" xfId="2" applyNumberFormat="1" applyFont="1"/>
    <xf numFmtId="0" fontId="65" fillId="0" borderId="0" xfId="118" applyFont="1"/>
    <xf numFmtId="0" fontId="65" fillId="0" borderId="0" xfId="118" applyFont="1" applyAlignment="1">
      <alignment horizontal="center"/>
    </xf>
    <xf numFmtId="166" fontId="64" fillId="0" borderId="0" xfId="42" applyFont="1"/>
    <xf numFmtId="0" fontId="64" fillId="0" borderId="0" xfId="118" applyFont="1" applyFill="1"/>
    <xf numFmtId="0" fontId="64" fillId="0" borderId="0" xfId="118" applyFont="1" applyAlignment="1"/>
    <xf numFmtId="166" fontId="63" fillId="0" borderId="0" xfId="42" applyFont="1" applyFill="1"/>
    <xf numFmtId="166" fontId="63" fillId="0" borderId="0" xfId="42" applyFont="1" applyFill="1" applyBorder="1" applyAlignment="1">
      <alignment horizontal="center"/>
    </xf>
    <xf numFmtId="166" fontId="63" fillId="0" borderId="0" xfId="118" applyNumberFormat="1" applyFont="1" applyFill="1" applyBorder="1"/>
    <xf numFmtId="0" fontId="63" fillId="0" borderId="0" xfId="118" applyFont="1" applyFill="1" applyBorder="1"/>
    <xf numFmtId="166" fontId="63" fillId="0" borderId="0" xfId="42" applyFont="1" applyFill="1" applyBorder="1"/>
    <xf numFmtId="166" fontId="64" fillId="0" borderId="0" xfId="42" applyFont="1" applyFill="1"/>
    <xf numFmtId="166" fontId="63" fillId="0" borderId="0" xfId="118" applyNumberFormat="1" applyFont="1" applyFill="1"/>
    <xf numFmtId="166" fontId="63" fillId="0" borderId="0" xfId="42" applyFont="1" applyBorder="1"/>
    <xf numFmtId="0" fontId="63" fillId="0" borderId="0" xfId="118" applyFont="1" applyBorder="1"/>
    <xf numFmtId="182" fontId="63" fillId="0" borderId="0" xfId="118" applyNumberFormat="1" applyFont="1" applyBorder="1"/>
    <xf numFmtId="172" fontId="63" fillId="0" borderId="0" xfId="42" applyNumberFormat="1" applyFont="1" applyBorder="1"/>
    <xf numFmtId="166" fontId="63" fillId="0" borderId="0" xfId="118" applyNumberFormat="1" applyFont="1" applyBorder="1"/>
    <xf numFmtId="194" fontId="63" fillId="0" borderId="0" xfId="118" applyNumberFormat="1" applyFont="1" applyBorder="1"/>
    <xf numFmtId="166" fontId="63" fillId="0" borderId="0" xfId="118" applyNumberFormat="1" applyFont="1"/>
    <xf numFmtId="193" fontId="63" fillId="0" borderId="0" xfId="118" applyNumberFormat="1" applyFont="1" applyFill="1"/>
    <xf numFmtId="0" fontId="63" fillId="0" borderId="0" xfId="115" applyFont="1"/>
    <xf numFmtId="0" fontId="62" fillId="0" borderId="0" xfId="115" applyFont="1"/>
    <xf numFmtId="166" fontId="64" fillId="0" borderId="0" xfId="118" applyNumberFormat="1" applyFont="1"/>
    <xf numFmtId="166" fontId="62" fillId="0" borderId="0" xfId="42" applyFont="1"/>
    <xf numFmtId="0" fontId="118" fillId="0" borderId="103" xfId="115" applyFont="1" applyBorder="1"/>
    <xf numFmtId="0" fontId="64" fillId="0" borderId="0" xfId="118" applyFont="1" applyBorder="1"/>
    <xf numFmtId="0" fontId="68" fillId="0" borderId="103" xfId="115" applyFont="1" applyBorder="1"/>
    <xf numFmtId="0" fontId="69" fillId="0" borderId="0" xfId="128" applyFont="1" applyBorder="1" applyAlignment="1">
      <alignment horizontal="center" vertical="center"/>
    </xf>
    <xf numFmtId="0" fontId="68" fillId="0" borderId="103" xfId="115" applyFont="1" applyBorder="1" applyAlignment="1">
      <alignment horizontal="right"/>
    </xf>
    <xf numFmtId="184" fontId="68" fillId="10" borderId="0" xfId="72" applyNumberFormat="1" applyFont="1" applyFill="1" applyBorder="1"/>
    <xf numFmtId="0" fontId="68" fillId="10" borderId="0" xfId="128" applyFont="1" applyFill="1" applyBorder="1" applyAlignment="1">
      <alignment horizontal="center"/>
    </xf>
    <xf numFmtId="0" fontId="68" fillId="0" borderId="103" xfId="115" applyFont="1" applyBorder="1" applyAlignment="1">
      <alignment horizontal="left" wrapText="1"/>
    </xf>
    <xf numFmtId="184" fontId="68" fillId="0" borderId="0" xfId="72" applyNumberFormat="1" applyFont="1" applyBorder="1"/>
    <xf numFmtId="0" fontId="68" fillId="0" borderId="0" xfId="128" applyFont="1" applyBorder="1" applyAlignment="1">
      <alignment horizontal="center"/>
    </xf>
    <xf numFmtId="0" fontId="118" fillId="0" borderId="103" xfId="115" applyFont="1" applyBorder="1" applyAlignment="1">
      <alignment horizontal="right"/>
    </xf>
    <xf numFmtId="0" fontId="68" fillId="0" borderId="103" xfId="115" applyFont="1" applyBorder="1" applyAlignment="1">
      <alignment horizontal="right" wrapText="1"/>
    </xf>
    <xf numFmtId="0" fontId="68" fillId="0" borderId="103" xfId="115" applyFont="1" applyBorder="1" applyAlignment="1">
      <alignment horizontal="center"/>
    </xf>
    <xf numFmtId="166" fontId="64" fillId="0" borderId="0" xfId="42" applyFont="1" applyAlignment="1">
      <alignment vertical="center"/>
    </xf>
    <xf numFmtId="0" fontId="64" fillId="0" borderId="0" xfId="118" applyFont="1" applyAlignment="1">
      <alignment vertical="center"/>
    </xf>
    <xf numFmtId="166" fontId="63" fillId="0" borderId="0" xfId="42" applyFont="1" applyFill="1" applyAlignment="1">
      <alignment vertical="center"/>
    </xf>
    <xf numFmtId="0" fontId="64" fillId="0" borderId="0" xfId="115" applyFont="1"/>
    <xf numFmtId="0" fontId="63" fillId="0" borderId="120" xfId="132" applyNumberFormat="1" applyFont="1" applyFill="1" applyBorder="1" applyAlignment="1">
      <alignment vertical="center"/>
    </xf>
    <xf numFmtId="166" fontId="62" fillId="0" borderId="0" xfId="42" applyFont="1" applyFill="1"/>
    <xf numFmtId="0" fontId="63" fillId="0" borderId="119" xfId="132" applyNumberFormat="1" applyFont="1" applyFill="1" applyBorder="1" applyAlignment="1">
      <alignment vertical="center"/>
    </xf>
    <xf numFmtId="0" fontId="63" fillId="0" borderId="165" xfId="132" applyNumberFormat="1" applyFont="1" applyFill="1" applyBorder="1" applyAlignment="1">
      <alignment vertical="center"/>
    </xf>
    <xf numFmtId="184" fontId="63" fillId="0" borderId="7" xfId="65" applyNumberFormat="1" applyFont="1" applyFill="1" applyBorder="1" applyAlignment="1">
      <alignment horizontal="center" vertical="center"/>
    </xf>
    <xf numFmtId="0" fontId="68" fillId="0" borderId="64" xfId="179" applyFont="1" applyFill="1" applyBorder="1" applyAlignment="1">
      <alignment vertical="center"/>
    </xf>
    <xf numFmtId="0" fontId="68" fillId="0" borderId="63" xfId="179" applyFont="1" applyFill="1" applyBorder="1" applyAlignment="1">
      <alignment vertical="center"/>
    </xf>
    <xf numFmtId="0" fontId="68" fillId="0" borderId="65" xfId="179" applyFont="1" applyFill="1" applyBorder="1" applyAlignment="1">
      <alignment vertical="center"/>
    </xf>
    <xf numFmtId="0" fontId="69" fillId="0" borderId="67" xfId="179" applyFont="1" applyFill="1" applyBorder="1" applyAlignment="1">
      <alignment horizontal="center" vertical="center"/>
    </xf>
    <xf numFmtId="39" fontId="69" fillId="0" borderId="67" xfId="179" applyNumberFormat="1" applyFont="1" applyFill="1" applyBorder="1" applyAlignment="1">
      <alignment horizontal="center" vertical="center"/>
    </xf>
    <xf numFmtId="0" fontId="69" fillId="0" borderId="68" xfId="179" applyFont="1" applyFill="1" applyBorder="1" applyAlignment="1">
      <alignment horizontal="center" vertical="center"/>
    </xf>
    <xf numFmtId="0" fontId="68" fillId="0" borderId="71" xfId="179" applyFont="1" applyFill="1" applyBorder="1" applyAlignment="1">
      <alignment vertical="center"/>
    </xf>
    <xf numFmtId="0" fontId="68" fillId="0" borderId="70" xfId="179" applyFont="1" applyFill="1" applyBorder="1" applyAlignment="1">
      <alignment vertical="center"/>
    </xf>
    <xf numFmtId="0" fontId="68" fillId="0" borderId="72" xfId="179" applyFont="1" applyFill="1" applyBorder="1" applyAlignment="1">
      <alignment vertical="center"/>
    </xf>
    <xf numFmtId="0" fontId="68" fillId="0" borderId="67" xfId="179" applyFont="1" applyFill="1" applyBorder="1" applyAlignment="1">
      <alignment vertical="center"/>
    </xf>
    <xf numFmtId="39" fontId="68" fillId="0" borderId="67" xfId="179" applyNumberFormat="1" applyFont="1" applyFill="1" applyBorder="1" applyAlignment="1">
      <alignment vertical="center"/>
    </xf>
    <xf numFmtId="0" fontId="68" fillId="0" borderId="68" xfId="179" applyFont="1" applyFill="1" applyBorder="1" applyAlignment="1">
      <alignment vertical="center"/>
    </xf>
    <xf numFmtId="0" fontId="69" fillId="0" borderId="73" xfId="179" applyFont="1" applyFill="1" applyBorder="1" applyAlignment="1">
      <alignment horizontal="centerContinuous" vertical="center"/>
    </xf>
    <xf numFmtId="39" fontId="68" fillId="0" borderId="74" xfId="179" applyNumberFormat="1" applyFont="1" applyFill="1" applyBorder="1" applyAlignment="1">
      <alignment horizontal="centerContinuous" vertical="center"/>
    </xf>
    <xf numFmtId="0" fontId="68" fillId="0" borderId="75" xfId="179" applyFont="1" applyFill="1" applyBorder="1" applyAlignment="1">
      <alignment horizontal="centerContinuous" vertical="center"/>
    </xf>
    <xf numFmtId="176" fontId="69" fillId="0" borderId="68" xfId="179" applyNumberFormat="1" applyFont="1" applyFill="1" applyBorder="1" applyAlignment="1">
      <alignment horizontal="center" vertical="center"/>
    </xf>
    <xf numFmtId="0" fontId="68" fillId="0" borderId="67" xfId="179" applyFont="1" applyFill="1" applyBorder="1" applyAlignment="1">
      <alignment horizontal="center" vertical="center"/>
    </xf>
    <xf numFmtId="189" fontId="112" fillId="0" borderId="67" xfId="179" applyNumberFormat="1" applyFont="1" applyFill="1" applyBorder="1" applyAlignment="1" applyProtection="1">
      <alignment vertical="center"/>
      <protection locked="0"/>
    </xf>
    <xf numFmtId="37" fontId="112" fillId="0" borderId="67" xfId="179" applyNumberFormat="1" applyFont="1" applyFill="1" applyBorder="1" applyAlignment="1" applyProtection="1">
      <alignment vertical="center"/>
      <protection locked="0"/>
    </xf>
    <xf numFmtId="189" fontId="68" fillId="0" borderId="37" xfId="179" applyNumberFormat="1" applyFont="1" applyFill="1" applyBorder="1" applyAlignment="1">
      <alignment vertical="center"/>
    </xf>
    <xf numFmtId="0" fontId="67" fillId="0" borderId="68" xfId="179" quotePrefix="1" applyFont="1" applyFill="1" applyBorder="1" applyAlignment="1">
      <alignment horizontal="center" vertical="center"/>
    </xf>
    <xf numFmtId="37" fontId="68" fillId="0" borderId="67" xfId="179" applyNumberFormat="1" applyFont="1" applyFill="1" applyBorder="1" applyAlignment="1">
      <alignment vertical="center"/>
    </xf>
    <xf numFmtId="0" fontId="67" fillId="0" borderId="68" xfId="179" applyFont="1" applyFill="1" applyBorder="1" applyAlignment="1">
      <alignment horizontal="center" vertical="center"/>
    </xf>
    <xf numFmtId="0" fontId="68" fillId="0" borderId="77" xfId="179" applyFont="1" applyFill="1" applyBorder="1" applyAlignment="1">
      <alignment horizontal="centerContinuous" vertical="center"/>
    </xf>
    <xf numFmtId="170" fontId="68" fillId="0" borderId="67" xfId="179" applyNumberFormat="1" applyFont="1" applyFill="1" applyBorder="1" applyAlignment="1">
      <alignment vertical="center"/>
    </xf>
    <xf numFmtId="0" fontId="68" fillId="0" borderId="77" xfId="179" applyFont="1" applyFill="1" applyBorder="1" applyAlignment="1">
      <alignment vertical="center"/>
    </xf>
    <xf numFmtId="39" fontId="69" fillId="0" borderId="67" xfId="179" applyNumberFormat="1" applyFont="1" applyFill="1" applyBorder="1" applyAlignment="1">
      <alignment vertical="center"/>
    </xf>
    <xf numFmtId="0" fontId="69" fillId="0" borderId="73" xfId="179" applyFont="1" applyFill="1" applyBorder="1" applyAlignment="1">
      <alignment horizontal="center" vertical="center"/>
    </xf>
    <xf numFmtId="39" fontId="69" fillId="0" borderId="73" xfId="179" applyNumberFormat="1" applyFont="1" applyFill="1" applyBorder="1" applyAlignment="1">
      <alignment vertical="center"/>
    </xf>
    <xf numFmtId="0" fontId="69" fillId="0" borderId="83" xfId="179" applyFont="1" applyFill="1" applyBorder="1" applyAlignment="1">
      <alignment horizontal="center" vertical="center"/>
    </xf>
    <xf numFmtId="180" fontId="69" fillId="0" borderId="67" xfId="179" applyNumberFormat="1" applyFont="1" applyFill="1" applyBorder="1" applyAlignment="1">
      <alignment vertical="center"/>
    </xf>
    <xf numFmtId="39" fontId="68" fillId="0" borderId="67" xfId="179" applyNumberFormat="1" applyFont="1" applyFill="1" applyBorder="1" applyAlignment="1" applyProtection="1">
      <alignment vertical="center"/>
    </xf>
    <xf numFmtId="166" fontId="68" fillId="0" borderId="0" xfId="179" applyNumberFormat="1" applyFont="1" applyFill="1" applyAlignment="1">
      <alignment horizontal="center" vertical="center"/>
    </xf>
    <xf numFmtId="0" fontId="69" fillId="0" borderId="70" xfId="179" applyFont="1" applyFill="1" applyBorder="1" applyAlignment="1">
      <alignment vertical="center"/>
    </xf>
    <xf numFmtId="39" fontId="68" fillId="0" borderId="70" xfId="179" applyNumberFormat="1" applyFont="1" applyFill="1" applyBorder="1" applyAlignment="1">
      <alignment vertical="center"/>
    </xf>
    <xf numFmtId="189" fontId="114" fillId="0" borderId="37" xfId="179" applyNumberFormat="1" applyFont="1" applyFill="1" applyBorder="1" applyAlignment="1">
      <alignment vertical="center"/>
    </xf>
    <xf numFmtId="189" fontId="68" fillId="0" borderId="67" xfId="179" applyNumberFormat="1" applyFont="1" applyFill="1" applyBorder="1" applyAlignment="1">
      <alignment vertical="center"/>
    </xf>
    <xf numFmtId="39" fontId="112" fillId="0" borderId="67" xfId="179" applyNumberFormat="1" applyFont="1" applyFill="1" applyBorder="1" applyAlignment="1" applyProtection="1">
      <alignment horizontal="right" vertical="center"/>
      <protection locked="0"/>
    </xf>
    <xf numFmtId="0" fontId="68" fillId="0" borderId="62" xfId="179" applyFont="1" applyFill="1" applyBorder="1" applyAlignment="1">
      <alignment vertical="center"/>
    </xf>
    <xf numFmtId="0" fontId="69" fillId="0" borderId="66" xfId="179" applyFont="1" applyFill="1" applyBorder="1" applyAlignment="1">
      <alignment horizontal="center" vertical="center"/>
    </xf>
    <xf numFmtId="0" fontId="69" fillId="0" borderId="67" xfId="179" applyFont="1" applyFill="1" applyBorder="1" applyAlignment="1">
      <alignment vertical="center"/>
    </xf>
    <xf numFmtId="0" fontId="68" fillId="0" borderId="69" xfId="179" applyFont="1" applyFill="1" applyBorder="1" applyAlignment="1">
      <alignment vertical="center"/>
    </xf>
    <xf numFmtId="0" fontId="68" fillId="0" borderId="66" xfId="179" applyFont="1" applyFill="1" applyBorder="1" applyAlignment="1">
      <alignment vertical="center"/>
    </xf>
    <xf numFmtId="0" fontId="69" fillId="0" borderId="0" xfId="179" applyFont="1" applyFill="1" applyAlignment="1">
      <alignment vertical="center"/>
    </xf>
    <xf numFmtId="0" fontId="67" fillId="0" borderId="0" xfId="179" applyFont="1" applyFill="1" applyAlignment="1">
      <alignment vertical="center"/>
    </xf>
    <xf numFmtId="0" fontId="69" fillId="0" borderId="66" xfId="179" applyFont="1" applyFill="1" applyBorder="1" applyAlignment="1">
      <alignment vertical="center"/>
    </xf>
    <xf numFmtId="0" fontId="110" fillId="0" borderId="0" xfId="179" applyFont="1" applyFill="1" applyAlignment="1">
      <alignment vertical="center"/>
    </xf>
    <xf numFmtId="0" fontId="63" fillId="0" borderId="238" xfId="132" applyFont="1" applyFill="1" applyBorder="1" applyAlignment="1">
      <alignment horizontal="center" vertical="center"/>
    </xf>
    <xf numFmtId="166" fontId="62" fillId="0" borderId="242" xfId="2" applyNumberFormat="1" applyFont="1" applyFill="1" applyBorder="1" applyAlignment="1">
      <alignment horizontal="right" vertical="center"/>
    </xf>
    <xf numFmtId="166" fontId="62" fillId="6" borderId="54" xfId="2" applyNumberFormat="1" applyFont="1" applyFill="1" applyBorder="1" applyAlignment="1">
      <alignment horizontal="center" vertical="center"/>
    </xf>
    <xf numFmtId="166" fontId="62" fillId="6" borderId="138" xfId="2" applyNumberFormat="1" applyFont="1" applyFill="1" applyBorder="1" applyAlignment="1">
      <alignment horizontal="center" vertical="center"/>
    </xf>
    <xf numFmtId="166" fontId="62" fillId="6" borderId="79" xfId="2" applyNumberFormat="1" applyFont="1" applyFill="1" applyBorder="1" applyAlignment="1">
      <alignment horizontal="center" vertical="center"/>
    </xf>
    <xf numFmtId="166" fontId="62" fillId="6" borderId="139" xfId="2" applyNumberFormat="1" applyFont="1" applyFill="1" applyBorder="1" applyAlignment="1">
      <alignment horizontal="center" vertical="center"/>
    </xf>
    <xf numFmtId="0" fontId="62" fillId="6" borderId="207" xfId="127" applyFont="1" applyFill="1" applyBorder="1" applyAlignment="1">
      <alignment horizontal="center" vertical="center"/>
    </xf>
    <xf numFmtId="0" fontId="62" fillId="6" borderId="16" xfId="127" applyNumberFormat="1" applyFont="1" applyFill="1" applyBorder="1" applyAlignment="1">
      <alignment horizontal="left" vertical="center"/>
    </xf>
    <xf numFmtId="0" fontId="62" fillId="6" borderId="236" xfId="127" applyNumberFormat="1" applyFont="1" applyFill="1" applyBorder="1" applyAlignment="1">
      <alignment horizontal="left" vertical="center"/>
    </xf>
    <xf numFmtId="0" fontId="62" fillId="6" borderId="208" xfId="127" applyNumberFormat="1" applyFont="1" applyFill="1" applyBorder="1" applyAlignment="1">
      <alignment horizontal="left" vertical="center"/>
    </xf>
    <xf numFmtId="184" fontId="63" fillId="6" borderId="208" xfId="132" applyNumberFormat="1" applyFont="1" applyFill="1" applyBorder="1" applyAlignment="1">
      <alignment horizontal="center" vertical="center"/>
    </xf>
    <xf numFmtId="0" fontId="63" fillId="6" borderId="15" xfId="132" applyFont="1" applyFill="1" applyBorder="1" applyAlignment="1">
      <alignment horizontal="center" vertical="center"/>
    </xf>
    <xf numFmtId="0" fontId="68" fillId="6" borderId="15" xfId="132" applyFont="1" applyFill="1" applyBorder="1" applyAlignment="1">
      <alignment horizontal="center" vertical="center"/>
    </xf>
    <xf numFmtId="166" fontId="63" fillId="6" borderId="15" xfId="2" applyNumberFormat="1" applyFont="1" applyFill="1" applyBorder="1" applyAlignment="1">
      <alignment horizontal="right" vertical="center"/>
    </xf>
    <xf numFmtId="166" fontId="63" fillId="6" borderId="235" xfId="2" applyNumberFormat="1" applyFont="1" applyFill="1" applyBorder="1" applyAlignment="1">
      <alignment horizontal="right" vertical="center"/>
    </xf>
    <xf numFmtId="0" fontId="62" fillId="6" borderId="207" xfId="132" applyFont="1" applyFill="1" applyBorder="1" applyAlignment="1">
      <alignment horizontal="center" vertical="center"/>
    </xf>
    <xf numFmtId="0" fontId="62" fillId="6" borderId="16" xfId="132" applyNumberFormat="1" applyFont="1" applyFill="1" applyBorder="1" applyAlignment="1">
      <alignment vertical="center"/>
    </xf>
    <xf numFmtId="0" fontId="62" fillId="6" borderId="236" xfId="132" applyNumberFormat="1" applyFont="1" applyFill="1" applyBorder="1" applyAlignment="1">
      <alignment vertical="center"/>
    </xf>
    <xf numFmtId="0" fontId="62" fillId="6" borderId="208" xfId="132" applyNumberFormat="1" applyFont="1" applyFill="1" applyBorder="1" applyAlignment="1">
      <alignment vertical="center"/>
    </xf>
    <xf numFmtId="184" fontId="64" fillId="6" borderId="15" xfId="65" applyNumberFormat="1" applyFont="1" applyFill="1" applyBorder="1" applyAlignment="1">
      <alignment vertical="center"/>
    </xf>
    <xf numFmtId="0" fontId="64" fillId="6" borderId="15" xfId="132" applyFont="1" applyFill="1" applyBorder="1" applyAlignment="1">
      <alignment horizontal="center" vertical="center"/>
    </xf>
    <xf numFmtId="166" fontId="65" fillId="6" borderId="235" xfId="2" applyNumberFormat="1" applyFont="1" applyFill="1" applyBorder="1" applyAlignment="1">
      <alignment horizontal="right" vertical="center"/>
    </xf>
    <xf numFmtId="184" fontId="63" fillId="6" borderId="208" xfId="65" applyNumberFormat="1" applyFont="1" applyFill="1" applyBorder="1" applyAlignment="1">
      <alignment vertical="center"/>
    </xf>
    <xf numFmtId="166" fontId="68" fillId="6" borderId="15" xfId="65" applyFont="1" applyFill="1" applyBorder="1" applyAlignment="1">
      <alignment horizontal="center" vertical="center"/>
    </xf>
    <xf numFmtId="0" fontId="62" fillId="0" borderId="239" xfId="132" applyNumberFormat="1" applyFont="1" applyFill="1" applyBorder="1" applyAlignment="1">
      <alignment vertical="center"/>
    </xf>
    <xf numFmtId="0" fontId="62" fillId="0" borderId="240" xfId="132" applyNumberFormat="1" applyFont="1" applyFill="1" applyBorder="1" applyAlignment="1">
      <alignment vertical="center"/>
    </xf>
    <xf numFmtId="0" fontId="62" fillId="0" borderId="241" xfId="132" applyNumberFormat="1" applyFont="1" applyFill="1" applyBorder="1" applyAlignment="1">
      <alignment vertical="center"/>
    </xf>
    <xf numFmtId="0" fontId="62" fillId="0" borderId="165" xfId="132" applyNumberFormat="1" applyFont="1" applyFill="1" applyBorder="1" applyAlignment="1">
      <alignment vertical="center"/>
    </xf>
    <xf numFmtId="0" fontId="62" fillId="0" borderId="120" xfId="132" applyNumberFormat="1" applyFont="1" applyFill="1" applyBorder="1" applyAlignment="1">
      <alignment vertical="center"/>
    </xf>
    <xf numFmtId="166" fontId="63" fillId="0" borderId="34" xfId="1" applyFont="1" applyFill="1" applyBorder="1" applyAlignment="1">
      <alignment horizontal="right" vertical="center"/>
    </xf>
    <xf numFmtId="0" fontId="63" fillId="0" borderId="34" xfId="132" applyNumberFormat="1" applyFont="1" applyFill="1" applyBorder="1" applyAlignment="1">
      <alignment horizontal="center" vertical="center"/>
    </xf>
    <xf numFmtId="0" fontId="62" fillId="6" borderId="15" xfId="132" applyNumberFormat="1" applyFont="1" applyFill="1" applyBorder="1" applyAlignment="1">
      <alignment horizontal="right" vertical="center"/>
    </xf>
    <xf numFmtId="166" fontId="62" fillId="6" borderId="235" xfId="2" applyNumberFormat="1" applyFont="1" applyFill="1" applyBorder="1" applyAlignment="1">
      <alignment horizontal="right" vertical="center"/>
    </xf>
    <xf numFmtId="175" fontId="69" fillId="0" borderId="0" xfId="118" applyNumberFormat="1" applyFont="1" applyFill="1"/>
    <xf numFmtId="175" fontId="69" fillId="0" borderId="30" xfId="42" applyNumberFormat="1" applyFont="1" applyFill="1" applyBorder="1"/>
    <xf numFmtId="166" fontId="68" fillId="0" borderId="7" xfId="42" applyFont="1" applyFill="1" applyBorder="1" applyAlignment="1">
      <alignment horizontal="center"/>
    </xf>
    <xf numFmtId="166" fontId="68" fillId="0" borderId="129" xfId="42" applyNumberFormat="1" applyFont="1" applyFill="1" applyBorder="1" applyAlignment="1">
      <alignment horizontal="center"/>
    </xf>
    <xf numFmtId="166" fontId="68" fillId="0" borderId="7" xfId="42" applyNumberFormat="1" applyFont="1" applyFill="1" applyBorder="1" applyAlignment="1">
      <alignment horizontal="center"/>
    </xf>
    <xf numFmtId="166" fontId="68" fillId="0" borderId="7" xfId="42" applyFont="1" applyFill="1" applyBorder="1" applyAlignment="1">
      <alignment horizontal="center" vertical="center"/>
    </xf>
    <xf numFmtId="175" fontId="69" fillId="0" borderId="30" xfId="2" applyNumberFormat="1" applyFont="1" applyBorder="1"/>
    <xf numFmtId="166" fontId="68" fillId="0" borderId="7" xfId="42" applyFont="1" applyBorder="1" applyAlignment="1">
      <alignment horizontal="center"/>
    </xf>
    <xf numFmtId="175" fontId="69" fillId="0" borderId="0" xfId="118" applyNumberFormat="1" applyFont="1"/>
    <xf numFmtId="176" fontId="68" fillId="0" borderId="7" xfId="42" applyNumberFormat="1" applyFont="1" applyFill="1" applyBorder="1" applyAlignment="1">
      <alignment horizontal="center"/>
    </xf>
    <xf numFmtId="176" fontId="68" fillId="0" borderId="129" xfId="42" applyNumberFormat="1" applyFont="1" applyBorder="1" applyAlignment="1">
      <alignment horizontal="center"/>
    </xf>
    <xf numFmtId="176" fontId="68" fillId="0" borderId="7" xfId="42" applyNumberFormat="1" applyFont="1" applyBorder="1" applyAlignment="1">
      <alignment horizontal="center"/>
    </xf>
    <xf numFmtId="166" fontId="68" fillId="0" borderId="129" xfId="42" applyFont="1" applyBorder="1" applyAlignment="1">
      <alignment horizontal="center"/>
    </xf>
    <xf numFmtId="166" fontId="68" fillId="0" borderId="18" xfId="42" applyFont="1" applyBorder="1" applyAlignment="1">
      <alignment horizontal="center"/>
    </xf>
    <xf numFmtId="166" fontId="68" fillId="0" borderId="22" xfId="42" applyFont="1" applyBorder="1" applyAlignment="1">
      <alignment horizontal="center"/>
    </xf>
    <xf numFmtId="177" fontId="62" fillId="0" borderId="221" xfId="131" applyNumberFormat="1" applyFont="1" applyFill="1" applyBorder="1" applyAlignment="1">
      <alignment horizontal="center" vertical="center"/>
    </xf>
    <xf numFmtId="0" fontId="95" fillId="0" borderId="0" xfId="132" applyFont="1" applyFill="1" applyBorder="1" applyAlignment="1">
      <alignment horizontal="center"/>
    </xf>
    <xf numFmtId="0" fontId="95" fillId="0" borderId="136" xfId="132" applyFont="1" applyFill="1" applyBorder="1" applyAlignment="1">
      <alignment horizontal="center"/>
    </xf>
    <xf numFmtId="168" fontId="63" fillId="0" borderId="146" xfId="42" applyNumberFormat="1" applyFont="1" applyFill="1" applyBorder="1" applyAlignment="1">
      <alignment horizontal="left" vertical="center"/>
    </xf>
    <xf numFmtId="0" fontId="68" fillId="0" borderId="0" xfId="114" applyFont="1" applyBorder="1" applyAlignment="1">
      <alignment horizontal="center"/>
    </xf>
    <xf numFmtId="0" fontId="62" fillId="0" borderId="0" xfId="115" applyFont="1" applyBorder="1" applyAlignment="1">
      <alignment horizontal="center"/>
    </xf>
    <xf numFmtId="0" fontId="63" fillId="0" borderId="35" xfId="132" applyFont="1" applyFill="1" applyBorder="1" applyAlignment="1">
      <alignment horizontal="center" vertical="center"/>
    </xf>
    <xf numFmtId="0" fontId="79" fillId="0" borderId="0" xfId="115" applyFont="1"/>
    <xf numFmtId="166" fontId="79" fillId="0" borderId="0" xfId="42" applyFont="1" applyAlignment="1">
      <alignment horizontal="right"/>
    </xf>
    <xf numFmtId="177" fontId="79" fillId="0" borderId="0" xfId="115" applyNumberFormat="1" applyFont="1"/>
    <xf numFmtId="0" fontId="79" fillId="0" borderId="0" xfId="115" applyFont="1" applyFill="1"/>
    <xf numFmtId="0" fontId="69" fillId="0" borderId="0" xfId="118" applyFont="1" applyFill="1"/>
    <xf numFmtId="0" fontId="69" fillId="0" borderId="0" xfId="118" applyFont="1" applyAlignment="1"/>
    <xf numFmtId="0" fontId="68" fillId="0" borderId="0" xfId="118" applyFont="1"/>
    <xf numFmtId="0" fontId="68" fillId="0" borderId="0" xfId="42" applyNumberFormat="1" applyFont="1" applyAlignment="1">
      <alignment horizontal="center"/>
    </xf>
    <xf numFmtId="0" fontId="68" fillId="0" borderId="0" xfId="2" applyNumberFormat="1" applyFont="1" applyAlignment="1">
      <alignment horizontal="center"/>
    </xf>
    <xf numFmtId="175" fontId="68" fillId="0" borderId="0" xfId="2" applyNumberFormat="1" applyFont="1"/>
    <xf numFmtId="0" fontId="69" fillId="0" borderId="0" xfId="118" applyFont="1"/>
    <xf numFmtId="0" fontId="69" fillId="0" borderId="0" xfId="118" applyFont="1" applyAlignment="1">
      <alignment horizontal="center"/>
    </xf>
    <xf numFmtId="0" fontId="120" fillId="0" borderId="0" xfId="118" applyFont="1" applyFill="1"/>
    <xf numFmtId="0" fontId="120" fillId="0" borderId="0" xfId="118" applyFont="1" applyAlignment="1"/>
    <xf numFmtId="0" fontId="118" fillId="0" borderId="0" xfId="118" applyFont="1"/>
    <xf numFmtId="0" fontId="118" fillId="0" borderId="0" xfId="42" applyNumberFormat="1" applyFont="1" applyAlignment="1">
      <alignment horizontal="center"/>
    </xf>
    <xf numFmtId="0" fontId="118" fillId="0" borderId="0" xfId="2" applyNumberFormat="1" applyFont="1" applyAlignment="1">
      <alignment horizontal="center"/>
    </xf>
    <xf numFmtId="175" fontId="118" fillId="0" borderId="0" xfId="2" applyNumberFormat="1" applyFont="1"/>
    <xf numFmtId="0" fontId="120" fillId="0" borderId="0" xfId="118" applyFont="1"/>
    <xf numFmtId="0" fontId="120" fillId="0" borderId="0" xfId="118" applyFont="1" applyAlignment="1">
      <alignment horizontal="center"/>
    </xf>
    <xf numFmtId="0" fontId="68" fillId="0" borderId="0" xfId="118" applyFont="1" applyFill="1"/>
    <xf numFmtId="0" fontId="68" fillId="0" borderId="0" xfId="118" applyFont="1" applyAlignment="1"/>
    <xf numFmtId="175" fontId="69" fillId="0" borderId="0" xfId="2" applyNumberFormat="1" applyFont="1"/>
    <xf numFmtId="0" fontId="69" fillId="0" borderId="19" xfId="118" applyFont="1" applyBorder="1" applyAlignment="1">
      <alignment horizontal="center"/>
    </xf>
    <xf numFmtId="0" fontId="69" fillId="0" borderId="15" xfId="42" applyNumberFormat="1" applyFont="1" applyBorder="1" applyAlignment="1">
      <alignment horizontal="center"/>
    </xf>
    <xf numFmtId="0" fontId="69" fillId="0" borderId="15" xfId="2" applyNumberFormat="1" applyFont="1" applyBorder="1" applyAlignment="1">
      <alignment horizontal="center"/>
    </xf>
    <xf numFmtId="0" fontId="69" fillId="0" borderId="16" xfId="2" applyNumberFormat="1" applyFont="1" applyBorder="1" applyAlignment="1">
      <alignment horizontal="center"/>
    </xf>
    <xf numFmtId="0" fontId="69" fillId="0" borderId="16" xfId="42" applyNumberFormat="1" applyFont="1" applyBorder="1" applyAlignment="1">
      <alignment horizontal="center"/>
    </xf>
    <xf numFmtId="175" fontId="69" fillId="0" borderId="17" xfId="2" applyNumberFormat="1" applyFont="1" applyBorder="1" applyAlignment="1">
      <alignment horizontal="center"/>
    </xf>
    <xf numFmtId="175" fontId="69" fillId="0" borderId="0" xfId="7" applyNumberFormat="1" applyFont="1"/>
    <xf numFmtId="175" fontId="68" fillId="0" borderId="128" xfId="2" applyNumberFormat="1" applyFont="1" applyBorder="1" applyAlignment="1">
      <alignment horizontal="right"/>
    </xf>
    <xf numFmtId="0" fontId="68" fillId="0" borderId="129" xfId="42" applyNumberFormat="1" applyFont="1" applyBorder="1" applyAlignment="1">
      <alignment horizontal="center"/>
    </xf>
    <xf numFmtId="0" fontId="68" fillId="0" borderId="129" xfId="2" applyNumberFormat="1" applyFont="1" applyBorder="1" applyAlignment="1">
      <alignment horizontal="center" vertical="center"/>
    </xf>
    <xf numFmtId="0" fontId="68" fillId="0" borderId="129" xfId="2" applyNumberFormat="1" applyFont="1" applyBorder="1" applyAlignment="1">
      <alignment horizontal="center"/>
    </xf>
    <xf numFmtId="175" fontId="68" fillId="0" borderId="130" xfId="42" applyNumberFormat="1" applyFont="1" applyBorder="1" applyAlignment="1">
      <alignment horizontal="center"/>
    </xf>
    <xf numFmtId="175" fontId="68" fillId="0" borderId="103" xfId="2" applyNumberFormat="1" applyFont="1" applyBorder="1" applyAlignment="1">
      <alignment horizontal="right"/>
    </xf>
    <xf numFmtId="0" fontId="68" fillId="0" borderId="7" xfId="42" applyNumberFormat="1" applyFont="1" applyBorder="1" applyAlignment="1">
      <alignment horizontal="center"/>
    </xf>
    <xf numFmtId="0" fontId="68" fillId="0" borderId="7" xfId="2" applyNumberFormat="1" applyFont="1" applyBorder="1" applyAlignment="1">
      <alignment horizontal="center" vertical="center"/>
    </xf>
    <xf numFmtId="0" fontId="68" fillId="0" borderId="7" xfId="2" applyNumberFormat="1" applyFont="1" applyBorder="1" applyAlignment="1">
      <alignment horizontal="center"/>
    </xf>
    <xf numFmtId="175" fontId="68" fillId="0" borderId="55" xfId="42" applyNumberFormat="1" applyFont="1" applyBorder="1" applyAlignment="1">
      <alignment horizontal="center"/>
    </xf>
    <xf numFmtId="0" fontId="68" fillId="0" borderId="27" xfId="42" applyNumberFormat="1" applyFont="1" applyBorder="1" applyAlignment="1">
      <alignment horizontal="center"/>
    </xf>
    <xf numFmtId="0" fontId="68" fillId="0" borderId="38" xfId="42" applyNumberFormat="1" applyFont="1" applyBorder="1" applyAlignment="1">
      <alignment horizontal="center"/>
    </xf>
    <xf numFmtId="0" fontId="68" fillId="0" borderId="27" xfId="2" applyNumberFormat="1" applyFont="1" applyBorder="1" applyAlignment="1">
      <alignment horizontal="center"/>
    </xf>
    <xf numFmtId="175" fontId="69" fillId="0" borderId="30" xfId="42" applyNumberFormat="1" applyFont="1" applyBorder="1"/>
    <xf numFmtId="175" fontId="68" fillId="0" borderId="0" xfId="2" applyNumberFormat="1" applyFont="1" applyBorder="1"/>
    <xf numFmtId="0" fontId="68" fillId="0" borderId="0" xfId="42" applyNumberFormat="1" applyFont="1" applyBorder="1" applyAlignment="1">
      <alignment horizontal="center"/>
    </xf>
    <xf numFmtId="0" fontId="68" fillId="0" borderId="0" xfId="2" applyNumberFormat="1" applyFont="1" applyBorder="1" applyAlignment="1">
      <alignment horizontal="center"/>
    </xf>
    <xf numFmtId="175" fontId="68" fillId="0" borderId="0" xfId="42" applyNumberFormat="1" applyFont="1" applyBorder="1"/>
    <xf numFmtId="175" fontId="68" fillId="0" borderId="128" xfId="2" applyNumberFormat="1" applyFont="1" applyBorder="1" applyAlignment="1">
      <alignment horizontal="center"/>
    </xf>
    <xf numFmtId="166" fontId="68" fillId="0" borderId="7" xfId="42" applyNumberFormat="1" applyFont="1" applyBorder="1" applyAlignment="1">
      <alignment horizontal="center"/>
    </xf>
    <xf numFmtId="0" fontId="68" fillId="0" borderId="0" xfId="132" applyNumberFormat="1" applyFont="1" applyBorder="1" applyAlignment="1">
      <alignment vertical="center"/>
    </xf>
    <xf numFmtId="0" fontId="118" fillId="0" borderId="0" xfId="118" applyFont="1" applyFill="1"/>
    <xf numFmtId="0" fontId="118" fillId="0" borderId="0" xfId="118" applyFont="1" applyAlignment="1"/>
    <xf numFmtId="175" fontId="118" fillId="0" borderId="0" xfId="2" applyNumberFormat="1" applyFont="1" applyBorder="1"/>
    <xf numFmtId="0" fontId="118" fillId="0" borderId="0" xfId="42" applyNumberFormat="1" applyFont="1" applyBorder="1" applyAlignment="1">
      <alignment horizontal="center"/>
    </xf>
    <xf numFmtId="0" fontId="118" fillId="0" borderId="0" xfId="2" applyNumberFormat="1" applyFont="1" applyBorder="1" applyAlignment="1">
      <alignment horizontal="center"/>
    </xf>
    <xf numFmtId="175" fontId="118" fillId="0" borderId="0" xfId="42" applyNumberFormat="1" applyFont="1" applyBorder="1"/>
    <xf numFmtId="175" fontId="120" fillId="0" borderId="0" xfId="7" applyNumberFormat="1" applyFont="1"/>
    <xf numFmtId="0" fontId="69" fillId="0" borderId="0" xfId="118" applyFont="1" applyFill="1" applyAlignment="1">
      <alignment horizontal="center"/>
    </xf>
    <xf numFmtId="0" fontId="69" fillId="0" borderId="0" xfId="118" applyFont="1" applyFill="1" applyAlignment="1"/>
    <xf numFmtId="0" fontId="69" fillId="0" borderId="0" xfId="42" applyNumberFormat="1" applyFont="1" applyFill="1" applyAlignment="1">
      <alignment horizontal="center"/>
    </xf>
    <xf numFmtId="0" fontId="69" fillId="0" borderId="0" xfId="2" applyNumberFormat="1" applyFont="1" applyFill="1" applyAlignment="1">
      <alignment horizontal="center"/>
    </xf>
    <xf numFmtId="175" fontId="69" fillId="0" borderId="0" xfId="2" applyNumberFormat="1" applyFont="1" applyFill="1"/>
    <xf numFmtId="0" fontId="68" fillId="0" borderId="0" xfId="118" applyFont="1" applyFill="1" applyAlignment="1">
      <alignment horizontal="center"/>
    </xf>
    <xf numFmtId="0" fontId="68" fillId="0" borderId="0" xfId="118" applyFont="1" applyFill="1" applyAlignment="1"/>
    <xf numFmtId="0" fontId="68" fillId="0" borderId="0" xfId="42" applyNumberFormat="1" applyFont="1" applyFill="1" applyAlignment="1">
      <alignment horizontal="center"/>
    </xf>
    <xf numFmtId="0" fontId="68" fillId="0" borderId="0" xfId="2" applyNumberFormat="1" applyFont="1" applyFill="1" applyAlignment="1">
      <alignment horizontal="center"/>
    </xf>
    <xf numFmtId="175" fontId="68" fillId="0" borderId="0" xfId="2" applyNumberFormat="1" applyFont="1" applyFill="1"/>
    <xf numFmtId="0" fontId="69" fillId="0" borderId="19" xfId="118" applyFont="1" applyFill="1" applyBorder="1" applyAlignment="1">
      <alignment horizontal="center"/>
    </xf>
    <xf numFmtId="0" fontId="69" fillId="0" borderId="15" xfId="42" applyNumberFormat="1" applyFont="1" applyFill="1" applyBorder="1" applyAlignment="1">
      <alignment horizontal="center"/>
    </xf>
    <xf numFmtId="0" fontId="69" fillId="0" borderId="15" xfId="2" applyNumberFormat="1" applyFont="1" applyFill="1" applyBorder="1" applyAlignment="1">
      <alignment horizontal="center"/>
    </xf>
    <xf numFmtId="0" fontId="69" fillId="0" borderId="16" xfId="2" applyNumberFormat="1" applyFont="1" applyFill="1" applyBorder="1" applyAlignment="1">
      <alignment horizontal="center"/>
    </xf>
    <xf numFmtId="0" fontId="69" fillId="0" borderId="16" xfId="42" applyNumberFormat="1" applyFont="1" applyFill="1" applyBorder="1" applyAlignment="1">
      <alignment horizontal="center"/>
    </xf>
    <xf numFmtId="175" fontId="69" fillId="0" borderId="17" xfId="2" applyNumberFormat="1" applyFont="1" applyFill="1" applyBorder="1" applyAlignment="1">
      <alignment horizontal="center"/>
    </xf>
    <xf numFmtId="175" fontId="69" fillId="0" borderId="0" xfId="7" applyNumberFormat="1" applyFont="1" applyFill="1"/>
    <xf numFmtId="0" fontId="68" fillId="0" borderId="128" xfId="118" applyFont="1" applyFill="1" applyBorder="1"/>
    <xf numFmtId="0" fontId="68" fillId="0" borderId="129" xfId="42" applyNumberFormat="1" applyFont="1" applyFill="1" applyBorder="1" applyAlignment="1">
      <alignment horizontal="center"/>
    </xf>
    <xf numFmtId="0" fontId="68" fillId="0" borderId="129" xfId="42" applyNumberFormat="1" applyFont="1" applyFill="1" applyBorder="1" applyAlignment="1">
      <alignment horizontal="center" vertical="center"/>
    </xf>
    <xf numFmtId="175" fontId="68" fillId="0" borderId="130" xfId="42" applyNumberFormat="1" applyFont="1" applyFill="1" applyBorder="1" applyAlignment="1">
      <alignment horizontal="center"/>
    </xf>
    <xf numFmtId="0" fontId="68" fillId="0" borderId="103" xfId="118" applyFont="1" applyFill="1" applyBorder="1" applyAlignment="1">
      <alignment horizontal="right"/>
    </xf>
    <xf numFmtId="166" fontId="68" fillId="0" borderId="55" xfId="42" applyFont="1" applyFill="1" applyBorder="1" applyAlignment="1">
      <alignment horizontal="center"/>
    </xf>
    <xf numFmtId="166" fontId="67" fillId="0" borderId="200" xfId="42" applyFont="1" applyBorder="1" applyAlignment="1">
      <alignment horizontal="left"/>
    </xf>
    <xf numFmtId="166" fontId="68" fillId="0" borderId="36" xfId="42" applyFont="1" applyBorder="1" applyAlignment="1">
      <alignment horizontal="center"/>
    </xf>
    <xf numFmtId="166" fontId="69" fillId="0" borderId="201" xfId="42" applyFont="1" applyBorder="1"/>
    <xf numFmtId="0" fontId="118" fillId="0" borderId="0" xfId="132" applyNumberFormat="1" applyFont="1" applyBorder="1" applyAlignment="1">
      <alignment vertical="center"/>
    </xf>
    <xf numFmtId="166" fontId="118" fillId="0" borderId="0" xfId="42" applyFont="1" applyBorder="1" applyAlignment="1">
      <alignment horizontal="center"/>
    </xf>
    <xf numFmtId="175" fontId="120" fillId="0" borderId="0" xfId="42" applyNumberFormat="1" applyFont="1" applyBorder="1"/>
    <xf numFmtId="0" fontId="68" fillId="0" borderId="0" xfId="118" applyFont="1" applyFill="1" applyAlignment="1">
      <alignment horizontal="left"/>
    </xf>
    <xf numFmtId="0" fontId="68" fillId="0" borderId="7" xfId="42" applyNumberFormat="1" applyFont="1" applyFill="1" applyBorder="1" applyAlignment="1">
      <alignment horizontal="center"/>
    </xf>
    <xf numFmtId="0" fontId="68" fillId="0" borderId="7" xfId="42" applyNumberFormat="1" applyFont="1" applyFill="1" applyBorder="1" applyAlignment="1">
      <alignment horizontal="center" vertical="center"/>
    </xf>
    <xf numFmtId="0" fontId="68" fillId="0" borderId="7" xfId="42" applyNumberFormat="1" applyFont="1" applyBorder="1" applyAlignment="1">
      <alignment horizontal="center" vertical="center"/>
    </xf>
    <xf numFmtId="175" fontId="68" fillId="0" borderId="55" xfId="42" applyNumberFormat="1" applyFont="1" applyFill="1" applyBorder="1" applyAlignment="1">
      <alignment horizontal="center"/>
    </xf>
    <xf numFmtId="166" fontId="68" fillId="0" borderId="103" xfId="42" applyFont="1" applyBorder="1" applyAlignment="1">
      <alignment horizontal="right"/>
    </xf>
    <xf numFmtId="175" fontId="68" fillId="0" borderId="55" xfId="2" applyNumberFormat="1" applyFont="1" applyBorder="1"/>
    <xf numFmtId="175" fontId="68" fillId="0" borderId="103" xfId="2" applyNumberFormat="1" applyFont="1" applyBorder="1" applyAlignment="1">
      <alignment horizontal="left"/>
    </xf>
    <xf numFmtId="175" fontId="68" fillId="0" borderId="7" xfId="42" applyNumberFormat="1" applyFont="1" applyBorder="1" applyAlignment="1">
      <alignment horizontal="center"/>
    </xf>
    <xf numFmtId="0" fontId="68" fillId="0" borderId="36" xfId="42" applyNumberFormat="1" applyFont="1" applyBorder="1" applyAlignment="1">
      <alignment horizontal="center"/>
    </xf>
    <xf numFmtId="0" fontId="68" fillId="0" borderId="36" xfId="2" applyNumberFormat="1" applyFont="1" applyBorder="1" applyAlignment="1">
      <alignment horizontal="center"/>
    </xf>
    <xf numFmtId="175" fontId="69" fillId="0" borderId="201" xfId="42" applyNumberFormat="1" applyFont="1" applyBorder="1"/>
    <xf numFmtId="166" fontId="68" fillId="0" borderId="128" xfId="42" applyFont="1" applyBorder="1"/>
    <xf numFmtId="0" fontId="68" fillId="0" borderId="129" xfId="42" applyNumberFormat="1" applyFont="1" applyBorder="1" applyAlignment="1">
      <alignment horizontal="center" vertical="center"/>
    </xf>
    <xf numFmtId="175" fontId="68" fillId="0" borderId="130" xfId="2" applyNumberFormat="1" applyFont="1" applyBorder="1"/>
    <xf numFmtId="166" fontId="68" fillId="0" borderId="7" xfId="42" applyFont="1" applyBorder="1" applyAlignment="1">
      <alignment horizontal="center" vertical="center"/>
    </xf>
    <xf numFmtId="166" fontId="68" fillId="0" borderId="55" xfId="42" applyFont="1" applyBorder="1"/>
    <xf numFmtId="166" fontId="69" fillId="0" borderId="0" xfId="118" applyNumberFormat="1" applyFont="1"/>
    <xf numFmtId="166" fontId="68" fillId="0" borderId="103" xfId="118" applyNumberFormat="1" applyFont="1" applyFill="1" applyBorder="1" applyAlignment="1">
      <alignment horizontal="left"/>
    </xf>
    <xf numFmtId="166" fontId="68" fillId="0" borderId="103" xfId="118" applyNumberFormat="1" applyFont="1" applyFill="1" applyBorder="1" applyAlignment="1">
      <alignment horizontal="right"/>
    </xf>
    <xf numFmtId="166" fontId="68" fillId="0" borderId="7" xfId="42" applyNumberFormat="1" applyFont="1" applyBorder="1" applyAlignment="1">
      <alignment horizontal="center" vertical="center"/>
    </xf>
    <xf numFmtId="166" fontId="68" fillId="0" borderId="200" xfId="118" applyNumberFormat="1" applyFont="1" applyBorder="1"/>
    <xf numFmtId="175" fontId="68" fillId="0" borderId="201" xfId="2" applyNumberFormat="1" applyFont="1" applyBorder="1"/>
    <xf numFmtId="0" fontId="68" fillId="0" borderId="38" xfId="118" applyNumberFormat="1" applyFont="1" applyBorder="1" applyAlignment="1">
      <alignment horizontal="center"/>
    </xf>
    <xf numFmtId="0" fontId="118" fillId="0" borderId="0" xfId="118" applyFont="1" applyBorder="1" applyAlignment="1">
      <alignment horizontal="center"/>
    </xf>
    <xf numFmtId="175" fontId="120" fillId="0" borderId="0" xfId="2" applyNumberFormat="1" applyFont="1" applyBorder="1"/>
    <xf numFmtId="166" fontId="68" fillId="0" borderId="128" xfId="118" applyNumberFormat="1" applyFont="1" applyBorder="1"/>
    <xf numFmtId="166" fontId="68" fillId="0" borderId="200" xfId="42" applyFont="1" applyBorder="1" applyAlignment="1">
      <alignment horizontal="left"/>
    </xf>
    <xf numFmtId="0" fontId="118" fillId="0" borderId="0" xfId="118" applyNumberFormat="1" applyFont="1" applyBorder="1" applyAlignment="1">
      <alignment horizontal="center"/>
    </xf>
    <xf numFmtId="166" fontId="68" fillId="0" borderId="129" xfId="42" applyNumberFormat="1" applyFont="1" applyBorder="1" applyAlignment="1">
      <alignment horizontal="center"/>
    </xf>
    <xf numFmtId="166" fontId="68" fillId="0" borderId="21" xfId="118" applyNumberFormat="1" applyFont="1" applyBorder="1"/>
    <xf numFmtId="175" fontId="67" fillId="0" borderId="55" xfId="2" applyNumberFormat="1" applyFont="1" applyBorder="1"/>
    <xf numFmtId="166" fontId="68" fillId="0" borderId="103" xfId="118" applyNumberFormat="1" applyFont="1" applyBorder="1" applyAlignment="1">
      <alignment horizontal="right"/>
    </xf>
    <xf numFmtId="166" fontId="68" fillId="0" borderId="103" xfId="118" applyNumberFormat="1" applyFont="1" applyBorder="1" applyAlignment="1">
      <alignment horizontal="left"/>
    </xf>
    <xf numFmtId="0" fontId="68" fillId="0" borderId="129" xfId="118" applyFont="1" applyFill="1" applyBorder="1"/>
    <xf numFmtId="0" fontId="68" fillId="0" borderId="130" xfId="42" applyNumberFormat="1" applyFont="1" applyFill="1" applyBorder="1" applyAlignment="1">
      <alignment horizontal="center"/>
    </xf>
    <xf numFmtId="0" fontId="68" fillId="0" borderId="7" xfId="118" applyFont="1" applyFill="1" applyBorder="1"/>
    <xf numFmtId="166" fontId="68" fillId="0" borderId="55" xfId="42" applyNumberFormat="1" applyFont="1" applyFill="1" applyBorder="1" applyAlignment="1">
      <alignment horizontal="center"/>
    </xf>
    <xf numFmtId="175" fontId="68" fillId="0" borderId="187" xfId="2" applyNumberFormat="1" applyFont="1" applyFill="1" applyBorder="1"/>
    <xf numFmtId="0" fontId="68" fillId="0" borderId="141" xfId="42" applyNumberFormat="1" applyFont="1" applyFill="1" applyBorder="1" applyAlignment="1">
      <alignment horizontal="center"/>
    </xf>
    <xf numFmtId="0" fontId="68" fillId="0" borderId="150" xfId="42" applyNumberFormat="1" applyFont="1" applyFill="1" applyBorder="1" applyAlignment="1">
      <alignment horizontal="center"/>
    </xf>
    <xf numFmtId="175" fontId="68" fillId="0" borderId="179" xfId="42" applyNumberFormat="1" applyFont="1" applyFill="1" applyBorder="1"/>
    <xf numFmtId="0" fontId="68" fillId="0" borderId="27" xfId="42" applyNumberFormat="1" applyFont="1" applyFill="1" applyBorder="1" applyAlignment="1">
      <alignment horizontal="center"/>
    </xf>
    <xf numFmtId="0" fontId="68" fillId="0" borderId="38" xfId="42" applyNumberFormat="1" applyFont="1" applyFill="1" applyBorder="1" applyAlignment="1">
      <alignment horizontal="center"/>
    </xf>
    <xf numFmtId="0" fontId="68" fillId="0" borderId="27" xfId="2" applyNumberFormat="1" applyFont="1" applyFill="1" applyBorder="1" applyAlignment="1">
      <alignment horizontal="center"/>
    </xf>
    <xf numFmtId="0" fontId="118" fillId="0" borderId="0" xfId="118" applyFont="1" applyFill="1" applyAlignment="1"/>
    <xf numFmtId="0" fontId="118" fillId="0" borderId="0" xfId="42" applyNumberFormat="1" applyFont="1" applyFill="1" applyAlignment="1">
      <alignment horizontal="center"/>
    </xf>
    <xf numFmtId="0" fontId="118" fillId="0" borderId="0" xfId="2" applyNumberFormat="1" applyFont="1" applyFill="1" applyAlignment="1">
      <alignment horizontal="center"/>
    </xf>
    <xf numFmtId="175" fontId="118" fillId="0" borderId="0" xfId="2" applyNumberFormat="1" applyFont="1" applyFill="1"/>
    <xf numFmtId="175" fontId="120" fillId="0" borderId="0" xfId="118" applyNumberFormat="1" applyFont="1" applyFill="1"/>
    <xf numFmtId="0" fontId="120" fillId="0" borderId="0" xfId="118" applyFont="1" applyFill="1" applyAlignment="1">
      <alignment horizontal="center"/>
    </xf>
    <xf numFmtId="0" fontId="68" fillId="0" borderId="128" xfId="118" applyFont="1" applyFill="1" applyBorder="1" applyAlignment="1">
      <alignment horizontal="right"/>
    </xf>
    <xf numFmtId="175" fontId="68" fillId="0" borderId="200" xfId="2" applyNumberFormat="1" applyFont="1" applyFill="1" applyBorder="1"/>
    <xf numFmtId="0" fontId="68" fillId="0" borderId="36" xfId="42" applyNumberFormat="1" applyFont="1" applyFill="1" applyBorder="1" applyAlignment="1">
      <alignment horizontal="center"/>
    </xf>
    <xf numFmtId="175" fontId="68" fillId="0" borderId="201" xfId="42" applyNumberFormat="1" applyFont="1" applyFill="1" applyBorder="1"/>
    <xf numFmtId="166" fontId="68" fillId="0" borderId="0" xfId="42" applyNumberFormat="1" applyFont="1" applyFill="1" applyBorder="1" applyAlignment="1">
      <alignment horizontal="center"/>
    </xf>
    <xf numFmtId="0" fontId="68" fillId="0" borderId="0" xfId="42" applyNumberFormat="1" applyFont="1" applyFill="1" applyBorder="1" applyAlignment="1">
      <alignment horizontal="center"/>
    </xf>
    <xf numFmtId="0" fontId="68" fillId="0" borderId="0" xfId="2" applyNumberFormat="1" applyFont="1" applyFill="1" applyBorder="1" applyAlignment="1">
      <alignment horizontal="center"/>
    </xf>
    <xf numFmtId="175" fontId="69" fillId="0" borderId="0" xfId="42" applyNumberFormat="1" applyFont="1" applyFill="1" applyBorder="1"/>
    <xf numFmtId="166" fontId="118" fillId="0" borderId="0" xfId="42" applyNumberFormat="1" applyFont="1" applyFill="1" applyBorder="1" applyAlignment="1">
      <alignment horizontal="center"/>
    </xf>
    <xf numFmtId="0" fontId="118" fillId="0" borderId="0" xfId="42" applyNumberFormat="1" applyFont="1" applyFill="1" applyBorder="1" applyAlignment="1">
      <alignment horizontal="center"/>
    </xf>
    <xf numFmtId="0" fontId="118" fillId="0" borderId="0" xfId="2" applyNumberFormat="1" applyFont="1" applyFill="1" applyBorder="1" applyAlignment="1">
      <alignment horizontal="center"/>
    </xf>
    <xf numFmtId="175" fontId="120" fillId="0" borderId="0" xfId="42" applyNumberFormat="1" applyFont="1" applyFill="1" applyBorder="1"/>
    <xf numFmtId="0" fontId="68" fillId="0" borderId="129" xfId="2" applyNumberFormat="1" applyFont="1" applyFill="1" applyBorder="1" applyAlignment="1">
      <alignment horizontal="center"/>
    </xf>
    <xf numFmtId="0" fontId="67" fillId="0" borderId="103" xfId="118" applyFont="1" applyFill="1" applyBorder="1" applyAlignment="1">
      <alignment horizontal="right"/>
    </xf>
    <xf numFmtId="0" fontId="68" fillId="0" borderId="7" xfId="2" applyNumberFormat="1" applyFont="1" applyFill="1" applyBorder="1" applyAlignment="1">
      <alignment horizontal="center"/>
    </xf>
    <xf numFmtId="0" fontId="68" fillId="0" borderId="103" xfId="118" applyFont="1" applyFill="1" applyBorder="1"/>
    <xf numFmtId="0" fontId="68" fillId="0" borderId="7" xfId="2" applyNumberFormat="1" applyFont="1" applyFill="1" applyBorder="1" applyAlignment="1">
      <alignment horizontal="center" vertical="center"/>
    </xf>
    <xf numFmtId="0" fontId="68" fillId="0" borderId="200" xfId="118" applyFont="1" applyFill="1" applyBorder="1"/>
    <xf numFmtId="0" fontId="68" fillId="0" borderId="36" xfId="42" applyNumberFormat="1" applyFont="1" applyFill="1" applyBorder="1" applyAlignment="1">
      <alignment horizontal="center" vertical="center"/>
    </xf>
    <xf numFmtId="0" fontId="68" fillId="0" borderId="36" xfId="2" applyNumberFormat="1" applyFont="1" applyFill="1" applyBorder="1" applyAlignment="1">
      <alignment horizontal="center"/>
    </xf>
    <xf numFmtId="175" fontId="68" fillId="0" borderId="201" xfId="42" applyNumberFormat="1" applyFont="1" applyFill="1" applyBorder="1" applyAlignment="1">
      <alignment horizontal="center"/>
    </xf>
    <xf numFmtId="0" fontId="68" fillId="0" borderId="38" xfId="2" applyNumberFormat="1" applyFont="1" applyFill="1" applyBorder="1" applyAlignment="1">
      <alignment horizontal="center"/>
    </xf>
    <xf numFmtId="175" fontId="68" fillId="0" borderId="30" xfId="2" applyNumberFormat="1" applyFont="1" applyFill="1" applyBorder="1"/>
    <xf numFmtId="0" fontId="68" fillId="0" borderId="0" xfId="118" applyFont="1" applyFill="1" applyBorder="1"/>
    <xf numFmtId="175" fontId="68" fillId="0" borderId="0" xfId="2" applyNumberFormat="1" applyFont="1" applyFill="1" applyBorder="1"/>
    <xf numFmtId="173" fontId="68" fillId="0" borderId="7" xfId="42" applyNumberFormat="1" applyFont="1" applyFill="1" applyBorder="1" applyAlignment="1">
      <alignment horizontal="center"/>
    </xf>
    <xf numFmtId="175" fontId="68" fillId="0" borderId="55" xfId="2" applyNumberFormat="1" applyFont="1" applyFill="1" applyBorder="1"/>
    <xf numFmtId="166" fontId="68" fillId="0" borderId="200" xfId="118" applyNumberFormat="1" applyFont="1" applyFill="1" applyBorder="1" applyAlignment="1">
      <alignment horizontal="right"/>
    </xf>
    <xf numFmtId="175" fontId="68" fillId="0" borderId="201" xfId="2" applyNumberFormat="1" applyFont="1" applyFill="1" applyBorder="1"/>
    <xf numFmtId="0" fontId="68" fillId="0" borderId="38" xfId="118" applyNumberFormat="1" applyFont="1" applyFill="1" applyBorder="1" applyAlignment="1">
      <alignment horizontal="center"/>
    </xf>
    <xf numFmtId="0" fontId="68" fillId="0" borderId="0" xfId="118" applyFont="1" applyFill="1" applyBorder="1" applyAlignment="1">
      <alignment horizontal="center"/>
    </xf>
    <xf numFmtId="0" fontId="68" fillId="0" borderId="0" xfId="118" applyNumberFormat="1" applyFont="1" applyFill="1" applyBorder="1" applyAlignment="1">
      <alignment horizontal="center"/>
    </xf>
    <xf numFmtId="166" fontId="68" fillId="0" borderId="128" xfId="118" applyNumberFormat="1" applyFont="1" applyFill="1" applyBorder="1" applyAlignment="1">
      <alignment horizontal="right"/>
    </xf>
    <xf numFmtId="175" fontId="68" fillId="0" borderId="130" xfId="2" applyNumberFormat="1" applyFont="1" applyFill="1" applyBorder="1"/>
    <xf numFmtId="0" fontId="118" fillId="0" borderId="0" xfId="118" applyFont="1" applyFill="1" applyBorder="1" applyAlignment="1">
      <alignment horizontal="center"/>
    </xf>
    <xf numFmtId="0" fontId="118" fillId="0" borderId="0" xfId="118" applyNumberFormat="1" applyFont="1" applyFill="1" applyBorder="1" applyAlignment="1">
      <alignment horizontal="center"/>
    </xf>
    <xf numFmtId="175" fontId="68" fillId="0" borderId="7" xfId="42" applyNumberFormat="1" applyFont="1" applyFill="1" applyBorder="1" applyAlignment="1">
      <alignment horizontal="center"/>
    </xf>
    <xf numFmtId="0" fontId="118" fillId="0" borderId="0" xfId="132" applyFont="1" applyFill="1" applyBorder="1" applyAlignment="1">
      <alignment horizontal="center" vertical="center"/>
    </xf>
    <xf numFmtId="0" fontId="118" fillId="0" borderId="0" xfId="132" applyFont="1" applyBorder="1" applyAlignment="1">
      <alignment vertical="center"/>
    </xf>
    <xf numFmtId="0" fontId="68" fillId="0" borderId="0" xfId="132" applyFont="1" applyBorder="1" applyAlignment="1">
      <alignment vertical="center"/>
    </xf>
    <xf numFmtId="0" fontId="68" fillId="0" borderId="0" xfId="118" applyFont="1" applyBorder="1" applyAlignment="1">
      <alignment horizontal="center"/>
    </xf>
    <xf numFmtId="0" fontId="68" fillId="0" borderId="0" xfId="118" applyNumberFormat="1" applyFont="1" applyBorder="1" applyAlignment="1">
      <alignment horizontal="center"/>
    </xf>
    <xf numFmtId="175" fontId="69" fillId="0" borderId="0" xfId="2" applyNumberFormat="1" applyFont="1" applyBorder="1"/>
    <xf numFmtId="166" fontId="68" fillId="0" borderId="109" xfId="118" applyNumberFormat="1" applyFont="1" applyBorder="1" applyAlignment="1">
      <alignment horizontal="left"/>
    </xf>
    <xf numFmtId="166" fontId="68" fillId="0" borderId="129" xfId="42" applyFont="1" applyBorder="1" applyAlignment="1">
      <alignment horizontal="center" vertical="center"/>
    </xf>
    <xf numFmtId="166" fontId="68" fillId="0" borderId="162" xfId="42" applyFont="1" applyBorder="1" applyAlignment="1">
      <alignment horizontal="center"/>
    </xf>
    <xf numFmtId="166" fontId="68" fillId="0" borderId="130" xfId="42" applyFont="1" applyBorder="1"/>
    <xf numFmtId="182" fontId="69" fillId="0" borderId="0" xfId="118" applyNumberFormat="1" applyFont="1"/>
    <xf numFmtId="175" fontId="68" fillId="0" borderId="103" xfId="2" applyNumberFormat="1" applyFont="1" applyFill="1" applyBorder="1" applyAlignment="1">
      <alignment horizontal="left"/>
    </xf>
    <xf numFmtId="166" fontId="68" fillId="0" borderId="4" xfId="42" applyFont="1" applyBorder="1" applyAlignment="1">
      <alignment horizontal="center"/>
    </xf>
    <xf numFmtId="166" fontId="68" fillId="0" borderId="55" xfId="42" applyFont="1" applyBorder="1" applyAlignment="1">
      <alignment horizontal="center"/>
    </xf>
    <xf numFmtId="166" fontId="68" fillId="0" borderId="200" xfId="118" applyNumberFormat="1" applyFont="1" applyBorder="1" applyAlignment="1">
      <alignment horizontal="right"/>
    </xf>
    <xf numFmtId="166" fontId="68" fillId="0" borderId="201" xfId="42" applyFont="1" applyBorder="1"/>
    <xf numFmtId="166" fontId="68" fillId="0" borderId="128" xfId="118" applyNumberFormat="1" applyFont="1" applyFill="1" applyBorder="1" applyAlignment="1">
      <alignment horizontal="left"/>
    </xf>
    <xf numFmtId="185" fontId="68" fillId="0" borderId="7" xfId="42" applyNumberFormat="1" applyFont="1" applyFill="1" applyBorder="1" applyAlignment="1">
      <alignment horizontal="center"/>
    </xf>
    <xf numFmtId="166" fontId="68" fillId="0" borderId="55" xfId="42" applyFont="1" applyFill="1" applyBorder="1"/>
    <xf numFmtId="0" fontId="68" fillId="0" borderId="0" xfId="132" applyFont="1" applyFill="1" applyBorder="1" applyAlignment="1">
      <alignment vertical="center"/>
    </xf>
    <xf numFmtId="0" fontId="68" fillId="0" borderId="131" xfId="118" applyFont="1" applyBorder="1" applyAlignment="1">
      <alignment horizontal="center"/>
    </xf>
    <xf numFmtId="0" fontId="68" fillId="0" borderId="27" xfId="118" applyNumberFormat="1" applyFont="1" applyBorder="1" applyAlignment="1">
      <alignment horizontal="center"/>
    </xf>
    <xf numFmtId="0" fontId="68" fillId="0" borderId="46" xfId="118" applyNumberFormat="1" applyFont="1" applyBorder="1" applyAlignment="1">
      <alignment horizontal="center"/>
    </xf>
    <xf numFmtId="166" fontId="68" fillId="0" borderId="129" xfId="42" applyFont="1" applyFill="1" applyBorder="1" applyAlignment="1">
      <alignment horizontal="center"/>
    </xf>
    <xf numFmtId="185" fontId="68" fillId="0" borderId="129" xfId="42" applyNumberFormat="1" applyFont="1" applyBorder="1" applyAlignment="1">
      <alignment horizontal="center"/>
    </xf>
    <xf numFmtId="166" fontId="68" fillId="2" borderId="129" xfId="42" applyFont="1" applyFill="1" applyBorder="1" applyAlignment="1">
      <alignment horizontal="center" vertical="center"/>
    </xf>
    <xf numFmtId="185" fontId="68" fillId="0" borderId="7" xfId="42" applyNumberFormat="1" applyFont="1" applyBorder="1" applyAlignment="1">
      <alignment horizontal="center"/>
    </xf>
    <xf numFmtId="166" fontId="68" fillId="2" borderId="7" xfId="42" applyFont="1" applyFill="1" applyBorder="1" applyAlignment="1">
      <alignment horizontal="center" vertical="center"/>
    </xf>
    <xf numFmtId="0" fontId="68" fillId="0" borderId="36" xfId="42" applyNumberFormat="1" applyFont="1" applyBorder="1" applyAlignment="1">
      <alignment horizontal="center" vertical="center"/>
    </xf>
    <xf numFmtId="175" fontId="68" fillId="0" borderId="201" xfId="42" applyNumberFormat="1" applyFont="1" applyBorder="1"/>
    <xf numFmtId="166" fontId="68" fillId="0" borderId="128" xfId="118" applyNumberFormat="1" applyFont="1" applyBorder="1" applyAlignment="1">
      <alignment horizontal="right"/>
    </xf>
    <xf numFmtId="166" fontId="68" fillId="0" borderId="130" xfId="42" applyFont="1" applyBorder="1" applyAlignment="1">
      <alignment horizontal="center"/>
    </xf>
    <xf numFmtId="0" fontId="68" fillId="0" borderId="103" xfId="118" applyFont="1" applyBorder="1" applyAlignment="1">
      <alignment horizontal="right"/>
    </xf>
    <xf numFmtId="0" fontId="68" fillId="0" borderId="195" xfId="118" applyFont="1" applyBorder="1" applyAlignment="1">
      <alignment horizontal="right"/>
    </xf>
    <xf numFmtId="166" fontId="68" fillId="0" borderId="150" xfId="42" applyFont="1" applyBorder="1" applyAlignment="1">
      <alignment horizontal="center"/>
    </xf>
    <xf numFmtId="166" fontId="68" fillId="0" borderId="196" xfId="42" applyFont="1" applyBorder="1"/>
    <xf numFmtId="0" fontId="68" fillId="0" borderId="39" xfId="118" applyNumberFormat="1" applyFont="1" applyBorder="1" applyAlignment="1">
      <alignment horizontal="center"/>
    </xf>
    <xf numFmtId="0" fontId="68" fillId="0" borderId="40" xfId="42" applyNumberFormat="1" applyFont="1" applyBorder="1" applyAlignment="1">
      <alignment horizontal="center"/>
    </xf>
    <xf numFmtId="0" fontId="68" fillId="0" borderId="40" xfId="2" applyNumberFormat="1" applyFont="1" applyBorder="1" applyAlignment="1">
      <alignment horizontal="center"/>
    </xf>
    <xf numFmtId="166" fontId="68" fillId="0" borderId="40" xfId="42" applyFont="1" applyBorder="1" applyAlignment="1">
      <alignment horizontal="center"/>
    </xf>
    <xf numFmtId="175" fontId="69" fillId="0" borderId="41" xfId="2" applyNumberFormat="1" applyFont="1" applyBorder="1"/>
    <xf numFmtId="0" fontId="68" fillId="0" borderId="0" xfId="132" applyFont="1" applyFill="1" applyBorder="1" applyAlignment="1">
      <alignment horizontal="left" vertical="center"/>
    </xf>
    <xf numFmtId="166" fontId="68" fillId="0" borderId="129" xfId="42" quotePrefix="1" applyFont="1" applyBorder="1" applyAlignment="1">
      <alignment horizontal="center" vertical="center"/>
    </xf>
    <xf numFmtId="173" fontId="68" fillId="0" borderId="129" xfId="42" applyNumberFormat="1" applyFont="1" applyBorder="1" applyAlignment="1">
      <alignment horizontal="center"/>
    </xf>
    <xf numFmtId="173" fontId="68" fillId="0" borderId="36" xfId="42" applyNumberFormat="1" applyFont="1" applyBorder="1" applyAlignment="1">
      <alignment horizontal="center"/>
    </xf>
    <xf numFmtId="173" fontId="68" fillId="0" borderId="27" xfId="42" applyNumberFormat="1" applyFont="1" applyBorder="1" applyAlignment="1">
      <alignment horizontal="center"/>
    </xf>
    <xf numFmtId="173" fontId="118" fillId="0" borderId="0" xfId="42" applyNumberFormat="1" applyFont="1" applyBorder="1" applyAlignment="1">
      <alignment horizontal="center"/>
    </xf>
    <xf numFmtId="173" fontId="68" fillId="0" borderId="0" xfId="42" applyNumberFormat="1" applyFont="1" applyBorder="1" applyAlignment="1">
      <alignment horizontal="center"/>
    </xf>
    <xf numFmtId="173" fontId="69" fillId="0" borderId="16" xfId="42" applyNumberFormat="1" applyFont="1" applyBorder="1" applyAlignment="1">
      <alignment horizontal="center"/>
    </xf>
    <xf numFmtId="2" fontId="68" fillId="0" borderId="129" xfId="42" applyNumberFormat="1" applyFont="1" applyBorder="1" applyAlignment="1">
      <alignment horizontal="center"/>
    </xf>
    <xf numFmtId="2" fontId="68" fillId="0" borderId="7" xfId="42" applyNumberFormat="1" applyFont="1" applyBorder="1" applyAlignment="1">
      <alignment horizontal="center"/>
    </xf>
    <xf numFmtId="173" fontId="68" fillId="0" borderId="7" xfId="42" applyNumberFormat="1" applyFont="1" applyBorder="1" applyAlignment="1">
      <alignment horizontal="center"/>
    </xf>
    <xf numFmtId="166" fontId="68" fillId="0" borderId="27" xfId="42" applyFont="1" applyBorder="1" applyAlignment="1">
      <alignment horizontal="center"/>
    </xf>
    <xf numFmtId="166" fontId="68" fillId="0" borderId="36" xfId="42" applyFont="1" applyFill="1" applyBorder="1" applyAlignment="1">
      <alignment horizontal="center"/>
    </xf>
    <xf numFmtId="0" fontId="68" fillId="0" borderId="128" xfId="118" applyFont="1" applyBorder="1" applyAlignment="1">
      <alignment horizontal="center"/>
    </xf>
    <xf numFmtId="0" fontId="69" fillId="0" borderId="129" xfId="42" applyNumberFormat="1" applyFont="1" applyBorder="1" applyAlignment="1">
      <alignment horizontal="center"/>
    </xf>
    <xf numFmtId="0" fontId="69" fillId="0" borderId="129" xfId="2" applyNumberFormat="1" applyFont="1" applyBorder="1" applyAlignment="1">
      <alignment horizontal="center"/>
    </xf>
    <xf numFmtId="0" fontId="69" fillId="0" borderId="162" xfId="2" applyNumberFormat="1" applyFont="1" applyBorder="1" applyAlignment="1">
      <alignment horizontal="center"/>
    </xf>
    <xf numFmtId="0" fontId="69" fillId="0" borderId="162" xfId="42" applyNumberFormat="1" applyFont="1" applyBorder="1" applyAlignment="1">
      <alignment horizontal="center"/>
    </xf>
    <xf numFmtId="175" fontId="69" fillId="0" borderId="130" xfId="2" applyNumberFormat="1" applyFont="1" applyBorder="1" applyAlignment="1">
      <alignment horizontal="center"/>
    </xf>
    <xf numFmtId="166" fontId="68" fillId="0" borderId="21" xfId="118" applyNumberFormat="1" applyFont="1" applyBorder="1" applyAlignment="1">
      <alignment horizontal="right"/>
    </xf>
    <xf numFmtId="166" fontId="68" fillId="0" borderId="34" xfId="42" applyFont="1" applyFill="1" applyBorder="1" applyAlignment="1">
      <alignment horizontal="center"/>
    </xf>
    <xf numFmtId="166" fontId="68" fillId="0" borderId="34" xfId="42" applyFont="1" applyBorder="1" applyAlignment="1">
      <alignment horizontal="center" vertical="center"/>
    </xf>
    <xf numFmtId="166" fontId="68" fillId="0" borderId="34" xfId="42" applyFont="1" applyBorder="1" applyAlignment="1">
      <alignment horizontal="center"/>
    </xf>
    <xf numFmtId="166" fontId="68" fillId="0" borderId="101" xfId="42" applyFont="1" applyBorder="1"/>
    <xf numFmtId="166" fontId="68" fillId="0" borderId="103" xfId="118" applyNumberFormat="1" applyFont="1" applyBorder="1" applyAlignment="1">
      <alignment horizontal="center"/>
    </xf>
    <xf numFmtId="0" fontId="68" fillId="0" borderId="227" xfId="118" applyFont="1" applyBorder="1" applyAlignment="1">
      <alignment horizontal="center"/>
    </xf>
    <xf numFmtId="166" fontId="68" fillId="0" borderId="81" xfId="42" applyFont="1" applyBorder="1" applyAlignment="1">
      <alignment horizontal="center"/>
    </xf>
    <xf numFmtId="166" fontId="68" fillId="0" borderId="99" xfId="42" applyFont="1" applyBorder="1" applyAlignment="1">
      <alignment horizontal="center"/>
    </xf>
    <xf numFmtId="166" fontId="68" fillId="0" borderId="80" xfId="42" applyFont="1" applyBorder="1" applyAlignment="1">
      <alignment horizontal="center"/>
    </xf>
    <xf numFmtId="166" fontId="69" fillId="0" borderId="228" xfId="42" applyFont="1" applyBorder="1"/>
    <xf numFmtId="166" fontId="69" fillId="0" borderId="130" xfId="42" applyFont="1" applyBorder="1"/>
    <xf numFmtId="166" fontId="68" fillId="0" borderId="195" xfId="118" applyNumberFormat="1" applyFont="1" applyBorder="1" applyAlignment="1">
      <alignment horizontal="right"/>
    </xf>
    <xf numFmtId="166" fontId="68" fillId="0" borderId="150" xfId="42" applyFont="1" applyFill="1" applyBorder="1" applyAlignment="1">
      <alignment horizontal="center"/>
    </xf>
    <xf numFmtId="166" fontId="68" fillId="0" borderId="150" xfId="42" applyFont="1" applyBorder="1" applyAlignment="1">
      <alignment horizontal="center" vertical="center"/>
    </xf>
    <xf numFmtId="176" fontId="68" fillId="0" borderId="150" xfId="42" applyNumberFormat="1" applyFont="1" applyBorder="1" applyAlignment="1">
      <alignment horizontal="center"/>
    </xf>
    <xf numFmtId="185" fontId="68" fillId="0" borderId="150" xfId="42" applyNumberFormat="1" applyFont="1" applyBorder="1" applyAlignment="1">
      <alignment horizontal="center"/>
    </xf>
    <xf numFmtId="175" fontId="69" fillId="0" borderId="0" xfId="2" applyNumberFormat="1" applyFont="1" applyFill="1" applyBorder="1"/>
    <xf numFmtId="166" fontId="68" fillId="0" borderId="128" xfId="118" applyNumberFormat="1" applyFont="1" applyFill="1" applyBorder="1" applyAlignment="1">
      <alignment horizontal="center"/>
    </xf>
    <xf numFmtId="166" fontId="68" fillId="0" borderId="50" xfId="42" applyFont="1" applyBorder="1" applyAlignment="1">
      <alignment horizontal="center"/>
    </xf>
    <xf numFmtId="166" fontId="68" fillId="0" borderId="129" xfId="42" applyFont="1" applyFill="1" applyBorder="1" applyAlignment="1">
      <alignment horizontal="center" vertical="center"/>
    </xf>
    <xf numFmtId="166" fontId="68" fillId="0" borderId="130" xfId="42" applyFont="1" applyFill="1" applyBorder="1"/>
    <xf numFmtId="166" fontId="67" fillId="0" borderId="103" xfId="118" applyNumberFormat="1" applyFont="1" applyFill="1" applyBorder="1" applyAlignment="1">
      <alignment horizontal="left"/>
    </xf>
    <xf numFmtId="172" fontId="68" fillId="0" borderId="55" xfId="42" applyNumberFormat="1" applyFont="1" applyFill="1" applyBorder="1" applyAlignment="1">
      <alignment horizontal="center"/>
    </xf>
    <xf numFmtId="0" fontId="68" fillId="0" borderId="104" xfId="118" applyFont="1" applyFill="1" applyBorder="1" applyAlignment="1">
      <alignment horizontal="right"/>
    </xf>
    <xf numFmtId="166" fontId="68" fillId="0" borderId="35" xfId="42" applyFont="1" applyFill="1" applyBorder="1" applyAlignment="1">
      <alignment horizontal="center"/>
    </xf>
    <xf numFmtId="166" fontId="68" fillId="0" borderId="35" xfId="42" applyFont="1" applyFill="1" applyBorder="1" applyAlignment="1">
      <alignment horizontal="center" vertical="center"/>
    </xf>
    <xf numFmtId="172" fontId="68" fillId="0" borderId="102" xfId="42" applyNumberFormat="1" applyFont="1" applyFill="1" applyBorder="1" applyAlignment="1">
      <alignment horizontal="center"/>
    </xf>
    <xf numFmtId="166" fontId="68" fillId="0" borderId="201" xfId="42" applyFont="1" applyFill="1" applyBorder="1"/>
    <xf numFmtId="166" fontId="69" fillId="0" borderId="30" xfId="42" applyFont="1" applyFill="1" applyBorder="1"/>
    <xf numFmtId="0" fontId="118" fillId="0" borderId="0" xfId="132" applyFont="1" applyFill="1" applyBorder="1" applyAlignment="1">
      <alignment vertical="center"/>
    </xf>
    <xf numFmtId="175" fontId="120" fillId="0" borderId="0" xfId="2" applyNumberFormat="1" applyFont="1" applyFill="1" applyBorder="1"/>
    <xf numFmtId="185" fontId="68" fillId="0" borderId="7" xfId="42" applyNumberFormat="1" applyFont="1" applyFill="1" applyBorder="1" applyAlignment="1">
      <alignment horizontal="center" vertical="center"/>
    </xf>
    <xf numFmtId="175" fontId="69" fillId="0" borderId="30" xfId="2" applyNumberFormat="1" applyFont="1" applyFill="1" applyBorder="1"/>
    <xf numFmtId="176" fontId="68" fillId="0" borderId="129" xfId="42" applyNumberFormat="1" applyFont="1" applyFill="1" applyBorder="1" applyAlignment="1">
      <alignment horizontal="center"/>
    </xf>
    <xf numFmtId="185" fontId="68" fillId="0" borderId="129" xfId="42" applyNumberFormat="1" applyFont="1" applyFill="1" applyBorder="1" applyAlignment="1">
      <alignment horizontal="center"/>
    </xf>
    <xf numFmtId="166" fontId="68" fillId="0" borderId="231" xfId="118" applyNumberFormat="1" applyFont="1" applyFill="1" applyBorder="1" applyAlignment="1">
      <alignment horizontal="right"/>
    </xf>
    <xf numFmtId="166" fontId="68" fillId="0" borderId="232" xfId="42" applyFont="1" applyFill="1" applyBorder="1" applyAlignment="1">
      <alignment horizontal="center"/>
    </xf>
    <xf numFmtId="166" fontId="68" fillId="0" borderId="232" xfId="42" applyFont="1" applyFill="1" applyBorder="1" applyAlignment="1">
      <alignment horizontal="center" vertical="center"/>
    </xf>
    <xf numFmtId="176" fontId="68" fillId="0" borderId="232" xfId="42" applyNumberFormat="1" applyFont="1" applyFill="1" applyBorder="1" applyAlignment="1">
      <alignment horizontal="center"/>
    </xf>
    <xf numFmtId="185" fontId="68" fillId="0" borderId="232" xfId="42" applyNumberFormat="1" applyFont="1" applyFill="1" applyBorder="1" applyAlignment="1">
      <alignment horizontal="center"/>
    </xf>
    <xf numFmtId="166" fontId="68" fillId="0" borderId="233" xfId="42" applyFont="1" applyFill="1" applyBorder="1"/>
    <xf numFmtId="166" fontId="68" fillId="0" borderId="31" xfId="118" applyNumberFormat="1" applyFont="1" applyFill="1" applyBorder="1" applyAlignment="1">
      <alignment horizontal="right"/>
    </xf>
    <xf numFmtId="0" fontId="68" fillId="0" borderId="24" xfId="42" applyNumberFormat="1" applyFont="1" applyFill="1" applyBorder="1" applyAlignment="1">
      <alignment horizontal="center"/>
    </xf>
    <xf numFmtId="0" fontId="68" fillId="0" borderId="24" xfId="2" applyNumberFormat="1" applyFont="1" applyFill="1" applyBorder="1" applyAlignment="1">
      <alignment horizontal="center"/>
    </xf>
    <xf numFmtId="175" fontId="68" fillId="0" borderId="29" xfId="2" applyNumberFormat="1" applyFont="1" applyFill="1" applyBorder="1"/>
    <xf numFmtId="166" fontId="68" fillId="0" borderId="27" xfId="42" applyFont="1" applyFill="1" applyBorder="1" applyAlignment="1">
      <alignment horizontal="center"/>
    </xf>
    <xf numFmtId="0" fontId="68" fillId="0" borderId="0" xfId="132" applyFont="1" applyFill="1" applyAlignment="1">
      <alignment horizontal="center" vertical="center"/>
    </xf>
    <xf numFmtId="0" fontId="68" fillId="0" borderId="0" xfId="132" applyFont="1" applyFill="1" applyAlignment="1">
      <alignment horizontal="left" vertical="center"/>
    </xf>
    <xf numFmtId="0" fontId="68" fillId="0" borderId="0" xfId="118" applyFont="1" applyAlignment="1">
      <alignment horizontal="center"/>
    </xf>
    <xf numFmtId="0" fontId="68" fillId="0" borderId="0" xfId="118" applyNumberFormat="1" applyFont="1" applyAlignment="1">
      <alignment horizontal="center"/>
    </xf>
    <xf numFmtId="0" fontId="68" fillId="0" borderId="0" xfId="132" applyFont="1" applyAlignment="1">
      <alignment vertical="center"/>
    </xf>
    <xf numFmtId="166" fontId="68" fillId="0" borderId="128" xfId="118" applyNumberFormat="1" applyFont="1" applyBorder="1" applyAlignment="1">
      <alignment horizontal="left" vertical="center"/>
    </xf>
    <xf numFmtId="172" fontId="68" fillId="0" borderId="7" xfId="42" applyNumberFormat="1" applyFont="1" applyBorder="1" applyAlignment="1">
      <alignment horizontal="center"/>
    </xf>
    <xf numFmtId="166" fontId="67" fillId="0" borderId="55" xfId="42" applyFont="1" applyFill="1" applyBorder="1"/>
    <xf numFmtId="0" fontId="118" fillId="0" borderId="0" xfId="132" applyFont="1" applyFill="1" applyAlignment="1">
      <alignment horizontal="center" vertical="center"/>
    </xf>
    <xf numFmtId="0" fontId="118" fillId="0" borderId="0" xfId="132" applyFont="1" applyAlignment="1">
      <alignment vertical="center"/>
    </xf>
    <xf numFmtId="166" fontId="68" fillId="0" borderId="35" xfId="42" applyFont="1" applyBorder="1" applyAlignment="1">
      <alignment horizontal="center"/>
    </xf>
    <xf numFmtId="166" fontId="67" fillId="0" borderId="102" xfId="42" applyFont="1" applyBorder="1"/>
    <xf numFmtId="166" fontId="118" fillId="0" borderId="200" xfId="118" applyNumberFormat="1" applyFont="1" applyBorder="1" applyAlignment="1">
      <alignment horizontal="right"/>
    </xf>
    <xf numFmtId="166" fontId="118" fillId="0" borderId="36" xfId="42" applyFont="1" applyFill="1" applyBorder="1" applyAlignment="1">
      <alignment horizontal="center"/>
    </xf>
    <xf numFmtId="166" fontId="118" fillId="0" borderId="36" xfId="42" applyFont="1" applyBorder="1" applyAlignment="1">
      <alignment horizontal="center"/>
    </xf>
    <xf numFmtId="166" fontId="118" fillId="0" borderId="201" xfId="42" applyFont="1" applyBorder="1"/>
    <xf numFmtId="0" fontId="118" fillId="0" borderId="0" xfId="118" applyFont="1" applyAlignment="1">
      <alignment horizontal="center"/>
    </xf>
    <xf numFmtId="0" fontId="118" fillId="0" borderId="0" xfId="118" applyNumberFormat="1" applyFont="1" applyAlignment="1">
      <alignment horizontal="center"/>
    </xf>
    <xf numFmtId="166" fontId="68" fillId="0" borderId="103" xfId="118" applyNumberFormat="1" applyFont="1" applyFill="1" applyBorder="1" applyAlignment="1">
      <alignment horizontal="center"/>
    </xf>
    <xf numFmtId="166" fontId="69" fillId="0" borderId="0" xfId="118" applyNumberFormat="1" applyFont="1" applyFill="1"/>
    <xf numFmtId="166" fontId="118" fillId="0" borderId="36" xfId="42" applyFont="1" applyFill="1" applyBorder="1" applyAlignment="1">
      <alignment horizontal="center" vertical="center"/>
    </xf>
    <xf numFmtId="166" fontId="118" fillId="0" borderId="201" xfId="42" applyFont="1" applyFill="1" applyBorder="1"/>
    <xf numFmtId="166" fontId="68" fillId="0" borderId="18" xfId="42" applyFont="1" applyFill="1" applyBorder="1" applyAlignment="1">
      <alignment horizontal="center"/>
    </xf>
    <xf numFmtId="166" fontId="68" fillId="0" borderId="18" xfId="42" applyFont="1" applyBorder="1" applyAlignment="1">
      <alignment horizontal="center" vertical="center"/>
    </xf>
    <xf numFmtId="176" fontId="68" fillId="0" borderId="18" xfId="42" applyNumberFormat="1" applyFont="1" applyBorder="1" applyAlignment="1">
      <alignment horizontal="center"/>
    </xf>
    <xf numFmtId="185" fontId="68" fillId="0" borderId="18" xfId="42" applyNumberFormat="1" applyFont="1" applyBorder="1" applyAlignment="1">
      <alignment horizontal="center"/>
    </xf>
    <xf numFmtId="166" fontId="68" fillId="2" borderId="18" xfId="42" applyFont="1" applyFill="1" applyBorder="1" applyAlignment="1">
      <alignment horizontal="center" vertical="center"/>
    </xf>
    <xf numFmtId="166" fontId="68" fillId="0" borderId="28" xfId="42" applyFont="1" applyBorder="1"/>
    <xf numFmtId="166" fontId="68" fillId="0" borderId="22" xfId="42" applyFont="1" applyFill="1" applyBorder="1" applyAlignment="1">
      <alignment horizontal="center"/>
    </xf>
    <xf numFmtId="166" fontId="68" fillId="0" borderId="22" xfId="42" applyFont="1" applyBorder="1" applyAlignment="1">
      <alignment horizontal="center" vertical="center"/>
    </xf>
    <xf numFmtId="176" fontId="68" fillId="0" borderId="22" xfId="42" applyNumberFormat="1" applyFont="1" applyBorder="1" applyAlignment="1">
      <alignment horizontal="center"/>
    </xf>
    <xf numFmtId="185" fontId="68" fillId="0" borderId="22" xfId="42" applyNumberFormat="1" applyFont="1" applyBorder="1" applyAlignment="1">
      <alignment horizontal="center"/>
    </xf>
    <xf numFmtId="166" fontId="68" fillId="2" borderId="22" xfId="42" applyFont="1" applyFill="1" applyBorder="1" applyAlignment="1">
      <alignment horizontal="center" vertical="center"/>
    </xf>
    <xf numFmtId="166" fontId="68" fillId="0" borderId="26" xfId="42" applyFont="1" applyBorder="1"/>
    <xf numFmtId="166" fontId="68" fillId="0" borderId="104" xfId="118" applyNumberFormat="1" applyFont="1" applyBorder="1" applyAlignment="1">
      <alignment horizontal="right"/>
    </xf>
    <xf numFmtId="166" fontId="68" fillId="0" borderId="129" xfId="42" applyNumberFormat="1" applyFont="1" applyFill="1" applyBorder="1" applyAlignment="1">
      <alignment horizontal="center" vertical="center"/>
    </xf>
    <xf numFmtId="166" fontId="68" fillId="0" borderId="130" xfId="42" applyNumberFormat="1" applyFont="1" applyFill="1" applyBorder="1"/>
    <xf numFmtId="166" fontId="68" fillId="0" borderId="7" xfId="42" applyNumberFormat="1" applyFont="1" applyFill="1" applyBorder="1" applyAlignment="1">
      <alignment horizontal="center" vertical="center"/>
    </xf>
    <xf numFmtId="166" fontId="68" fillId="0" borderId="55" xfId="42" applyNumberFormat="1" applyFont="1" applyFill="1" applyBorder="1"/>
    <xf numFmtId="166" fontId="68" fillId="0" borderId="35" xfId="42" applyNumberFormat="1" applyFont="1" applyFill="1" applyBorder="1" applyAlignment="1">
      <alignment horizontal="center" vertical="center"/>
    </xf>
    <xf numFmtId="166" fontId="68" fillId="0" borderId="102" xfId="42" applyNumberFormat="1" applyFont="1" applyFill="1" applyBorder="1"/>
    <xf numFmtId="166" fontId="68" fillId="0" borderId="36" xfId="42" applyNumberFormat="1" applyFont="1" applyFill="1" applyBorder="1" applyAlignment="1">
      <alignment horizontal="center"/>
    </xf>
    <xf numFmtId="166" fontId="68" fillId="0" borderId="201" xfId="42" applyNumberFormat="1" applyFont="1" applyFill="1" applyBorder="1"/>
    <xf numFmtId="166" fontId="68" fillId="0" borderId="27" xfId="42" applyNumberFormat="1" applyFont="1" applyFill="1" applyBorder="1" applyAlignment="1">
      <alignment horizontal="center"/>
    </xf>
    <xf numFmtId="166" fontId="68" fillId="0" borderId="128" xfId="118" applyNumberFormat="1" applyFont="1" applyBorder="1" applyAlignment="1">
      <alignment horizontal="center"/>
    </xf>
    <xf numFmtId="166" fontId="68" fillId="0" borderId="21" xfId="118" applyNumberFormat="1" applyFont="1" applyBorder="1" applyAlignment="1">
      <alignment horizontal="center"/>
    </xf>
    <xf numFmtId="0" fontId="69" fillId="0" borderId="0" xfId="115" applyFont="1"/>
    <xf numFmtId="0" fontId="68" fillId="0" borderId="15" xfId="115" applyNumberFormat="1" applyFont="1" applyBorder="1" applyAlignment="1">
      <alignment horizontal="center"/>
    </xf>
    <xf numFmtId="0" fontId="68" fillId="0" borderId="21" xfId="115" applyFont="1" applyBorder="1"/>
    <xf numFmtId="0" fontId="68" fillId="0" borderId="200" xfId="115" applyFont="1" applyBorder="1"/>
    <xf numFmtId="0" fontId="68" fillId="0" borderId="141" xfId="115" applyNumberFormat="1" applyFont="1" applyBorder="1" applyAlignment="1">
      <alignment horizontal="center"/>
    </xf>
    <xf numFmtId="175" fontId="68" fillId="0" borderId="179" xfId="115" applyNumberFormat="1" applyFont="1" applyBorder="1"/>
    <xf numFmtId="0" fontId="120" fillId="0" borderId="0" xfId="115" applyFont="1"/>
    <xf numFmtId="166" fontId="68" fillId="0" borderId="128" xfId="118" applyNumberFormat="1" applyFont="1" applyBorder="1" applyAlignment="1">
      <alignment horizontal="left"/>
    </xf>
    <xf numFmtId="0" fontId="68" fillId="0" borderId="104" xfId="115" applyFont="1" applyBorder="1"/>
    <xf numFmtId="166" fontId="68" fillId="0" borderId="102" xfId="42" applyFont="1" applyBorder="1"/>
    <xf numFmtId="0" fontId="68" fillId="0" borderId="203" xfId="115" applyNumberFormat="1" applyFont="1" applyBorder="1" applyAlignment="1">
      <alignment horizontal="center"/>
    </xf>
    <xf numFmtId="0" fontId="68" fillId="0" borderId="203" xfId="42" applyNumberFormat="1" applyFont="1" applyBorder="1" applyAlignment="1">
      <alignment horizontal="center"/>
    </xf>
    <xf numFmtId="175" fontId="69" fillId="0" borderId="204" xfId="2" applyNumberFormat="1" applyFont="1" applyBorder="1"/>
    <xf numFmtId="2" fontId="68" fillId="0" borderId="141" xfId="115" applyNumberFormat="1" applyFont="1" applyBorder="1" applyAlignment="1">
      <alignment horizontal="center"/>
    </xf>
    <xf numFmtId="0" fontId="118" fillId="0" borderId="0" xfId="115" applyNumberFormat="1" applyFont="1" applyAlignment="1">
      <alignment horizontal="center"/>
    </xf>
    <xf numFmtId="0" fontId="68" fillId="0" borderId="128" xfId="115" applyFont="1" applyBorder="1"/>
    <xf numFmtId="0" fontId="68" fillId="0" borderId="36" xfId="115" applyNumberFormat="1" applyFont="1" applyBorder="1" applyAlignment="1">
      <alignment horizontal="center"/>
    </xf>
    <xf numFmtId="0" fontId="68" fillId="0" borderId="0" xfId="115" applyNumberFormat="1" applyFont="1" applyAlignment="1">
      <alignment horizontal="center"/>
    </xf>
    <xf numFmtId="175" fontId="68" fillId="0" borderId="0" xfId="115" applyNumberFormat="1" applyFont="1"/>
    <xf numFmtId="0" fontId="69" fillId="0" borderId="0" xfId="115" applyFont="1" applyFill="1"/>
    <xf numFmtId="0" fontId="68" fillId="0" borderId="128" xfId="115" applyFont="1" applyBorder="1" applyAlignment="1">
      <alignment horizontal="left"/>
    </xf>
    <xf numFmtId="0" fontId="68" fillId="0" borderId="103" xfId="115" applyFont="1" applyBorder="1" applyAlignment="1">
      <alignment horizontal="left"/>
    </xf>
    <xf numFmtId="0" fontId="68" fillId="0" borderId="104" xfId="115" applyFont="1" applyBorder="1" applyAlignment="1">
      <alignment horizontal="right"/>
    </xf>
    <xf numFmtId="0" fontId="68" fillId="0" borderId="47" xfId="115" applyNumberFormat="1" applyFont="1" applyBorder="1" applyAlignment="1">
      <alignment horizontal="center"/>
    </xf>
    <xf numFmtId="2" fontId="68" fillId="0" borderId="47" xfId="115" applyNumberFormat="1" applyFont="1" applyBorder="1" applyAlignment="1">
      <alignment horizontal="right"/>
    </xf>
    <xf numFmtId="175" fontId="68" fillId="0" borderId="48" xfId="115" applyNumberFormat="1" applyFont="1" applyBorder="1"/>
    <xf numFmtId="0" fontId="68" fillId="0" borderId="0" xfId="115" applyFont="1" applyBorder="1"/>
    <xf numFmtId="0" fontId="68" fillId="0" borderId="0" xfId="115" applyNumberFormat="1" applyFont="1" applyBorder="1" applyAlignment="1">
      <alignment horizontal="center"/>
    </xf>
    <xf numFmtId="175" fontId="68" fillId="0" borderId="0" xfId="115" applyNumberFormat="1" applyFont="1" applyBorder="1"/>
    <xf numFmtId="0" fontId="68" fillId="0" borderId="35" xfId="42" applyNumberFormat="1" applyFont="1" applyBorder="1" applyAlignment="1">
      <alignment horizontal="center"/>
    </xf>
    <xf numFmtId="0" fontId="68" fillId="0" borderId="35" xfId="115" applyNumberFormat="1" applyFont="1" applyBorder="1" applyAlignment="1">
      <alignment horizontal="center"/>
    </xf>
    <xf numFmtId="175" fontId="68" fillId="0" borderId="102" xfId="2" applyNumberFormat="1" applyFont="1" applyBorder="1"/>
    <xf numFmtId="166" fontId="68" fillId="0" borderId="128" xfId="42" applyFont="1" applyBorder="1" applyAlignment="1">
      <alignment horizontal="center"/>
    </xf>
    <xf numFmtId="166" fontId="69" fillId="0" borderId="129" xfId="42" applyFont="1" applyBorder="1" applyAlignment="1">
      <alignment horizontal="center"/>
    </xf>
    <xf numFmtId="166" fontId="69" fillId="0" borderId="130" xfId="42" applyFont="1" applyBorder="1" applyAlignment="1">
      <alignment horizontal="center"/>
    </xf>
    <xf numFmtId="166" fontId="68" fillId="0" borderId="104" xfId="42" applyFont="1" applyBorder="1" applyAlignment="1">
      <alignment horizontal="center"/>
    </xf>
    <xf numFmtId="166" fontId="68" fillId="0" borderId="35" xfId="42" applyFont="1" applyBorder="1" applyAlignment="1">
      <alignment horizontal="center" vertical="center"/>
    </xf>
    <xf numFmtId="166" fontId="68" fillId="0" borderId="104" xfId="42" applyFont="1" applyBorder="1" applyAlignment="1">
      <alignment horizontal="right"/>
    </xf>
    <xf numFmtId="166" fontId="68" fillId="0" borderId="200" xfId="42" applyFont="1" applyBorder="1"/>
    <xf numFmtId="166" fontId="68" fillId="0" borderId="47" xfId="115" applyNumberFormat="1" applyFont="1" applyBorder="1" applyAlignment="1">
      <alignment horizontal="center"/>
    </xf>
    <xf numFmtId="166" fontId="68" fillId="0" borderId="48" xfId="42" applyFont="1" applyBorder="1"/>
    <xf numFmtId="0" fontId="69" fillId="0" borderId="0" xfId="115" applyNumberFormat="1" applyFont="1" applyAlignment="1">
      <alignment horizontal="center"/>
    </xf>
    <xf numFmtId="0" fontId="69" fillId="0" borderId="197" xfId="118" applyFont="1" applyBorder="1" applyAlignment="1">
      <alignment horizontal="center"/>
    </xf>
    <xf numFmtId="0" fontId="69" fillId="0" borderId="198" xfId="42" applyNumberFormat="1" applyFont="1" applyBorder="1" applyAlignment="1">
      <alignment horizontal="center"/>
    </xf>
    <xf numFmtId="0" fontId="69" fillId="0" borderId="198" xfId="2" applyNumberFormat="1" applyFont="1" applyBorder="1" applyAlignment="1">
      <alignment horizontal="center"/>
    </xf>
    <xf numFmtId="175" fontId="69" fillId="0" borderId="199" xfId="2" applyNumberFormat="1" applyFont="1" applyBorder="1" applyAlignment="1">
      <alignment horizontal="center"/>
    </xf>
    <xf numFmtId="0" fontId="68" fillId="0" borderId="128" xfId="115" applyFont="1" applyBorder="1" applyAlignment="1">
      <alignment horizontal="right"/>
    </xf>
    <xf numFmtId="166" fontId="68" fillId="0" borderId="32" xfId="42" applyFont="1" applyBorder="1" applyAlignment="1">
      <alignment horizontal="center"/>
    </xf>
    <xf numFmtId="166" fontId="68" fillId="0" borderId="221" xfId="42" applyFont="1" applyBorder="1"/>
    <xf numFmtId="0" fontId="68" fillId="0" borderId="195" xfId="115" applyFont="1" applyBorder="1"/>
    <xf numFmtId="166" fontId="69" fillId="0" borderId="0" xfId="42" applyFont="1"/>
    <xf numFmtId="166" fontId="68" fillId="0" borderId="129" xfId="115" applyNumberFormat="1" applyFont="1" applyBorder="1" applyAlignment="1">
      <alignment horizontal="center"/>
    </xf>
    <xf numFmtId="0" fontId="68" fillId="0" borderId="129" xfId="115" applyNumberFormat="1" applyFont="1" applyBorder="1" applyAlignment="1">
      <alignment horizontal="center"/>
    </xf>
    <xf numFmtId="0" fontId="68" fillId="0" borderId="56" xfId="115" applyFont="1" applyBorder="1"/>
    <xf numFmtId="0" fontId="68" fillId="0" borderId="42" xfId="115" applyFont="1" applyBorder="1"/>
    <xf numFmtId="0" fontId="68" fillId="0" borderId="43" xfId="115" applyNumberFormat="1" applyFont="1" applyBorder="1" applyAlignment="1">
      <alignment horizontal="center"/>
    </xf>
    <xf numFmtId="175" fontId="68" fillId="0" borderId="44" xfId="2" applyNumberFormat="1" applyFont="1" applyBorder="1"/>
    <xf numFmtId="175" fontId="118" fillId="0" borderId="0" xfId="115" applyNumberFormat="1" applyFont="1"/>
    <xf numFmtId="175" fontId="68" fillId="0" borderId="102" xfId="115" applyNumberFormat="1" applyFont="1" applyBorder="1"/>
    <xf numFmtId="0" fontId="118" fillId="0" borderId="0" xfId="115" applyFont="1" applyFill="1"/>
    <xf numFmtId="166" fontId="68" fillId="0" borderId="141" xfId="42" applyFont="1" applyBorder="1" applyAlignment="1">
      <alignment horizontal="center"/>
    </xf>
    <xf numFmtId="166" fontId="68" fillId="0" borderId="179" xfId="42" applyFont="1" applyBorder="1"/>
    <xf numFmtId="166" fontId="68" fillId="0" borderId="0" xfId="42" applyFont="1" applyBorder="1" applyAlignment="1"/>
    <xf numFmtId="181" fontId="68" fillId="0" borderId="0" xfId="2" applyNumberFormat="1" applyFont="1" applyBorder="1" applyAlignment="1"/>
    <xf numFmtId="181" fontId="68" fillId="0" borderId="0" xfId="2" applyNumberFormat="1" applyFont="1" applyBorder="1" applyAlignment="1">
      <alignment horizontal="right"/>
    </xf>
    <xf numFmtId="166" fontId="68" fillId="0" borderId="0" xfId="42" applyFont="1" applyBorder="1" applyAlignment="1">
      <alignment horizontal="right"/>
    </xf>
    <xf numFmtId="172" fontId="68" fillId="0" borderId="0" xfId="42" applyNumberFormat="1" applyFont="1" applyBorder="1" applyAlignment="1">
      <alignment horizontal="right"/>
    </xf>
    <xf numFmtId="181" fontId="69" fillId="0" borderId="0" xfId="2" applyNumberFormat="1" applyFont="1" applyBorder="1"/>
    <xf numFmtId="166" fontId="69" fillId="0" borderId="15" xfId="42" applyFont="1" applyBorder="1" applyAlignment="1">
      <alignment horizontal="center"/>
    </xf>
    <xf numFmtId="181" fontId="69" fillId="0" borderId="15" xfId="2" applyNumberFormat="1" applyFont="1" applyBorder="1" applyAlignment="1">
      <alignment horizontal="center"/>
    </xf>
    <xf numFmtId="181" fontId="69" fillId="0" borderId="16" xfId="2" applyNumberFormat="1" applyFont="1" applyBorder="1" applyAlignment="1">
      <alignment horizontal="center"/>
    </xf>
    <xf numFmtId="166" fontId="69" fillId="0" borderId="16" xfId="42" applyFont="1" applyBorder="1" applyAlignment="1">
      <alignment horizontal="center"/>
    </xf>
    <xf numFmtId="183" fontId="69" fillId="0" borderId="16" xfId="42" applyNumberFormat="1" applyFont="1" applyBorder="1" applyAlignment="1">
      <alignment horizontal="center"/>
    </xf>
    <xf numFmtId="181" fontId="69" fillId="0" borderId="17" xfId="2" applyNumberFormat="1" applyFont="1" applyBorder="1" applyAlignment="1">
      <alignment horizontal="center"/>
    </xf>
    <xf numFmtId="0" fontId="68" fillId="0" borderId="25" xfId="118" applyFont="1" applyBorder="1" applyAlignment="1">
      <alignment horizontal="center"/>
    </xf>
    <xf numFmtId="172" fontId="68" fillId="0" borderId="22" xfId="42" applyNumberFormat="1" applyFont="1" applyBorder="1" applyAlignment="1">
      <alignment horizontal="center"/>
    </xf>
    <xf numFmtId="166" fontId="68" fillId="0" borderId="23" xfId="42" applyFont="1" applyBorder="1" applyAlignment="1">
      <alignment horizontal="center"/>
    </xf>
    <xf numFmtId="181" fontId="68" fillId="0" borderId="26" xfId="42" applyNumberFormat="1" applyFont="1" applyBorder="1" applyAlignment="1">
      <alignment horizontal="center"/>
    </xf>
    <xf numFmtId="166" fontId="68" fillId="0" borderId="31" xfId="118" applyNumberFormat="1" applyFont="1" applyBorder="1" applyAlignment="1">
      <alignment horizontal="right"/>
    </xf>
    <xf numFmtId="166" fontId="68" fillId="0" borderId="24" xfId="42" applyFont="1" applyBorder="1"/>
    <xf numFmtId="166" fontId="68" fillId="0" borderId="24" xfId="42" applyFont="1" applyBorder="1" applyAlignment="1">
      <alignment horizontal="center" vertical="center"/>
    </xf>
    <xf numFmtId="181" fontId="68" fillId="0" borderId="24" xfId="2" applyNumberFormat="1" applyFont="1" applyBorder="1"/>
    <xf numFmtId="183" fontId="68" fillId="0" borderId="24" xfId="42" applyNumberFormat="1" applyFont="1" applyBorder="1"/>
    <xf numFmtId="181" fontId="68" fillId="0" borderId="29" xfId="2" applyNumberFormat="1" applyFont="1" applyBorder="1"/>
    <xf numFmtId="0" fontId="68" fillId="0" borderId="46" xfId="118" applyFont="1" applyBorder="1" applyAlignment="1">
      <alignment horizontal="center"/>
    </xf>
    <xf numFmtId="166" fontId="68" fillId="0" borderId="47" xfId="42" applyFont="1" applyBorder="1" applyAlignment="1"/>
    <xf numFmtId="181" fontId="68" fillId="0" borderId="38" xfId="2" applyNumberFormat="1" applyFont="1" applyBorder="1" applyAlignment="1"/>
    <xf numFmtId="181" fontId="68" fillId="0" borderId="38" xfId="2" applyNumberFormat="1" applyFont="1" applyBorder="1" applyAlignment="1">
      <alignment horizontal="right"/>
    </xf>
    <xf numFmtId="166" fontId="68" fillId="0" borderId="38" xfId="42" applyFont="1" applyBorder="1" applyAlignment="1">
      <alignment horizontal="right"/>
    </xf>
    <xf numFmtId="183" fontId="68" fillId="0" borderId="38" xfId="42" applyNumberFormat="1" applyFont="1" applyBorder="1" applyAlignment="1">
      <alignment horizontal="right"/>
    </xf>
    <xf numFmtId="181" fontId="69" fillId="0" borderId="30" xfId="2" applyNumberFormat="1" applyFont="1" applyBorder="1"/>
    <xf numFmtId="0" fontId="68" fillId="0" borderId="21" xfId="115" applyFont="1" applyBorder="1" applyAlignment="1">
      <alignment horizontal="right"/>
    </xf>
    <xf numFmtId="166" fontId="68" fillId="0" borderId="141" xfId="42" applyNumberFormat="1" applyFont="1" applyBorder="1" applyAlignment="1">
      <alignment horizontal="center"/>
    </xf>
    <xf numFmtId="0" fontId="68" fillId="0" borderId="187" xfId="115" applyFont="1" applyBorder="1"/>
    <xf numFmtId="0" fontId="68" fillId="0" borderId="0" xfId="115" applyFont="1"/>
    <xf numFmtId="0" fontId="68" fillId="0" borderId="104" xfId="115" applyFont="1" applyBorder="1" applyAlignment="1">
      <alignment horizontal="left"/>
    </xf>
    <xf numFmtId="175" fontId="68" fillId="0" borderId="201" xfId="115" applyNumberFormat="1" applyFont="1" applyBorder="1"/>
    <xf numFmtId="0" fontId="118" fillId="0" borderId="0" xfId="132" applyFont="1" applyBorder="1" applyAlignment="1">
      <alignment horizontal="center" vertical="center"/>
    </xf>
    <xf numFmtId="175" fontId="68" fillId="0" borderId="130" xfId="115" applyNumberFormat="1" applyFont="1" applyBorder="1"/>
    <xf numFmtId="0" fontId="69" fillId="0" borderId="0" xfId="118" applyFont="1" applyBorder="1" applyAlignment="1">
      <alignment horizontal="center"/>
    </xf>
    <xf numFmtId="175" fontId="69" fillId="0" borderId="0" xfId="115" applyNumberFormat="1" applyFont="1"/>
    <xf numFmtId="0" fontId="68" fillId="0" borderId="7" xfId="115" applyNumberFormat="1" applyFont="1" applyBorder="1" applyAlignment="1">
      <alignment horizontal="center"/>
    </xf>
    <xf numFmtId="175" fontId="68" fillId="0" borderId="55" xfId="115" applyNumberFormat="1" applyFont="1" applyBorder="1"/>
    <xf numFmtId="0" fontId="118" fillId="0" borderId="7" xfId="115" applyNumberFormat="1" applyFont="1" applyBorder="1" applyAlignment="1">
      <alignment horizontal="center"/>
    </xf>
    <xf numFmtId="175" fontId="118" fillId="0" borderId="55" xfId="115" applyNumberFormat="1" applyFont="1" applyBorder="1"/>
    <xf numFmtId="0" fontId="118" fillId="0" borderId="104" xfId="115" applyFont="1" applyBorder="1"/>
    <xf numFmtId="166" fontId="118" fillId="0" borderId="35" xfId="42" applyFont="1" applyBorder="1" applyAlignment="1">
      <alignment horizontal="center"/>
    </xf>
    <xf numFmtId="0" fontId="118" fillId="0" borderId="35" xfId="115" applyNumberFormat="1" applyFont="1" applyBorder="1" applyAlignment="1">
      <alignment horizontal="center"/>
    </xf>
    <xf numFmtId="175" fontId="118" fillId="0" borderId="102" xfId="115" applyNumberFormat="1" applyFont="1" applyBorder="1"/>
    <xf numFmtId="166" fontId="68" fillId="0" borderId="47" xfId="42" applyFont="1" applyBorder="1" applyAlignment="1">
      <alignment horizontal="center"/>
    </xf>
    <xf numFmtId="2" fontId="68" fillId="0" borderId="35" xfId="115" applyNumberFormat="1" applyFont="1" applyBorder="1" applyAlignment="1">
      <alignment horizontal="center"/>
    </xf>
    <xf numFmtId="166" fontId="68" fillId="0" borderId="7" xfId="115" applyNumberFormat="1" applyFont="1" applyBorder="1" applyAlignment="1">
      <alignment horizontal="center"/>
    </xf>
    <xf numFmtId="0" fontId="68" fillId="0" borderId="104" xfId="115" applyFont="1" applyFill="1" applyBorder="1" applyAlignment="1">
      <alignment horizontal="left"/>
    </xf>
    <xf numFmtId="166" fontId="68" fillId="0" borderId="102" xfId="42" applyFont="1" applyFill="1" applyBorder="1"/>
    <xf numFmtId="0" fontId="68" fillId="0" borderId="104" xfId="115" applyFont="1" applyFill="1" applyBorder="1" applyAlignment="1">
      <alignment horizontal="right"/>
    </xf>
    <xf numFmtId="0" fontId="68" fillId="0" borderId="200" xfId="115" applyFont="1" applyFill="1" applyBorder="1"/>
    <xf numFmtId="0" fontId="68" fillId="0" borderId="47" xfId="115" applyNumberFormat="1" applyFont="1" applyFill="1" applyBorder="1" applyAlignment="1">
      <alignment horizontal="center"/>
    </xf>
    <xf numFmtId="166" fontId="68" fillId="0" borderId="47" xfId="42" applyFont="1" applyFill="1" applyBorder="1" applyAlignment="1">
      <alignment horizontal="center"/>
    </xf>
    <xf numFmtId="175" fontId="68" fillId="0" borderId="48" xfId="115" applyNumberFormat="1" applyFont="1" applyFill="1" applyBorder="1"/>
    <xf numFmtId="0" fontId="69" fillId="0" borderId="0" xfId="132" applyFont="1" applyFill="1" applyBorder="1" applyAlignment="1">
      <alignment horizontal="center" vertical="center"/>
    </xf>
    <xf numFmtId="0" fontId="69" fillId="0" borderId="0" xfId="132" applyFont="1" applyFill="1" applyBorder="1" applyAlignment="1">
      <alignment horizontal="left" vertical="center"/>
    </xf>
    <xf numFmtId="166" fontId="118" fillId="0" borderId="7" xfId="42" applyFont="1" applyBorder="1" applyAlignment="1">
      <alignment horizontal="center"/>
    </xf>
    <xf numFmtId="166" fontId="118" fillId="0" borderId="55" xfId="42" applyFont="1" applyBorder="1"/>
    <xf numFmtId="166" fontId="68" fillId="0" borderId="55" xfId="42" applyFont="1" applyBorder="1" applyAlignment="1">
      <alignment vertical="center"/>
    </xf>
    <xf numFmtId="175" fontId="69" fillId="0" borderId="0" xfId="118" applyNumberFormat="1" applyFont="1" applyAlignment="1">
      <alignment vertical="center"/>
    </xf>
    <xf numFmtId="166" fontId="68" fillId="0" borderId="7" xfId="42" applyFont="1" applyBorder="1"/>
    <xf numFmtId="0" fontId="118" fillId="0" borderId="200" xfId="115" applyFont="1" applyBorder="1"/>
    <xf numFmtId="0" fontId="118" fillId="0" borderId="0" xfId="115" applyFont="1" applyBorder="1"/>
    <xf numFmtId="166" fontId="118" fillId="0" borderId="0" xfId="42" applyFont="1" applyBorder="1"/>
    <xf numFmtId="0" fontId="69" fillId="0" borderId="0" xfId="115" applyFont="1" applyFill="1" applyAlignment="1">
      <alignment horizontal="center" vertical="center"/>
    </xf>
    <xf numFmtId="0" fontId="69" fillId="0" borderId="0" xfId="115" applyFont="1" applyFill="1" applyAlignment="1">
      <alignment horizontal="left" vertical="center"/>
    </xf>
    <xf numFmtId="0" fontId="118" fillId="0" borderId="0" xfId="115" applyFont="1" applyBorder="1" applyAlignment="1">
      <alignment vertical="center"/>
    </xf>
    <xf numFmtId="166" fontId="118" fillId="0" borderId="0" xfId="42" applyFont="1" applyBorder="1" applyAlignment="1">
      <alignment horizontal="center" vertical="center"/>
    </xf>
    <xf numFmtId="166" fontId="118" fillId="0" borderId="0" xfId="42" applyFont="1" applyBorder="1" applyAlignment="1">
      <alignment vertical="center"/>
    </xf>
    <xf numFmtId="0" fontId="120" fillId="0" borderId="0" xfId="118" applyFont="1" applyAlignment="1">
      <alignment vertical="center"/>
    </xf>
    <xf numFmtId="0" fontId="120" fillId="0" borderId="0" xfId="118" applyFont="1" applyAlignment="1">
      <alignment horizontal="center" vertical="center"/>
    </xf>
    <xf numFmtId="0" fontId="68" fillId="0" borderId="104" xfId="115" applyFont="1" applyBorder="1" applyAlignment="1">
      <alignment horizontal="right" vertical="center" wrapText="1"/>
    </xf>
    <xf numFmtId="0" fontId="68" fillId="0" borderId="104" xfId="115" applyFont="1" applyFill="1" applyBorder="1" applyAlignment="1">
      <alignment horizontal="left" wrapText="1"/>
    </xf>
    <xf numFmtId="166" fontId="68" fillId="0" borderId="5" xfId="42" applyFont="1" applyFill="1" applyBorder="1"/>
    <xf numFmtId="0" fontId="69" fillId="0" borderId="0" xfId="118" applyFont="1" applyFill="1" applyAlignment="1">
      <alignment horizontal="center" vertical="center"/>
    </xf>
    <xf numFmtId="0" fontId="68" fillId="0" borderId="195" xfId="115" applyFont="1" applyFill="1" applyBorder="1"/>
    <xf numFmtId="166" fontId="68" fillId="0" borderId="196" xfId="42" applyFont="1" applyFill="1" applyBorder="1"/>
    <xf numFmtId="0" fontId="100" fillId="0" borderId="169" xfId="132" applyFont="1" applyFill="1" applyBorder="1" applyAlignment="1">
      <alignment horizontal="center"/>
    </xf>
    <xf numFmtId="0" fontId="63" fillId="0" borderId="145" xfId="126" applyFont="1" applyFill="1" applyBorder="1" applyAlignment="1">
      <alignment horizontal="center" vertical="center"/>
    </xf>
    <xf numFmtId="188" fontId="63" fillId="0" borderId="145" xfId="183" applyNumberFormat="1" applyFont="1" applyFill="1" applyBorder="1" applyAlignment="1">
      <alignment horizontal="center" vertical="center"/>
    </xf>
    <xf numFmtId="188" fontId="63" fillId="0" borderId="145" xfId="183" applyNumberFormat="1" applyFont="1" applyFill="1" applyBorder="1" applyAlignment="1">
      <alignment horizontal="center" vertical="top"/>
    </xf>
    <xf numFmtId="0" fontId="62" fillId="0" borderId="145" xfId="126" applyFont="1" applyFill="1" applyBorder="1" applyAlignment="1">
      <alignment horizontal="center" vertical="center"/>
    </xf>
    <xf numFmtId="0" fontId="100" fillId="0" borderId="37" xfId="132" applyFont="1" applyFill="1" applyBorder="1" applyAlignment="1">
      <alignment horizontal="center"/>
    </xf>
    <xf numFmtId="0" fontId="100" fillId="0" borderId="170" xfId="1" applyNumberFormat="1" applyFont="1" applyFill="1" applyBorder="1" applyAlignment="1">
      <alignment horizontal="center"/>
    </xf>
    <xf numFmtId="188" fontId="63" fillId="0" borderId="243" xfId="183" applyNumberFormat="1" applyFont="1" applyFill="1" applyBorder="1" applyAlignment="1">
      <alignment horizontal="center" vertical="top"/>
    </xf>
    <xf numFmtId="176" fontId="63" fillId="2" borderId="244" xfId="126" applyNumberFormat="1" applyFont="1" applyFill="1" applyBorder="1" applyAlignment="1">
      <alignment vertical="center"/>
    </xf>
    <xf numFmtId="0" fontId="63" fillId="0" borderId="185" xfId="132" applyFont="1" applyFill="1" applyBorder="1"/>
    <xf numFmtId="0" fontId="63" fillId="0" borderId="245" xfId="132" applyFont="1" applyFill="1" applyBorder="1"/>
    <xf numFmtId="168" fontId="63" fillId="0" borderId="246" xfId="1" applyNumberFormat="1" applyFont="1" applyFill="1" applyBorder="1" applyAlignment="1">
      <alignment horizontal="right"/>
    </xf>
    <xf numFmtId="188" fontId="62" fillId="0" borderId="161" xfId="183" applyNumberFormat="1" applyFont="1" applyFill="1" applyBorder="1" applyAlignment="1">
      <alignment horizontal="center" vertical="top"/>
    </xf>
    <xf numFmtId="176" fontId="73" fillId="2" borderId="162" xfId="126" applyNumberFormat="1" applyFont="1" applyFill="1" applyBorder="1" applyAlignment="1">
      <alignment vertical="center"/>
    </xf>
    <xf numFmtId="0" fontId="63" fillId="0" borderId="206" xfId="132" applyFont="1" applyFill="1" applyBorder="1"/>
    <xf numFmtId="0" fontId="63" fillId="0" borderId="163" xfId="132" applyFont="1" applyFill="1" applyBorder="1"/>
    <xf numFmtId="0" fontId="63" fillId="2" borderId="129" xfId="126" applyFont="1" applyFill="1" applyBorder="1" applyAlignment="1">
      <alignment horizontal="center" vertical="center"/>
    </xf>
    <xf numFmtId="168" fontId="63" fillId="0" borderId="171" xfId="1" applyNumberFormat="1" applyFont="1" applyFill="1" applyBorder="1" applyAlignment="1">
      <alignment horizontal="right"/>
    </xf>
    <xf numFmtId="0" fontId="68" fillId="0" borderId="0" xfId="114" applyFont="1" applyBorder="1" applyAlignment="1">
      <alignment horizontal="center"/>
    </xf>
    <xf numFmtId="9" fontId="79" fillId="0" borderId="0" xfId="115" applyNumberFormat="1" applyFont="1"/>
    <xf numFmtId="167" fontId="76" fillId="0" borderId="0" xfId="115" applyNumberFormat="1" applyFont="1" applyFill="1" applyBorder="1"/>
    <xf numFmtId="0" fontId="79" fillId="0" borderId="0" xfId="115" applyFont="1" applyFill="1" applyBorder="1" applyAlignment="1">
      <alignment horizontal="center"/>
    </xf>
    <xf numFmtId="0" fontId="79" fillId="0" borderId="0" xfId="115" applyFont="1" applyAlignment="1">
      <alignment vertical="center"/>
    </xf>
    <xf numFmtId="0" fontId="76" fillId="0" borderId="0" xfId="115" applyFont="1"/>
    <xf numFmtId="0" fontId="63" fillId="0" borderId="0" xfId="115" applyFont="1" applyFill="1"/>
    <xf numFmtId="171" fontId="63" fillId="0" borderId="0" xfId="115" applyNumberFormat="1" applyFont="1" applyFill="1" applyBorder="1" applyAlignment="1">
      <alignment horizontal="center"/>
    </xf>
    <xf numFmtId="0" fontId="63" fillId="0" borderId="0" xfId="115" applyFont="1" applyFill="1" applyBorder="1" applyAlignment="1">
      <alignment horizontal="right"/>
    </xf>
    <xf numFmtId="166" fontId="63" fillId="0" borderId="0" xfId="42" applyFont="1" applyFill="1" applyBorder="1" applyAlignment="1">
      <alignment horizontal="right"/>
    </xf>
    <xf numFmtId="177" fontId="63" fillId="0" borderId="0" xfId="115" applyNumberFormat="1" applyFont="1" applyFill="1" applyBorder="1" applyAlignment="1">
      <alignment horizontal="right"/>
    </xf>
    <xf numFmtId="0" fontId="63" fillId="5" borderId="0" xfId="114" applyFont="1" applyFill="1" applyBorder="1" applyAlignment="1">
      <alignment horizontal="center" vertical="center" wrapText="1"/>
    </xf>
    <xf numFmtId="183" fontId="63" fillId="5" borderId="0" xfId="1" applyNumberFormat="1" applyFont="1" applyFill="1" applyBorder="1" applyAlignment="1">
      <alignment horizontal="center" vertical="center" wrapText="1"/>
    </xf>
    <xf numFmtId="168" fontId="63" fillId="5" borderId="0" xfId="114" applyNumberFormat="1" applyFont="1" applyFill="1" applyBorder="1" applyAlignment="1">
      <alignment horizontal="center" vertical="center" wrapText="1"/>
    </xf>
    <xf numFmtId="177" fontId="63" fillId="5" borderId="0" xfId="114" applyNumberFormat="1" applyFont="1" applyFill="1" applyBorder="1" applyAlignment="1">
      <alignment horizontal="center" vertical="center" wrapText="1"/>
    </xf>
    <xf numFmtId="0" fontId="63" fillId="0" borderId="0" xfId="115" applyFont="1" applyBorder="1" applyAlignment="1">
      <alignment vertical="center"/>
    </xf>
    <xf numFmtId="0" fontId="62" fillId="0" borderId="0" xfId="115" applyFont="1" applyBorder="1" applyAlignment="1">
      <alignment vertical="center"/>
    </xf>
    <xf numFmtId="166" fontId="63" fillId="0" borderId="0" xfId="42" applyFont="1" applyBorder="1" applyAlignment="1">
      <alignment horizontal="right" vertical="center"/>
    </xf>
    <xf numFmtId="177" fontId="63" fillId="0" borderId="0" xfId="115" applyNumberFormat="1" applyFont="1" applyBorder="1" applyAlignment="1">
      <alignment vertical="center"/>
    </xf>
    <xf numFmtId="0" fontId="121" fillId="0" borderId="0" xfId="114" applyFont="1" applyBorder="1"/>
    <xf numFmtId="166" fontId="63" fillId="0" borderId="0" xfId="42" applyFont="1" applyBorder="1" applyAlignment="1">
      <alignment horizontal="right"/>
    </xf>
    <xf numFmtId="177" fontId="63" fillId="0" borderId="0" xfId="115" applyNumberFormat="1" applyFont="1" applyFill="1" applyBorder="1"/>
    <xf numFmtId="177" fontId="63" fillId="0" borderId="0" xfId="115" applyNumberFormat="1" applyFont="1" applyBorder="1"/>
    <xf numFmtId="9" fontId="63" fillId="0" borderId="0" xfId="42" applyNumberFormat="1" applyFont="1" applyFill="1" applyBorder="1" applyAlignment="1">
      <alignment horizontal="right"/>
    </xf>
    <xf numFmtId="166" fontId="62" fillId="0" borderId="0" xfId="42" applyFont="1" applyBorder="1" applyAlignment="1">
      <alignment horizontal="right"/>
    </xf>
    <xf numFmtId="177" fontId="62" fillId="0" borderId="0" xfId="114" applyNumberFormat="1" applyFont="1" applyFill="1" applyBorder="1"/>
    <xf numFmtId="166" fontId="63" fillId="0" borderId="0" xfId="42" applyFont="1" applyAlignment="1">
      <alignment horizontal="right"/>
    </xf>
    <xf numFmtId="177" fontId="63" fillId="0" borderId="0" xfId="115" applyNumberFormat="1" applyFont="1"/>
    <xf numFmtId="0" fontId="79" fillId="0" borderId="0" xfId="115" applyFont="1" applyAlignment="1">
      <alignment horizontal="center"/>
    </xf>
    <xf numFmtId="0" fontId="62" fillId="0" borderId="0" xfId="115" applyFont="1" applyFill="1" applyBorder="1" applyAlignment="1">
      <alignment horizontal="center"/>
    </xf>
    <xf numFmtId="0" fontId="63" fillId="0" borderId="0" xfId="115" applyFont="1" applyAlignment="1">
      <alignment horizontal="center"/>
    </xf>
    <xf numFmtId="0" fontId="76" fillId="0" borderId="0" xfId="115" applyFont="1" applyFill="1" applyBorder="1" applyAlignment="1">
      <alignment horizontal="center"/>
    </xf>
    <xf numFmtId="166" fontId="63" fillId="0" borderId="0" xfId="42" applyFont="1" applyBorder="1" applyAlignment="1">
      <alignment horizontal="center"/>
    </xf>
    <xf numFmtId="0" fontId="69" fillId="0" borderId="0" xfId="114" applyFont="1" applyBorder="1" applyAlignment="1"/>
    <xf numFmtId="168" fontId="79" fillId="0" borderId="0" xfId="115" applyNumberFormat="1" applyFont="1"/>
    <xf numFmtId="0" fontId="63" fillId="0" borderId="0" xfId="114" applyFont="1" applyFill="1" applyBorder="1" applyAlignment="1">
      <alignment horizontal="center"/>
    </xf>
    <xf numFmtId="0" fontId="63" fillId="0" borderId="0" xfId="114" applyFont="1" applyBorder="1"/>
    <xf numFmtId="0" fontId="63" fillId="0" borderId="0" xfId="114" applyFont="1" applyBorder="1" applyAlignment="1">
      <alignment horizontal="center"/>
    </xf>
    <xf numFmtId="183" fontId="63" fillId="0" borderId="0" xfId="1" applyNumberFormat="1" applyFont="1" applyBorder="1" applyAlignment="1">
      <alignment horizontal="center"/>
    </xf>
    <xf numFmtId="168" fontId="63" fillId="0" borderId="0" xfId="114" applyNumberFormat="1" applyFont="1" applyBorder="1"/>
    <xf numFmtId="177" fontId="63" fillId="0" borderId="0" xfId="114" applyNumberFormat="1" applyFont="1" applyBorder="1"/>
    <xf numFmtId="0" fontId="63" fillId="0" borderId="0" xfId="0" applyFont="1" applyFill="1" applyBorder="1" applyAlignment="1">
      <alignment horizontal="center"/>
    </xf>
    <xf numFmtId="178" fontId="62" fillId="0" borderId="0" xfId="0" applyNumberFormat="1" applyFont="1" applyBorder="1"/>
    <xf numFmtId="0" fontId="79" fillId="0" borderId="0" xfId="115" applyFont="1" applyAlignment="1"/>
    <xf numFmtId="168" fontId="68" fillId="0" borderId="0" xfId="114" applyNumberFormat="1" applyFont="1" applyBorder="1" applyAlignment="1"/>
    <xf numFmtId="177" fontId="68" fillId="0" borderId="0" xfId="114" applyNumberFormat="1" applyFont="1" applyBorder="1" applyAlignment="1"/>
    <xf numFmtId="166" fontId="68" fillId="0" borderId="34" xfId="1" applyFont="1" applyFill="1" applyBorder="1" applyAlignment="1">
      <alignment horizontal="center"/>
    </xf>
    <xf numFmtId="166" fontId="68" fillId="0" borderId="7" xfId="1" applyFont="1" applyFill="1" applyBorder="1" applyAlignment="1">
      <alignment horizontal="center"/>
    </xf>
    <xf numFmtId="166" fontId="69" fillId="0" borderId="0" xfId="1" applyFont="1" applyFill="1" applyAlignment="1">
      <alignment horizontal="center"/>
    </xf>
    <xf numFmtId="166" fontId="69" fillId="0" borderId="0" xfId="1" applyFont="1" applyAlignment="1"/>
    <xf numFmtId="166" fontId="69" fillId="0" borderId="0" xfId="1" applyFont="1" applyAlignment="1">
      <alignment horizontal="center"/>
    </xf>
    <xf numFmtId="166" fontId="68" fillId="0" borderId="0" xfId="1" applyFont="1" applyAlignment="1">
      <alignment horizontal="center"/>
    </xf>
    <xf numFmtId="166" fontId="68" fillId="0" borderId="0" xfId="1" applyFont="1"/>
    <xf numFmtId="166" fontId="69" fillId="0" borderId="0" xfId="1" applyFont="1" applyFill="1" applyAlignment="1"/>
    <xf numFmtId="166" fontId="69" fillId="0" borderId="0" xfId="1" applyFont="1" applyFill="1"/>
    <xf numFmtId="166" fontId="68" fillId="0" borderId="0" xfId="1" applyFont="1" applyFill="1" applyAlignment="1">
      <alignment horizontal="center"/>
    </xf>
    <xf numFmtId="166" fontId="68" fillId="0" borderId="0" xfId="1" applyFont="1" applyFill="1" applyAlignment="1">
      <alignment horizontal="left"/>
    </xf>
    <xf numFmtId="166" fontId="69" fillId="0" borderId="0" xfId="1" applyFont="1"/>
    <xf numFmtId="166" fontId="68" fillId="0" borderId="0" xfId="1" applyFont="1" applyFill="1" applyAlignment="1"/>
    <xf numFmtId="166" fontId="69" fillId="0" borderId="19" xfId="1" applyFont="1" applyFill="1" applyBorder="1" applyAlignment="1">
      <alignment horizontal="center"/>
    </xf>
    <xf numFmtId="166" fontId="69" fillId="0" borderId="15" xfId="1" applyFont="1" applyFill="1" applyBorder="1" applyAlignment="1">
      <alignment horizontal="center"/>
    </xf>
    <xf numFmtId="166" fontId="69" fillId="0" borderId="16" xfId="1" applyFont="1" applyFill="1" applyBorder="1" applyAlignment="1">
      <alignment horizontal="center"/>
    </xf>
    <xf numFmtId="166" fontId="69" fillId="0" borderId="17" xfId="1" applyFont="1" applyFill="1" applyBorder="1" applyAlignment="1">
      <alignment horizontal="center"/>
    </xf>
    <xf numFmtId="166" fontId="68" fillId="0" borderId="128" xfId="1" applyFont="1" applyFill="1" applyBorder="1"/>
    <xf numFmtId="166" fontId="68" fillId="0" borderId="129" xfId="1" applyFont="1" applyFill="1" applyBorder="1" applyAlignment="1">
      <alignment horizontal="center"/>
    </xf>
    <xf numFmtId="166" fontId="68" fillId="0" borderId="129" xfId="1" applyFont="1" applyFill="1" applyBorder="1" applyAlignment="1">
      <alignment horizontal="center" vertical="center"/>
    </xf>
    <xf numFmtId="166" fontId="68" fillId="0" borderId="130" xfId="1" applyFont="1" applyFill="1" applyBorder="1" applyAlignment="1">
      <alignment horizontal="center"/>
    </xf>
    <xf numFmtId="166" fontId="68" fillId="0" borderId="103" xfId="1" applyFont="1" applyFill="1" applyBorder="1" applyAlignment="1">
      <alignment horizontal="right"/>
    </xf>
    <xf numFmtId="166" fontId="68" fillId="0" borderId="7" xfId="1" applyFont="1" applyFill="1" applyBorder="1" applyAlignment="1">
      <alignment horizontal="center" vertical="center"/>
    </xf>
    <xf numFmtId="166" fontId="68" fillId="0" borderId="55" xfId="1" applyFont="1" applyFill="1" applyBorder="1" applyAlignment="1">
      <alignment horizontal="center"/>
    </xf>
    <xf numFmtId="166" fontId="68" fillId="0" borderId="0" xfId="1" applyFont="1" applyBorder="1" applyAlignment="1">
      <alignment vertical="center"/>
    </xf>
    <xf numFmtId="166" fontId="67" fillId="0" borderId="200" xfId="1" applyFont="1" applyBorder="1" applyAlignment="1">
      <alignment horizontal="left"/>
    </xf>
    <xf numFmtId="166" fontId="68" fillId="0" borderId="36" xfId="1" applyFont="1" applyBorder="1" applyAlignment="1">
      <alignment horizontal="center"/>
    </xf>
    <xf numFmtId="166" fontId="69" fillId="0" borderId="201" xfId="1" applyFont="1" applyBorder="1"/>
    <xf numFmtId="166" fontId="68" fillId="0" borderId="27" xfId="1" applyFont="1" applyBorder="1" applyAlignment="1">
      <alignment horizontal="center"/>
    </xf>
    <xf numFmtId="166" fontId="68" fillId="0" borderId="38" xfId="1" applyFont="1" applyBorder="1" applyAlignment="1">
      <alignment horizontal="center"/>
    </xf>
    <xf numFmtId="166" fontId="69" fillId="0" borderId="30" xfId="1" applyFont="1" applyBorder="1"/>
    <xf numFmtId="166" fontId="118" fillId="0" borderId="0" xfId="1" applyFont="1" applyBorder="1" applyAlignment="1">
      <alignment vertical="center"/>
    </xf>
    <xf numFmtId="166" fontId="118" fillId="0" borderId="0" xfId="1" applyFont="1" applyBorder="1" applyAlignment="1">
      <alignment horizontal="center"/>
    </xf>
    <xf numFmtId="166" fontId="120" fillId="0" borderId="0" xfId="1" applyFont="1" applyBorder="1"/>
    <xf numFmtId="166" fontId="120" fillId="0" borderId="0" xfId="1" applyFont="1"/>
    <xf numFmtId="166" fontId="120" fillId="0" borderId="0" xfId="1" applyFont="1" applyAlignment="1">
      <alignment horizontal="center"/>
    </xf>
    <xf numFmtId="166" fontId="118" fillId="0" borderId="0" xfId="1" applyFont="1"/>
    <xf numFmtId="166" fontId="92" fillId="0" borderId="0" xfId="1" applyFont="1"/>
    <xf numFmtId="166" fontId="118" fillId="0" borderId="0" xfId="1" applyFont="1" applyBorder="1"/>
    <xf numFmtId="166" fontId="69" fillId="0" borderId="0" xfId="1" applyFont="1" applyBorder="1" applyAlignment="1">
      <alignment vertical="center"/>
    </xf>
    <xf numFmtId="166" fontId="69" fillId="0" borderId="0" xfId="1" applyFont="1" applyBorder="1" applyAlignment="1">
      <alignment horizontal="center"/>
    </xf>
    <xf numFmtId="166" fontId="69" fillId="0" borderId="0" xfId="1" applyFont="1" applyBorder="1"/>
    <xf numFmtId="166" fontId="69" fillId="0" borderId="19" xfId="1" applyFont="1" applyBorder="1" applyAlignment="1">
      <alignment horizontal="center"/>
    </xf>
    <xf numFmtId="166" fontId="69" fillId="0" borderId="15" xfId="1" applyFont="1" applyBorder="1" applyAlignment="1">
      <alignment horizontal="center"/>
    </xf>
    <xf numFmtId="166" fontId="69" fillId="0" borderId="16" xfId="1" applyFont="1" applyBorder="1" applyAlignment="1">
      <alignment horizontal="center"/>
    </xf>
    <xf numFmtId="166" fontId="69" fillId="0" borderId="17" xfId="1" applyFont="1" applyBorder="1" applyAlignment="1">
      <alignment horizontal="center"/>
    </xf>
    <xf numFmtId="166" fontId="118" fillId="0" borderId="0" xfId="1" applyFont="1" applyAlignment="1">
      <alignment horizontal="center"/>
    </xf>
    <xf numFmtId="166" fontId="68" fillId="0" borderId="21" xfId="1" applyFont="1" applyFill="1" applyBorder="1"/>
    <xf numFmtId="166" fontId="68" fillId="0" borderId="34" xfId="1" applyFont="1" applyFill="1" applyBorder="1" applyAlignment="1">
      <alignment horizontal="center" vertical="center"/>
    </xf>
    <xf numFmtId="166" fontId="68" fillId="0" borderId="101" xfId="1" applyFont="1" applyFill="1" applyBorder="1" applyAlignment="1">
      <alignment horizontal="center"/>
    </xf>
    <xf numFmtId="166" fontId="68" fillId="0" borderId="21" xfId="1" applyFont="1" applyFill="1" applyBorder="1" applyAlignment="1">
      <alignment horizontal="right"/>
    </xf>
    <xf numFmtId="166" fontId="68" fillId="0" borderId="104" xfId="1" applyFont="1" applyFill="1" applyBorder="1" applyAlignment="1">
      <alignment horizontal="right"/>
    </xf>
    <xf numFmtId="166" fontId="68" fillId="0" borderId="35" xfId="1" applyFont="1" applyFill="1" applyBorder="1" applyAlignment="1">
      <alignment horizontal="center"/>
    </xf>
    <xf numFmtId="166" fontId="68" fillId="0" borderId="35" xfId="1" applyFont="1" applyFill="1" applyBorder="1" applyAlignment="1">
      <alignment horizontal="center" vertical="center"/>
    </xf>
    <xf numFmtId="166" fontId="68" fillId="0" borderId="102" xfId="1" applyFont="1" applyFill="1" applyBorder="1" applyAlignment="1">
      <alignment horizontal="center"/>
    </xf>
    <xf numFmtId="166" fontId="68" fillId="0" borderId="128" xfId="1" applyFont="1" applyFill="1" applyBorder="1" applyAlignment="1">
      <alignment horizontal="left"/>
    </xf>
    <xf numFmtId="166" fontId="68" fillId="0" borderId="21" xfId="1" applyFont="1" applyFill="1" applyBorder="1" applyAlignment="1">
      <alignment horizontal="left"/>
    </xf>
    <xf numFmtId="166" fontId="118" fillId="0" borderId="0" xfId="1" applyFont="1" applyAlignment="1"/>
    <xf numFmtId="183" fontId="69" fillId="0" borderId="0" xfId="1" applyNumberFormat="1" applyFont="1" applyBorder="1" applyAlignment="1">
      <alignment horizontal="center"/>
    </xf>
    <xf numFmtId="168" fontId="69" fillId="0" borderId="0" xfId="114" applyNumberFormat="1" applyFont="1" applyBorder="1"/>
    <xf numFmtId="177" fontId="69" fillId="0" borderId="0" xfId="114" applyNumberFormat="1" applyFont="1" applyBorder="1"/>
    <xf numFmtId="0" fontId="87" fillId="0" borderId="0" xfId="114" applyFont="1" applyBorder="1"/>
    <xf numFmtId="0" fontId="76" fillId="0" borderId="0" xfId="0" applyFont="1" applyFill="1" applyBorder="1"/>
    <xf numFmtId="177" fontId="76" fillId="0" borderId="99" xfId="0" applyNumberFormat="1" applyFont="1" applyFill="1" applyBorder="1" applyAlignment="1">
      <alignment horizontal="center"/>
    </xf>
    <xf numFmtId="0" fontId="63" fillId="0" borderId="119" xfId="128" applyFont="1" applyBorder="1" applyAlignment="1">
      <alignment vertical="center"/>
    </xf>
    <xf numFmtId="0" fontId="63" fillId="0" borderId="165" xfId="128" applyFont="1" applyBorder="1" applyAlignment="1">
      <alignment vertical="center"/>
    </xf>
    <xf numFmtId="176" fontId="69" fillId="0" borderId="0" xfId="1" applyNumberFormat="1" applyFont="1" applyFill="1" applyAlignment="1">
      <alignment horizontal="center"/>
    </xf>
    <xf numFmtId="176" fontId="68" fillId="0" borderId="0" xfId="1" applyNumberFormat="1" applyFont="1" applyFill="1" applyAlignment="1">
      <alignment horizontal="center"/>
    </xf>
    <xf numFmtId="176" fontId="68" fillId="0" borderId="0" xfId="1" applyNumberFormat="1" applyFont="1" applyFill="1"/>
    <xf numFmtId="176" fontId="118" fillId="0" borderId="0" xfId="1" applyNumberFormat="1" applyFont="1" applyFill="1"/>
    <xf numFmtId="176" fontId="69" fillId="0" borderId="0" xfId="1" applyNumberFormat="1" applyFont="1" applyFill="1"/>
    <xf numFmtId="0" fontId="76" fillId="0" borderId="0" xfId="115" applyFont="1" applyAlignment="1">
      <alignment horizontal="center"/>
    </xf>
    <xf numFmtId="166" fontId="76" fillId="0" borderId="0" xfId="42" applyFont="1" applyAlignment="1">
      <alignment horizontal="right"/>
    </xf>
    <xf numFmtId="177" fontId="76" fillId="0" borderId="0" xfId="115" applyNumberFormat="1" applyFont="1"/>
    <xf numFmtId="0" fontId="62" fillId="0" borderId="0" xfId="115" applyFont="1" applyAlignment="1">
      <alignment horizontal="center"/>
    </xf>
    <xf numFmtId="166" fontId="62" fillId="0" borderId="0" xfId="42" applyFont="1" applyAlignment="1">
      <alignment horizontal="right"/>
    </xf>
    <xf numFmtId="177" fontId="62" fillId="0" borderId="0" xfId="115" applyNumberFormat="1" applyFont="1"/>
    <xf numFmtId="183" fontId="63" fillId="0" borderId="0" xfId="1" applyNumberFormat="1" applyFont="1"/>
    <xf numFmtId="0" fontId="79" fillId="0" borderId="0" xfId="0" applyFont="1" applyFill="1" applyBorder="1" applyAlignment="1">
      <alignment vertical="center" wrapText="1"/>
    </xf>
    <xf numFmtId="0" fontId="79" fillId="0" borderId="80" xfId="0" applyFont="1" applyFill="1" applyBorder="1" applyAlignment="1">
      <alignment horizontal="center" vertical="center" wrapText="1"/>
    </xf>
    <xf numFmtId="0" fontId="79" fillId="0" borderId="81" xfId="0" applyFont="1" applyFill="1" applyBorder="1" applyAlignment="1">
      <alignment vertical="center" wrapText="1"/>
    </xf>
    <xf numFmtId="177" fontId="79" fillId="0" borderId="99" xfId="0" applyNumberFormat="1" applyFont="1" applyFill="1" applyBorder="1" applyAlignment="1">
      <alignment horizontal="center" vertical="center" wrapText="1"/>
    </xf>
    <xf numFmtId="177" fontId="69" fillId="0" borderId="0" xfId="114" applyNumberFormat="1" applyFont="1" applyFill="1" applyBorder="1"/>
    <xf numFmtId="0" fontId="63" fillId="0" borderId="0" xfId="131" applyFont="1" applyFill="1" applyBorder="1" applyAlignment="1">
      <alignment vertical="top"/>
    </xf>
    <xf numFmtId="166" fontId="63" fillId="0" borderId="0" xfId="1" applyFont="1" applyFill="1" applyAlignment="1">
      <alignment vertical="top"/>
    </xf>
    <xf numFmtId="165" fontId="63" fillId="0" borderId="0" xfId="2" applyFont="1" applyFill="1" applyAlignment="1">
      <alignment vertical="top"/>
    </xf>
    <xf numFmtId="0" fontId="63" fillId="0" borderId="0" xfId="131" applyFont="1" applyFill="1" applyAlignment="1">
      <alignment vertical="top"/>
    </xf>
    <xf numFmtId="166" fontId="69" fillId="0" borderId="0" xfId="1" applyFont="1" applyBorder="1" applyAlignment="1">
      <alignment horizontal="left"/>
    </xf>
    <xf numFmtId="166" fontId="68" fillId="12" borderId="7" xfId="1" applyFont="1" applyFill="1" applyBorder="1" applyAlignment="1">
      <alignment horizontal="center"/>
    </xf>
    <xf numFmtId="166" fontId="68" fillId="12" borderId="35" xfId="1" applyFont="1" applyFill="1" applyBorder="1" applyAlignment="1">
      <alignment horizontal="center"/>
    </xf>
    <xf numFmtId="166" fontId="69" fillId="12" borderId="0" xfId="1" applyFont="1" applyFill="1"/>
    <xf numFmtId="0" fontId="68" fillId="0" borderId="0" xfId="114" applyFont="1" applyFill="1" applyBorder="1" applyAlignment="1">
      <alignment horizontal="center"/>
    </xf>
    <xf numFmtId="0" fontId="68" fillId="0" borderId="0" xfId="114" applyFont="1" applyFill="1" applyAlignment="1">
      <alignment horizontal="center"/>
    </xf>
    <xf numFmtId="0" fontId="68" fillId="0" borderId="0" xfId="114" applyFont="1" applyFill="1" applyAlignment="1">
      <alignment horizontal="left"/>
    </xf>
    <xf numFmtId="0" fontId="80" fillId="0" borderId="155" xfId="132" applyFont="1" applyFill="1" applyBorder="1"/>
    <xf numFmtId="0" fontId="80" fillId="0" borderId="119" xfId="132" applyFont="1" applyFill="1" applyBorder="1" applyAlignment="1"/>
    <xf numFmtId="0" fontId="80" fillId="0" borderId="165" xfId="132" applyFont="1" applyFill="1" applyBorder="1"/>
    <xf numFmtId="0" fontId="80" fillId="0" borderId="120" xfId="132" applyFont="1" applyFill="1" applyBorder="1"/>
    <xf numFmtId="0" fontId="80" fillId="0" borderId="34" xfId="132" applyFont="1" applyFill="1" applyBorder="1" applyAlignment="1">
      <alignment horizontal="center"/>
    </xf>
    <xf numFmtId="168" fontId="80" fillId="0" borderId="156" xfId="1" applyNumberFormat="1" applyFont="1" applyFill="1" applyBorder="1" applyAlignment="1">
      <alignment horizontal="right"/>
    </xf>
    <xf numFmtId="177" fontId="69" fillId="0" borderId="0" xfId="114" applyNumberFormat="1" applyFont="1" applyFill="1" applyBorder="1" applyAlignment="1">
      <alignment vertical="center"/>
    </xf>
    <xf numFmtId="0" fontId="62" fillId="6" borderId="158" xfId="132" applyFont="1" applyFill="1" applyBorder="1" applyAlignment="1">
      <alignment horizontal="center" vertical="center"/>
    </xf>
    <xf numFmtId="0" fontId="62" fillId="6" borderId="33" xfId="132" applyNumberFormat="1" applyFont="1" applyFill="1" applyBorder="1" applyAlignment="1">
      <alignment vertical="center"/>
    </xf>
    <xf numFmtId="0" fontId="62" fillId="6" borderId="0" xfId="132" applyNumberFormat="1" applyFont="1" applyFill="1" applyBorder="1" applyAlignment="1">
      <alignment vertical="center"/>
    </xf>
    <xf numFmtId="0" fontId="62" fillId="6" borderId="136" xfId="132" applyNumberFormat="1" applyFont="1" applyFill="1" applyBorder="1" applyAlignment="1">
      <alignment vertical="center"/>
    </xf>
    <xf numFmtId="184" fontId="64" fillId="6" borderId="32" xfId="65" applyNumberFormat="1" applyFont="1" applyFill="1" applyBorder="1" applyAlignment="1">
      <alignment vertical="center"/>
    </xf>
    <xf numFmtId="0" fontId="64" fillId="6" borderId="32" xfId="132" applyFont="1" applyFill="1" applyBorder="1" applyAlignment="1">
      <alignment horizontal="center" vertical="center"/>
    </xf>
    <xf numFmtId="0" fontId="68" fillId="6" borderId="32" xfId="132" applyFont="1" applyFill="1" applyBorder="1" applyAlignment="1">
      <alignment horizontal="center" vertical="center"/>
    </xf>
    <xf numFmtId="166" fontId="63" fillId="6" borderId="32" xfId="2" applyNumberFormat="1" applyFont="1" applyFill="1" applyBorder="1" applyAlignment="1">
      <alignment horizontal="right" vertical="center"/>
    </xf>
    <xf numFmtId="166" fontId="65" fillId="6" borderId="159" xfId="2" applyNumberFormat="1" applyFont="1" applyFill="1" applyBorder="1" applyAlignment="1">
      <alignment horizontal="right" vertical="center"/>
    </xf>
    <xf numFmtId="166" fontId="80" fillId="0" borderId="0" xfId="132" applyNumberFormat="1" applyFont="1" applyFill="1" applyBorder="1"/>
    <xf numFmtId="175" fontId="63" fillId="11" borderId="0" xfId="2" applyNumberFormat="1" applyFont="1" applyFill="1" applyBorder="1" applyAlignment="1">
      <alignment vertical="center"/>
    </xf>
    <xf numFmtId="166" fontId="63" fillId="11" borderId="0" xfId="1" applyFont="1" applyFill="1" applyAlignment="1">
      <alignment vertical="center"/>
    </xf>
    <xf numFmtId="0" fontId="63" fillId="11" borderId="0" xfId="132" applyFont="1" applyFill="1" applyAlignment="1">
      <alignment vertical="center"/>
    </xf>
    <xf numFmtId="0" fontId="80" fillId="0" borderId="247" xfId="132" applyFont="1" applyFill="1" applyBorder="1"/>
    <xf numFmtId="0" fontId="95" fillId="0" borderId="119" xfId="132" applyFont="1" applyFill="1" applyBorder="1" applyAlignment="1"/>
    <xf numFmtId="0" fontId="80" fillId="0" borderId="165" xfId="132" applyFont="1" applyFill="1" applyBorder="1" applyAlignment="1">
      <alignment horizontal="center"/>
    </xf>
    <xf numFmtId="168" fontId="64" fillId="0" borderId="156" xfId="1" applyNumberFormat="1" applyFont="1" applyFill="1" applyBorder="1" applyAlignment="1">
      <alignment horizontal="right"/>
    </xf>
    <xf numFmtId="0" fontId="80" fillId="0" borderId="248" xfId="132" applyFont="1" applyFill="1" applyBorder="1" applyAlignment="1">
      <alignment horizontal="center"/>
    </xf>
    <xf numFmtId="0" fontId="80" fillId="0" borderId="244" xfId="132" applyFont="1" applyFill="1" applyBorder="1" applyAlignment="1"/>
    <xf numFmtId="0" fontId="80" fillId="0" borderId="185" xfId="132" applyFont="1" applyFill="1" applyBorder="1"/>
    <xf numFmtId="0" fontId="80" fillId="0" borderId="245" xfId="132" applyFont="1" applyFill="1" applyBorder="1"/>
    <xf numFmtId="0" fontId="80" fillId="0" borderId="185" xfId="132" applyFont="1" applyFill="1" applyBorder="1" applyAlignment="1">
      <alignment horizontal="center"/>
    </xf>
    <xf numFmtId="168" fontId="64" fillId="0" borderId="246" xfId="42" applyNumberFormat="1" applyFont="1" applyFill="1" applyBorder="1" applyAlignment="1">
      <alignment horizontal="left"/>
    </xf>
    <xf numFmtId="0" fontId="72" fillId="0" borderId="0" xfId="131" applyFont="1" applyFill="1" applyBorder="1" applyAlignment="1">
      <alignment horizontal="center" vertical="center"/>
    </xf>
    <xf numFmtId="0" fontId="62" fillId="0" borderId="189" xfId="131" applyFont="1" applyFill="1" applyBorder="1" applyAlignment="1">
      <alignment horizontal="center" vertical="center"/>
    </xf>
    <xf numFmtId="0" fontId="62" fillId="0" borderId="190" xfId="131" applyFont="1" applyFill="1" applyBorder="1" applyAlignment="1">
      <alignment horizontal="center" vertical="center"/>
    </xf>
    <xf numFmtId="39" fontId="76" fillId="0" borderId="115" xfId="184" applyNumberFormat="1" applyFont="1" applyBorder="1" applyAlignment="1" applyProtection="1">
      <alignment horizontal="center" vertical="center"/>
      <protection locked="0"/>
    </xf>
    <xf numFmtId="39" fontId="76" fillId="0" borderId="188" xfId="184" applyNumberFormat="1" applyFont="1" applyBorder="1" applyAlignment="1" applyProtection="1">
      <alignment horizontal="center" vertical="center"/>
      <protection locked="0"/>
    </xf>
    <xf numFmtId="0" fontId="62" fillId="0" borderId="237" xfId="131" applyFont="1" applyFill="1" applyBorder="1" applyAlignment="1">
      <alignment horizontal="center" vertical="center" wrapText="1"/>
    </xf>
    <xf numFmtId="0" fontId="62" fillId="0" borderId="98" xfId="131" applyFont="1" applyFill="1" applyBorder="1" applyAlignment="1">
      <alignment horizontal="center" vertical="center" wrapText="1"/>
    </xf>
    <xf numFmtId="0" fontId="62" fillId="0" borderId="191" xfId="131" applyFont="1" applyFill="1" applyBorder="1" applyAlignment="1">
      <alignment horizontal="center" vertical="center" wrapText="1"/>
    </xf>
    <xf numFmtId="0" fontId="62" fillId="0" borderId="134" xfId="131" applyFont="1" applyFill="1" applyBorder="1" applyAlignment="1">
      <alignment horizontal="center" vertical="center" wrapText="1"/>
    </xf>
    <xf numFmtId="0" fontId="62" fillId="0" borderId="133" xfId="131" applyFont="1" applyFill="1" applyBorder="1" applyAlignment="1">
      <alignment horizontal="center" vertical="center" wrapText="1"/>
    </xf>
    <xf numFmtId="0" fontId="62" fillId="0" borderId="132" xfId="131" applyFont="1" applyFill="1" applyBorder="1" applyAlignment="1">
      <alignment horizontal="center" vertical="center" wrapText="1"/>
    </xf>
    <xf numFmtId="0" fontId="62" fillId="0" borderId="40" xfId="132" applyNumberFormat="1" applyFont="1" applyFill="1" applyBorder="1" applyAlignment="1">
      <alignment horizontal="right" vertical="center"/>
    </xf>
    <xf numFmtId="0" fontId="62" fillId="0" borderId="153" xfId="132" applyNumberFormat="1" applyFont="1" applyFill="1" applyBorder="1" applyAlignment="1">
      <alignment horizontal="right" vertical="center"/>
    </xf>
    <xf numFmtId="0" fontId="62" fillId="0" borderId="234" xfId="132" applyNumberFormat="1" applyFont="1" applyFill="1" applyBorder="1" applyAlignment="1">
      <alignment horizontal="right" vertical="center"/>
    </xf>
    <xf numFmtId="0" fontId="62" fillId="0" borderId="190" xfId="132" applyNumberFormat="1" applyFont="1" applyFill="1" applyBorder="1" applyAlignment="1">
      <alignment horizontal="right" vertical="center"/>
    </xf>
    <xf numFmtId="1" fontId="70" fillId="9" borderId="38" xfId="132" applyNumberFormat="1" applyFont="1" applyFill="1" applyBorder="1" applyAlignment="1">
      <alignment horizontal="center" vertical="center"/>
    </xf>
    <xf numFmtId="1" fontId="70" fillId="9" borderId="27" xfId="132" applyNumberFormat="1" applyFont="1" applyFill="1" applyBorder="1" applyAlignment="1">
      <alignment horizontal="center" vertical="center"/>
    </xf>
    <xf numFmtId="1" fontId="70" fillId="9" borderId="46" xfId="132" applyNumberFormat="1" applyFont="1" applyFill="1" applyBorder="1" applyAlignment="1">
      <alignment horizontal="center" vertical="center"/>
    </xf>
    <xf numFmtId="0" fontId="61" fillId="8" borderId="82" xfId="132" applyFont="1" applyFill="1" applyBorder="1" applyAlignment="1">
      <alignment horizontal="center" vertical="center"/>
    </xf>
    <xf numFmtId="0" fontId="62" fillId="6" borderId="182" xfId="132" applyFont="1" applyFill="1" applyBorder="1" applyAlignment="1">
      <alignment horizontal="center" vertical="center"/>
    </xf>
    <xf numFmtId="0" fontId="62" fillId="6" borderId="164" xfId="132" applyFont="1" applyFill="1" applyBorder="1" applyAlignment="1">
      <alignment horizontal="center" vertical="center"/>
    </xf>
    <xf numFmtId="0" fontId="62" fillId="6" borderId="183" xfId="132" applyNumberFormat="1" applyFont="1" applyFill="1" applyBorder="1" applyAlignment="1">
      <alignment horizontal="center" vertical="center"/>
    </xf>
    <xf numFmtId="0" fontId="62" fillId="6" borderId="98" xfId="132" applyNumberFormat="1" applyFont="1" applyFill="1" applyBorder="1" applyAlignment="1">
      <alignment horizontal="center" vertical="center"/>
    </xf>
    <xf numFmtId="0" fontId="62" fillId="6" borderId="184" xfId="132" applyNumberFormat="1" applyFont="1" applyFill="1" applyBorder="1" applyAlignment="1">
      <alignment horizontal="center" vertical="center"/>
    </xf>
    <xf numFmtId="0" fontId="62" fillId="6" borderId="78" xfId="132" applyNumberFormat="1" applyFont="1" applyFill="1" applyBorder="1" applyAlignment="1">
      <alignment horizontal="center" vertical="center"/>
    </xf>
    <xf numFmtId="0" fontId="62" fillId="6" borderId="82" xfId="132" applyNumberFormat="1" applyFont="1" applyFill="1" applyBorder="1" applyAlignment="1">
      <alignment horizontal="center" vertical="center"/>
    </xf>
    <xf numFmtId="0" fontId="62" fillId="6" borderId="135" xfId="132" applyNumberFormat="1" applyFont="1" applyFill="1" applyBorder="1" applyAlignment="1">
      <alignment horizontal="center" vertical="center"/>
    </xf>
    <xf numFmtId="184" fontId="62" fillId="6" borderId="54" xfId="132" applyNumberFormat="1" applyFont="1" applyFill="1" applyBorder="1" applyAlignment="1">
      <alignment horizontal="center" vertical="center"/>
    </xf>
    <xf numFmtId="184" fontId="62" fillId="6" borderId="79" xfId="132" applyNumberFormat="1" applyFont="1" applyFill="1" applyBorder="1" applyAlignment="1">
      <alignment horizontal="center" vertical="center"/>
    </xf>
    <xf numFmtId="0" fontId="62" fillId="6" borderId="54" xfId="132" applyFont="1" applyFill="1" applyBorder="1" applyAlignment="1">
      <alignment horizontal="center" vertical="center"/>
    </xf>
    <xf numFmtId="0" fontId="62" fillId="6" borderId="79" xfId="132" applyFont="1" applyFill="1" applyBorder="1" applyAlignment="1">
      <alignment horizontal="center" vertical="center"/>
    </xf>
    <xf numFmtId="0" fontId="69" fillId="6" borderId="54" xfId="132" applyFont="1" applyFill="1" applyBorder="1" applyAlignment="1">
      <alignment horizontal="center" vertical="center"/>
    </xf>
    <xf numFmtId="0" fontId="69" fillId="6" borderId="79" xfId="132" applyFont="1" applyFill="1" applyBorder="1" applyAlignment="1">
      <alignment horizontal="center" vertical="center"/>
    </xf>
    <xf numFmtId="0" fontId="17" fillId="0" borderId="0" xfId="131" applyFont="1" applyFill="1" applyBorder="1" applyAlignment="1">
      <alignment horizontal="center"/>
    </xf>
    <xf numFmtId="0" fontId="59" fillId="0" borderId="186" xfId="131" applyFont="1" applyFill="1" applyBorder="1" applyAlignment="1">
      <alignment horizontal="center" vertical="center" wrapText="1"/>
    </xf>
    <xf numFmtId="0" fontId="59" fillId="0" borderId="187" xfId="131" applyFont="1" applyFill="1" applyBorder="1" applyAlignment="1">
      <alignment horizontal="center" vertical="center" wrapText="1"/>
    </xf>
    <xf numFmtId="0" fontId="21" fillId="0" borderId="189" xfId="131" applyFont="1" applyFill="1" applyBorder="1" applyAlignment="1">
      <alignment horizontal="center" vertical="center"/>
    </xf>
    <xf numFmtId="0" fontId="21" fillId="0" borderId="190" xfId="131" applyFont="1" applyFill="1" applyBorder="1" applyAlignment="1">
      <alignment horizontal="center" vertical="center"/>
    </xf>
    <xf numFmtId="0" fontId="59" fillId="0" borderId="183" xfId="131" applyFont="1" applyFill="1" applyBorder="1" applyAlignment="1">
      <alignment horizontal="left" vertical="center" wrapText="1"/>
    </xf>
    <xf numFmtId="0" fontId="59" fillId="0" borderId="98" xfId="131" applyFont="1" applyFill="1" applyBorder="1" applyAlignment="1">
      <alignment horizontal="left" vertical="center" wrapText="1"/>
    </xf>
    <xf numFmtId="0" fontId="59" fillId="0" borderId="191" xfId="131" applyFont="1" applyFill="1" applyBorder="1" applyAlignment="1">
      <alignment horizontal="left" vertical="center" wrapText="1"/>
    </xf>
    <xf numFmtId="0" fontId="59" fillId="0" borderId="166" xfId="131" applyFont="1" applyFill="1" applyBorder="1" applyAlignment="1">
      <alignment horizontal="left" vertical="center" wrapText="1"/>
    </xf>
    <xf numFmtId="0" fontId="59" fillId="0" borderId="133" xfId="131" applyFont="1" applyFill="1" applyBorder="1" applyAlignment="1">
      <alignment horizontal="left" vertical="center" wrapText="1"/>
    </xf>
    <xf numFmtId="0" fontId="59" fillId="0" borderId="132" xfId="131" applyFont="1" applyFill="1" applyBorder="1" applyAlignment="1">
      <alignment horizontal="left" vertical="center" wrapText="1"/>
    </xf>
    <xf numFmtId="39" fontId="51" fillId="0" borderId="115" xfId="184" applyNumberFormat="1" applyFont="1" applyBorder="1" applyAlignment="1" applyProtection="1">
      <alignment horizontal="center" vertical="center"/>
      <protection locked="0"/>
    </xf>
    <xf numFmtId="39" fontId="51" fillId="0" borderId="188" xfId="184" applyNumberFormat="1" applyFont="1" applyBorder="1" applyAlignment="1" applyProtection="1">
      <alignment horizontal="center" vertical="center"/>
      <protection locked="0"/>
    </xf>
    <xf numFmtId="0" fontId="20" fillId="0" borderId="4" xfId="128" applyFont="1" applyFill="1" applyBorder="1" applyAlignment="1">
      <alignment horizontal="left" wrapText="1"/>
    </xf>
    <xf numFmtId="0" fontId="20" fillId="0" borderId="6" xfId="128" applyFont="1" applyFill="1" applyBorder="1" applyAlignment="1">
      <alignment horizontal="left" wrapText="1"/>
    </xf>
    <xf numFmtId="0" fontId="20" fillId="0" borderId="4" xfId="128" applyFont="1" applyBorder="1" applyAlignment="1">
      <alignment horizontal="left" wrapText="1"/>
    </xf>
    <xf numFmtId="0" fontId="20" fillId="0" borderId="6" xfId="128" applyFont="1" applyBorder="1" applyAlignment="1">
      <alignment horizontal="left" wrapText="1"/>
    </xf>
    <xf numFmtId="0" fontId="20" fillId="0" borderId="4" xfId="128" applyFont="1" applyBorder="1" applyAlignment="1">
      <alignment vertical="center" wrapText="1"/>
    </xf>
    <xf numFmtId="0" fontId="20" fillId="0" borderId="6" xfId="128" applyFont="1" applyBorder="1" applyAlignment="1">
      <alignment vertical="center" wrapText="1"/>
    </xf>
    <xf numFmtId="0" fontId="20" fillId="0" borderId="4" xfId="128" applyFont="1" applyBorder="1" applyAlignment="1">
      <alignment horizontal="left" vertical="center" wrapText="1"/>
    </xf>
    <xf numFmtId="0" fontId="20" fillId="0" borderId="6" xfId="128" applyFont="1" applyBorder="1" applyAlignment="1">
      <alignment horizontal="left" vertical="center" wrapText="1"/>
    </xf>
    <xf numFmtId="0" fontId="21" fillId="0" borderId="40" xfId="132" applyNumberFormat="1" applyFont="1" applyFill="1" applyBorder="1" applyAlignment="1">
      <alignment horizontal="right"/>
    </xf>
    <xf numFmtId="0" fontId="21" fillId="0" borderId="153" xfId="132" applyNumberFormat="1" applyFont="1" applyFill="1" applyBorder="1" applyAlignment="1">
      <alignment horizontal="right"/>
    </xf>
    <xf numFmtId="0" fontId="21" fillId="0" borderId="174" xfId="132" applyNumberFormat="1" applyFont="1" applyFill="1" applyBorder="1" applyAlignment="1">
      <alignment horizontal="center"/>
    </xf>
    <xf numFmtId="0" fontId="18" fillId="8" borderId="0" xfId="132" applyFont="1" applyFill="1" applyBorder="1" applyAlignment="1">
      <alignment horizontal="center"/>
    </xf>
    <xf numFmtId="0" fontId="21" fillId="8" borderId="182" xfId="132" applyFont="1" applyFill="1" applyBorder="1" applyAlignment="1">
      <alignment horizontal="center"/>
    </xf>
    <xf numFmtId="0" fontId="21" fillId="8" borderId="164" xfId="132" applyFont="1" applyFill="1" applyBorder="1" applyAlignment="1">
      <alignment horizontal="center"/>
    </xf>
    <xf numFmtId="0" fontId="21" fillId="8" borderId="183" xfId="132" applyNumberFormat="1" applyFont="1" applyFill="1" applyBorder="1" applyAlignment="1">
      <alignment horizontal="center"/>
    </xf>
    <xf numFmtId="0" fontId="21" fillId="8" borderId="184" xfId="132" applyNumberFormat="1" applyFont="1" applyFill="1" applyBorder="1" applyAlignment="1">
      <alignment horizontal="center"/>
    </xf>
    <xf numFmtId="0" fontId="21" fillId="8" borderId="78" xfId="132" applyNumberFormat="1" applyFont="1" applyFill="1" applyBorder="1" applyAlignment="1">
      <alignment horizontal="center"/>
    </xf>
    <xf numFmtId="0" fontId="21" fillId="8" borderId="135" xfId="132" applyNumberFormat="1" applyFont="1" applyFill="1" applyBorder="1" applyAlignment="1">
      <alignment horizontal="center"/>
    </xf>
    <xf numFmtId="184" fontId="21" fillId="8" borderId="54" xfId="132" applyNumberFormat="1" applyFont="1" applyFill="1" applyBorder="1" applyAlignment="1">
      <alignment horizontal="center"/>
    </xf>
    <xf numFmtId="184" fontId="21" fillId="8" borderId="79" xfId="132" applyNumberFormat="1" applyFont="1" applyFill="1" applyBorder="1" applyAlignment="1">
      <alignment horizontal="center"/>
    </xf>
    <xf numFmtId="0" fontId="21" fillId="8" borderId="54" xfId="132" applyFont="1" applyFill="1" applyBorder="1" applyAlignment="1">
      <alignment horizontal="center"/>
    </xf>
    <xf numFmtId="0" fontId="21" fillId="8" borderId="79" xfId="132" applyFont="1" applyFill="1" applyBorder="1" applyAlignment="1">
      <alignment horizontal="center"/>
    </xf>
    <xf numFmtId="0" fontId="60" fillId="0" borderId="0" xfId="0" applyNumberFormat="1" applyFont="1" applyAlignment="1">
      <alignment horizontal="left" vertical="center" wrapText="1"/>
    </xf>
    <xf numFmtId="1" fontId="20" fillId="9" borderId="38" xfId="132" applyNumberFormat="1" applyFont="1" applyFill="1" applyBorder="1" applyAlignment="1">
      <alignment horizontal="center"/>
    </xf>
    <xf numFmtId="1" fontId="20" fillId="9" borderId="46" xfId="132" applyNumberFormat="1" applyFont="1" applyFill="1" applyBorder="1" applyAlignment="1">
      <alignment horizontal="center"/>
    </xf>
    <xf numFmtId="0" fontId="21" fillId="0" borderId="4" xfId="127" applyFont="1" applyFill="1" applyBorder="1" applyAlignment="1">
      <alignment horizontal="left" wrapText="1"/>
    </xf>
    <xf numFmtId="0" fontId="21" fillId="0" borderId="6" xfId="127" applyFont="1" applyFill="1" applyBorder="1" applyAlignment="1">
      <alignment horizontal="left" wrapText="1"/>
    </xf>
    <xf numFmtId="0" fontId="56" fillId="2" borderId="4" xfId="127" quotePrefix="1" applyFont="1" applyFill="1" applyBorder="1" applyAlignment="1">
      <alignment horizontal="left" wrapText="1"/>
    </xf>
    <xf numFmtId="0" fontId="56" fillId="2" borderId="6" xfId="127" applyFont="1" applyFill="1" applyBorder="1" applyAlignment="1">
      <alignment horizontal="left" wrapText="1"/>
    </xf>
    <xf numFmtId="0" fontId="20" fillId="0" borderId="192" xfId="118" applyFont="1" applyFill="1" applyBorder="1" applyAlignment="1">
      <alignment horizontal="center"/>
    </xf>
    <xf numFmtId="0" fontId="20" fillId="0" borderId="47" xfId="118" applyFont="1" applyFill="1" applyBorder="1" applyAlignment="1">
      <alignment horizontal="center"/>
    </xf>
    <xf numFmtId="0" fontId="20" fillId="0" borderId="192" xfId="118" applyFont="1" applyBorder="1" applyAlignment="1">
      <alignment horizontal="center"/>
    </xf>
    <xf numFmtId="0" fontId="20" fillId="0" borderId="47" xfId="118" applyFont="1" applyBorder="1" applyAlignment="1">
      <alignment horizontal="center"/>
    </xf>
    <xf numFmtId="0" fontId="20" fillId="0" borderId="187" xfId="0" applyFont="1" applyBorder="1"/>
    <xf numFmtId="0" fontId="20" fillId="0" borderId="141" xfId="0" applyFont="1" applyBorder="1"/>
    <xf numFmtId="0" fontId="20" fillId="0" borderId="187" xfId="118" applyFont="1" applyBorder="1" applyAlignment="1">
      <alignment horizontal="center"/>
    </xf>
    <xf numFmtId="0" fontId="20" fillId="0" borderId="141" xfId="118" applyFont="1" applyBorder="1" applyAlignment="1">
      <alignment horizontal="center"/>
    </xf>
    <xf numFmtId="0" fontId="20" fillId="0" borderId="131" xfId="118" applyFont="1" applyBorder="1" applyAlignment="1">
      <alignment horizontal="center"/>
    </xf>
    <xf numFmtId="0" fontId="20" fillId="0" borderId="27" xfId="118" applyFont="1" applyBorder="1" applyAlignment="1">
      <alignment horizontal="center"/>
    </xf>
    <xf numFmtId="0" fontId="20" fillId="0" borderId="46" xfId="118" applyFont="1" applyBorder="1" applyAlignment="1">
      <alignment horizontal="center"/>
    </xf>
    <xf numFmtId="0" fontId="20" fillId="0" borderId="192" xfId="0" applyFont="1" applyBorder="1"/>
    <xf numFmtId="0" fontId="20" fillId="0" borderId="47" xfId="0" applyFont="1" applyBorder="1"/>
    <xf numFmtId="0" fontId="26" fillId="0" borderId="0" xfId="118" applyFont="1" applyFill="1" applyAlignment="1">
      <alignment horizontal="center" vertical="center"/>
    </xf>
    <xf numFmtId="166" fontId="20" fillId="0" borderId="131" xfId="42" applyFont="1" applyBorder="1" applyAlignment="1">
      <alignment horizontal="center"/>
    </xf>
    <xf numFmtId="166" fontId="20" fillId="0" borderId="27" xfId="42" applyFont="1" applyBorder="1" applyAlignment="1">
      <alignment horizontal="center"/>
    </xf>
    <xf numFmtId="166" fontId="20" fillId="0" borderId="131" xfId="42" applyNumberFormat="1" applyFont="1" applyFill="1" applyBorder="1" applyAlignment="1">
      <alignment horizontal="center"/>
    </xf>
    <xf numFmtId="166" fontId="20" fillId="0" borderId="27" xfId="42" applyNumberFormat="1" applyFont="1" applyFill="1" applyBorder="1" applyAlignment="1">
      <alignment horizontal="center"/>
    </xf>
    <xf numFmtId="0" fontId="20" fillId="0" borderId="131" xfId="118" applyFont="1" applyFill="1" applyBorder="1" applyAlignment="1">
      <alignment horizontal="center"/>
    </xf>
    <xf numFmtId="0" fontId="20" fillId="0" borderId="27" xfId="118" applyFont="1" applyFill="1" applyBorder="1" applyAlignment="1">
      <alignment horizontal="center"/>
    </xf>
    <xf numFmtId="0" fontId="20" fillId="0" borderId="46" xfId="118" applyFont="1" applyFill="1" applyBorder="1" applyAlignment="1">
      <alignment horizontal="center"/>
    </xf>
    <xf numFmtId="0" fontId="20" fillId="0" borderId="134" xfId="118" applyFont="1" applyBorder="1" applyAlignment="1">
      <alignment horizontal="center"/>
    </xf>
    <xf numFmtId="0" fontId="20" fillId="0" borderId="133" xfId="118" applyFont="1" applyBorder="1" applyAlignment="1">
      <alignment horizontal="center"/>
    </xf>
    <xf numFmtId="0" fontId="20" fillId="0" borderId="167" xfId="118" applyFont="1" applyBorder="1" applyAlignment="1">
      <alignment horizontal="center"/>
    </xf>
    <xf numFmtId="0" fontId="20" fillId="0" borderId="202" xfId="0" applyFont="1" applyBorder="1" applyAlignment="1">
      <alignment horizontal="right"/>
    </xf>
    <xf numFmtId="0" fontId="20" fillId="0" borderId="203" xfId="0" applyFont="1" applyBorder="1" applyAlignment="1">
      <alignment horizontal="right"/>
    </xf>
    <xf numFmtId="0" fontId="68" fillId="0" borderId="192" xfId="118" applyFont="1" applyBorder="1" applyAlignment="1">
      <alignment horizontal="center"/>
    </xf>
    <xf numFmtId="0" fontId="68" fillId="0" borderId="47" xfId="118" applyFont="1" applyBorder="1" applyAlignment="1">
      <alignment horizontal="center"/>
    </xf>
    <xf numFmtId="0" fontId="68" fillId="0" borderId="192" xfId="118" applyFont="1" applyFill="1" applyBorder="1" applyAlignment="1">
      <alignment horizontal="center"/>
    </xf>
    <xf numFmtId="0" fontId="68" fillId="0" borderId="47" xfId="118" applyFont="1" applyFill="1" applyBorder="1" applyAlignment="1">
      <alignment horizontal="center"/>
    </xf>
    <xf numFmtId="0" fontId="68" fillId="0" borderId="187" xfId="115" applyFont="1" applyBorder="1"/>
    <xf numFmtId="0" fontId="68" fillId="0" borderId="141" xfId="115" applyFont="1" applyBorder="1"/>
    <xf numFmtId="0" fontId="68" fillId="0" borderId="131" xfId="118" applyFont="1" applyBorder="1" applyAlignment="1">
      <alignment horizontal="center"/>
    </xf>
    <xf numFmtId="0" fontId="68" fillId="0" borderId="27" xfId="118" applyFont="1" applyBorder="1" applyAlignment="1">
      <alignment horizontal="center"/>
    </xf>
    <xf numFmtId="0" fontId="68" fillId="0" borderId="46" xfId="118" applyFont="1" applyBorder="1" applyAlignment="1">
      <alignment horizontal="center"/>
    </xf>
    <xf numFmtId="0" fontId="68" fillId="0" borderId="187" xfId="118" applyFont="1" applyBorder="1" applyAlignment="1">
      <alignment horizontal="center"/>
    </xf>
    <xf numFmtId="0" fontId="68" fillId="0" borderId="141" xfId="118" applyFont="1" applyBorder="1" applyAlignment="1">
      <alignment horizontal="center"/>
    </xf>
    <xf numFmtId="0" fontId="68" fillId="0" borderId="192" xfId="115" applyFont="1" applyBorder="1"/>
    <xf numFmtId="0" fontId="68" fillId="0" borderId="47" xfId="115" applyFont="1" applyBorder="1"/>
    <xf numFmtId="0" fontId="68" fillId="0" borderId="202" xfId="115" applyFont="1" applyBorder="1" applyAlignment="1">
      <alignment horizontal="right"/>
    </xf>
    <xf numFmtId="0" fontId="68" fillId="0" borderId="203" xfId="115" applyFont="1" applyBorder="1" applyAlignment="1">
      <alignment horizontal="right"/>
    </xf>
    <xf numFmtId="0" fontId="68" fillId="0" borderId="134" xfId="118" applyFont="1" applyBorder="1" applyAlignment="1">
      <alignment horizontal="center"/>
    </xf>
    <xf numFmtId="0" fontId="68" fillId="0" borderId="133" xfId="118" applyFont="1" applyBorder="1" applyAlignment="1">
      <alignment horizontal="center"/>
    </xf>
    <xf numFmtId="0" fontId="68" fillId="0" borderId="167" xfId="118" applyFont="1" applyBorder="1" applyAlignment="1">
      <alignment horizontal="center"/>
    </xf>
    <xf numFmtId="0" fontId="68" fillId="0" borderId="131" xfId="118" applyFont="1" applyFill="1" applyBorder="1" applyAlignment="1">
      <alignment horizontal="center"/>
    </xf>
    <xf numFmtId="0" fontId="68" fillId="0" borderId="27" xfId="118" applyFont="1" applyFill="1" applyBorder="1" applyAlignment="1">
      <alignment horizontal="center"/>
    </xf>
    <xf numFmtId="0" fontId="68" fillId="0" borderId="46" xfId="118" applyFont="1" applyFill="1" applyBorder="1" applyAlignment="1">
      <alignment horizontal="center"/>
    </xf>
    <xf numFmtId="166" fontId="68" fillId="0" borderId="131" xfId="42" applyNumberFormat="1" applyFont="1" applyFill="1" applyBorder="1" applyAlignment="1">
      <alignment horizontal="center"/>
    </xf>
    <xf numFmtId="166" fontId="68" fillId="0" borderId="27" xfId="42" applyNumberFormat="1" applyFont="1" applyFill="1" applyBorder="1" applyAlignment="1">
      <alignment horizontal="center"/>
    </xf>
    <xf numFmtId="0" fontId="116" fillId="0" borderId="0" xfId="118" applyFont="1" applyFill="1" applyAlignment="1">
      <alignment horizontal="center" vertical="center"/>
    </xf>
    <xf numFmtId="166" fontId="68" fillId="0" borderId="131" xfId="42" applyFont="1" applyBorder="1" applyAlignment="1">
      <alignment horizontal="center"/>
    </xf>
    <xf numFmtId="166" fontId="68" fillId="0" borderId="27" xfId="42" applyFont="1" applyBorder="1" applyAlignment="1">
      <alignment horizontal="center"/>
    </xf>
    <xf numFmtId="0" fontId="78" fillId="0" borderId="0" xfId="0" applyFont="1" applyFill="1" applyBorder="1" applyAlignment="1">
      <alignment horizontal="center" vertical="center"/>
    </xf>
    <xf numFmtId="0" fontId="72" fillId="0" borderId="80" xfId="0" applyFont="1" applyFill="1" applyBorder="1" applyAlignment="1">
      <alignment horizontal="center"/>
    </xf>
    <xf numFmtId="0" fontId="72" fillId="0" borderId="81" xfId="0" applyFont="1" applyFill="1" applyBorder="1" applyAlignment="1">
      <alignment horizontal="center"/>
    </xf>
    <xf numFmtId="0" fontId="72" fillId="0" borderId="99" xfId="0" applyFont="1" applyFill="1" applyBorder="1" applyAlignment="1">
      <alignment horizontal="center"/>
    </xf>
    <xf numFmtId="0" fontId="72" fillId="0" borderId="80" xfId="0" applyFont="1" applyFill="1" applyBorder="1" applyAlignment="1">
      <alignment horizontal="center" vertical="center"/>
    </xf>
    <xf numFmtId="0" fontId="72" fillId="0" borderId="81" xfId="0" applyFont="1" applyFill="1" applyBorder="1" applyAlignment="1">
      <alignment horizontal="center" vertical="center"/>
    </xf>
    <xf numFmtId="0" fontId="72" fillId="0" borderId="99" xfId="0" applyFont="1" applyFill="1" applyBorder="1" applyAlignment="1">
      <alignment horizontal="center" vertical="center"/>
    </xf>
    <xf numFmtId="0" fontId="68" fillId="0" borderId="0" xfId="114" applyFont="1" applyBorder="1" applyAlignment="1">
      <alignment horizontal="left"/>
    </xf>
    <xf numFmtId="0" fontId="68" fillId="0" borderId="0" xfId="114" applyFont="1" applyFill="1" applyBorder="1" applyAlignment="1">
      <alignment horizontal="right"/>
    </xf>
    <xf numFmtId="0" fontId="68" fillId="0" borderId="0" xfId="114" applyFont="1" applyBorder="1" applyAlignment="1">
      <alignment horizontal="center"/>
    </xf>
    <xf numFmtId="0" fontId="68" fillId="0" borderId="0" xfId="114" applyFont="1" applyBorder="1" applyAlignment="1">
      <alignment horizontal="right"/>
    </xf>
    <xf numFmtId="9" fontId="68" fillId="0" borderId="0" xfId="114" applyNumberFormat="1" applyFont="1" applyBorder="1" applyAlignment="1">
      <alignment horizontal="left"/>
    </xf>
    <xf numFmtId="0" fontId="68" fillId="0" borderId="0" xfId="114" applyFont="1" applyFill="1" applyBorder="1" applyAlignment="1">
      <alignment horizontal="left"/>
    </xf>
    <xf numFmtId="0" fontId="68" fillId="0" borderId="0" xfId="114" applyFont="1" applyFill="1" applyBorder="1" applyAlignment="1">
      <alignment horizontal="center"/>
    </xf>
    <xf numFmtId="0" fontId="72" fillId="0" borderId="0" xfId="114" applyFont="1" applyBorder="1" applyAlignment="1">
      <alignment horizontal="center" vertical="center"/>
    </xf>
    <xf numFmtId="0" fontId="68" fillId="0" borderId="0" xfId="114" applyFont="1" applyBorder="1" applyAlignment="1">
      <alignment horizontal="center" vertical="center"/>
    </xf>
    <xf numFmtId="9" fontId="68" fillId="0" borderId="0" xfId="114" applyNumberFormat="1" applyFont="1" applyFill="1" applyBorder="1" applyAlignment="1">
      <alignment horizontal="left"/>
    </xf>
    <xf numFmtId="0" fontId="68" fillId="0" borderId="0" xfId="114" applyFont="1" applyFill="1" applyAlignment="1">
      <alignment horizontal="left" vertical="center"/>
    </xf>
    <xf numFmtId="0" fontId="69" fillId="0" borderId="0" xfId="114" applyFont="1" applyFill="1" applyAlignment="1">
      <alignment horizontal="left" vertical="center"/>
    </xf>
    <xf numFmtId="0" fontId="68" fillId="0" borderId="0" xfId="114" applyFont="1" applyFill="1" applyAlignment="1">
      <alignment horizontal="center"/>
    </xf>
    <xf numFmtId="9" fontId="68" fillId="0" borderId="0" xfId="114" applyNumberFormat="1" applyFont="1" applyFill="1" applyAlignment="1">
      <alignment horizontal="left"/>
    </xf>
    <xf numFmtId="0" fontId="68" fillId="0" borderId="0" xfId="114" applyFont="1" applyFill="1" applyAlignment="1">
      <alignment horizontal="left"/>
    </xf>
    <xf numFmtId="0" fontId="61" fillId="0" borderId="0" xfId="114" applyFont="1" applyFill="1" applyBorder="1" applyAlignment="1">
      <alignment horizontal="center" vertical="center"/>
    </xf>
    <xf numFmtId="0" fontId="62" fillId="0" borderId="0" xfId="0" applyFont="1" applyBorder="1" applyAlignment="1">
      <alignment horizontal="center" vertical="center"/>
    </xf>
    <xf numFmtId="0" fontId="65" fillId="9" borderId="0" xfId="115" applyFont="1" applyFill="1" applyBorder="1" applyAlignment="1">
      <alignment horizontal="center" vertical="center"/>
    </xf>
    <xf numFmtId="0" fontId="65" fillId="9" borderId="0" xfId="115" applyFont="1" applyFill="1" applyBorder="1" applyAlignment="1">
      <alignment horizontal="center" vertical="center" wrapText="1"/>
    </xf>
    <xf numFmtId="179" fontId="65" fillId="9" borderId="0" xfId="11" applyNumberFormat="1" applyFont="1" applyFill="1" applyBorder="1" applyAlignment="1">
      <alignment horizontal="center" vertical="center" wrapText="1"/>
    </xf>
    <xf numFmtId="179" fontId="65" fillId="9" borderId="0" xfId="2" applyNumberFormat="1" applyFont="1" applyFill="1" applyBorder="1" applyAlignment="1">
      <alignment horizontal="center" vertical="center" wrapText="1"/>
    </xf>
    <xf numFmtId="0" fontId="62" fillId="0" borderId="0" xfId="115" applyFont="1" applyBorder="1" applyAlignment="1">
      <alignment horizontal="center"/>
    </xf>
    <xf numFmtId="39" fontId="80" fillId="0" borderId="4" xfId="132" applyNumberFormat="1" applyFont="1" applyFill="1" applyBorder="1" applyAlignment="1">
      <alignment horizontal="left" vertical="center" wrapText="1"/>
    </xf>
    <xf numFmtId="39" fontId="80" fillId="0" borderId="5" xfId="132" applyNumberFormat="1" applyFont="1" applyFill="1" applyBorder="1" applyAlignment="1">
      <alignment horizontal="left" vertical="center" wrapText="1"/>
    </xf>
    <xf numFmtId="39" fontId="80" fillId="0" borderId="6" xfId="132" applyNumberFormat="1" applyFont="1" applyFill="1" applyBorder="1" applyAlignment="1">
      <alignment horizontal="left" vertical="center" wrapText="1"/>
    </xf>
    <xf numFmtId="0" fontId="95" fillId="0" borderId="33" xfId="132" applyFont="1" applyFill="1" applyBorder="1" applyAlignment="1">
      <alignment horizontal="center"/>
    </xf>
    <xf numFmtId="0" fontId="95" fillId="0" borderId="0" xfId="132" applyFont="1" applyFill="1" applyBorder="1" applyAlignment="1">
      <alignment horizontal="center"/>
    </xf>
    <xf numFmtId="0" fontId="95" fillId="0" borderId="136" xfId="132" applyFont="1" applyFill="1" applyBorder="1" applyAlignment="1">
      <alignment horizontal="center"/>
    </xf>
    <xf numFmtId="0" fontId="100" fillId="0" borderId="80" xfId="132" applyFont="1" applyFill="1" applyBorder="1" applyAlignment="1">
      <alignment horizontal="center"/>
    </xf>
    <xf numFmtId="0" fontId="100" fillId="0" borderId="81" xfId="132" applyFont="1" applyFill="1" applyBorder="1" applyAlignment="1">
      <alignment horizontal="center"/>
    </xf>
    <xf numFmtId="0" fontId="100" fillId="0" borderId="99" xfId="132" applyFont="1" applyFill="1" applyBorder="1" applyAlignment="1">
      <alignment horizontal="center"/>
    </xf>
    <xf numFmtId="0" fontId="93" fillId="0" borderId="0" xfId="132" applyFont="1" applyFill="1" applyBorder="1" applyAlignment="1">
      <alignment horizontal="center"/>
    </xf>
    <xf numFmtId="0" fontId="69" fillId="10" borderId="98" xfId="115" applyFont="1" applyFill="1" applyBorder="1" applyAlignment="1">
      <alignment horizontal="center" vertical="center"/>
    </xf>
    <xf numFmtId="0" fontId="63" fillId="7" borderId="80" xfId="115" applyFont="1" applyFill="1" applyBorder="1" applyAlignment="1">
      <alignment horizontal="center" vertical="center"/>
    </xf>
    <xf numFmtId="0" fontId="63" fillId="7" borderId="81" xfId="115" applyFont="1" applyFill="1" applyBorder="1" applyAlignment="1">
      <alignment horizontal="center" vertical="center"/>
    </xf>
    <xf numFmtId="0" fontId="72" fillId="10" borderId="0" xfId="115" applyFont="1" applyFill="1" applyAlignment="1">
      <alignment horizontal="center" vertical="center"/>
    </xf>
    <xf numFmtId="0" fontId="72" fillId="0" borderId="0" xfId="132" applyFont="1" applyBorder="1" applyAlignment="1">
      <alignment horizontal="center"/>
    </xf>
    <xf numFmtId="0" fontId="72" fillId="0" borderId="180" xfId="132" applyFont="1" applyFill="1" applyBorder="1" applyAlignment="1">
      <alignment horizontal="center" vertical="center"/>
    </xf>
    <xf numFmtId="0" fontId="72" fillId="0" borderId="194" xfId="132" applyFont="1" applyFill="1" applyBorder="1" applyAlignment="1">
      <alignment horizontal="center" vertical="center"/>
    </xf>
    <xf numFmtId="0" fontId="72" fillId="0" borderId="183" xfId="132" applyFont="1" applyFill="1" applyBorder="1" applyAlignment="1">
      <alignment horizontal="center" vertical="center"/>
    </xf>
    <xf numFmtId="0" fontId="72" fillId="0" borderId="98" xfId="132" applyFont="1" applyFill="1" applyBorder="1" applyAlignment="1">
      <alignment horizontal="center" vertical="center"/>
    </xf>
    <xf numFmtId="0" fontId="72" fillId="0" borderId="184" xfId="132" applyFont="1" applyFill="1" applyBorder="1" applyAlignment="1">
      <alignment horizontal="center" vertical="center"/>
    </xf>
    <xf numFmtId="0" fontId="72" fillId="0" borderId="166" xfId="132" applyFont="1" applyFill="1" applyBorder="1" applyAlignment="1">
      <alignment horizontal="center" vertical="center"/>
    </xf>
    <xf numFmtId="0" fontId="72" fillId="0" borderId="133" xfId="132" applyFont="1" applyFill="1" applyBorder="1" applyAlignment="1">
      <alignment horizontal="center" vertical="center"/>
    </xf>
    <xf numFmtId="0" fontId="72" fillId="0" borderId="167" xfId="132" applyFont="1" applyFill="1" applyBorder="1" applyAlignment="1">
      <alignment horizontal="center" vertical="center"/>
    </xf>
    <xf numFmtId="0" fontId="72" fillId="0" borderId="138" xfId="132" applyFont="1" applyFill="1" applyBorder="1" applyAlignment="1">
      <alignment horizontal="center" vertical="center" wrapText="1"/>
    </xf>
    <xf numFmtId="0" fontId="72" fillId="0" borderId="142" xfId="132" applyFont="1" applyFill="1" applyBorder="1" applyAlignment="1">
      <alignment horizontal="center" vertical="center" wrapText="1"/>
    </xf>
    <xf numFmtId="0" fontId="90" fillId="0" borderId="0" xfId="132" applyFont="1" applyBorder="1" applyAlignment="1">
      <alignment horizontal="center" vertical="center"/>
    </xf>
    <xf numFmtId="0" fontId="72" fillId="0" borderId="54" xfId="132" applyFont="1" applyFill="1" applyBorder="1" applyAlignment="1">
      <alignment horizontal="center" vertical="center" wrapText="1"/>
    </xf>
    <xf numFmtId="0" fontId="72" fillId="0" borderId="141" xfId="132" applyFont="1" applyFill="1" applyBorder="1" applyAlignment="1">
      <alignment horizontal="center" vertical="center" wrapText="1"/>
    </xf>
    <xf numFmtId="166" fontId="68" fillId="0" borderId="131" xfId="1" applyFont="1" applyBorder="1" applyAlignment="1">
      <alignment horizontal="center"/>
    </xf>
    <xf numFmtId="166" fontId="68" fillId="0" borderId="27" xfId="1" applyFont="1" applyBorder="1" applyAlignment="1">
      <alignment horizontal="center"/>
    </xf>
    <xf numFmtId="166" fontId="116" fillId="0" borderId="0" xfId="1" applyFont="1" applyFill="1" applyAlignment="1">
      <alignment horizontal="center" vertical="center"/>
    </xf>
    <xf numFmtId="0" fontId="63" fillId="0" borderId="4" xfId="0" applyFont="1" applyBorder="1" applyAlignment="1">
      <alignment horizontal="left" vertical="center" wrapText="1"/>
    </xf>
    <xf numFmtId="0" fontId="63" fillId="0" borderId="6" xfId="0" applyFont="1" applyBorder="1" applyAlignment="1">
      <alignment horizontal="left" vertical="center" wrapText="1"/>
    </xf>
    <xf numFmtId="0" fontId="62" fillId="0" borderId="4" xfId="0" applyFont="1" applyBorder="1" applyAlignment="1">
      <alignment horizontal="left" vertical="center" wrapText="1"/>
    </xf>
    <xf numFmtId="0" fontId="62" fillId="0" borderId="6" xfId="0" applyFont="1" applyBorder="1" applyAlignment="1">
      <alignment horizontal="left" vertical="center" wrapText="1"/>
    </xf>
    <xf numFmtId="0" fontId="72" fillId="2" borderId="0" xfId="126" applyFont="1" applyFill="1" applyAlignment="1">
      <alignment horizontal="center" vertical="center"/>
    </xf>
    <xf numFmtId="187" fontId="63" fillId="2" borderId="0" xfId="126" applyNumberFormat="1" applyFont="1" applyFill="1" applyAlignment="1">
      <alignment horizontal="left" vertical="center"/>
    </xf>
    <xf numFmtId="0" fontId="62" fillId="2" borderId="50" xfId="183" applyFont="1" applyFill="1" applyBorder="1" applyAlignment="1">
      <alignment horizontal="center" vertical="center"/>
    </xf>
    <xf numFmtId="0" fontId="62" fillId="2" borderId="53" xfId="183" applyFont="1" applyFill="1" applyBorder="1" applyAlignment="1">
      <alignment horizontal="center" vertical="center"/>
    </xf>
    <xf numFmtId="176" fontId="62" fillId="0" borderId="76" xfId="183" applyNumberFormat="1" applyFont="1" applyBorder="1" applyAlignment="1">
      <alignment horizontal="left" vertical="center"/>
    </xf>
    <xf numFmtId="176" fontId="62" fillId="0" borderId="193" xfId="183" applyNumberFormat="1" applyFont="1" applyBorder="1" applyAlignment="1">
      <alignment horizontal="left" vertical="center"/>
    </xf>
    <xf numFmtId="183" fontId="62" fillId="2" borderId="50" xfId="183" applyNumberFormat="1" applyFont="1" applyFill="1" applyBorder="1" applyAlignment="1">
      <alignment horizontal="center" vertical="center"/>
    </xf>
    <xf numFmtId="183" fontId="62" fillId="2" borderId="53" xfId="183" applyNumberFormat="1" applyFont="1" applyFill="1" applyBorder="1" applyAlignment="1">
      <alignment horizontal="center" vertical="center"/>
    </xf>
    <xf numFmtId="0" fontId="119" fillId="0" borderId="0" xfId="114" applyFont="1" applyBorder="1" applyAlignment="1">
      <alignment horizontal="center" vertical="center"/>
    </xf>
    <xf numFmtId="0" fontId="63" fillId="0" borderId="0" xfId="114" applyFont="1" applyBorder="1" applyAlignment="1">
      <alignment horizontal="center"/>
    </xf>
    <xf numFmtId="0" fontId="63" fillId="0" borderId="0" xfId="114" applyFont="1" applyBorder="1" applyAlignment="1">
      <alignment horizontal="left"/>
    </xf>
    <xf numFmtId="9" fontId="63" fillId="0" borderId="0" xfId="114" applyNumberFormat="1" applyFont="1" applyBorder="1" applyAlignment="1">
      <alignment horizontal="left"/>
    </xf>
    <xf numFmtId="0" fontId="76" fillId="0" borderId="0" xfId="126" applyFont="1" applyFill="1" applyAlignment="1">
      <alignment horizontal="center" vertical="center"/>
    </xf>
    <xf numFmtId="187" fontId="63" fillId="0" borderId="0" xfId="182" applyNumberFormat="1" applyFont="1" applyFill="1" applyAlignment="1" applyProtection="1">
      <alignment horizontal="left" vertical="center"/>
    </xf>
    <xf numFmtId="0" fontId="62" fillId="0" borderId="50" xfId="183" applyFont="1" applyFill="1" applyBorder="1" applyAlignment="1">
      <alignment horizontal="center" vertical="center"/>
    </xf>
    <xf numFmtId="0" fontId="62" fillId="0" borderId="53" xfId="183" applyFont="1" applyFill="1" applyBorder="1" applyAlignment="1">
      <alignment horizontal="center" vertical="center"/>
    </xf>
    <xf numFmtId="176" fontId="62" fillId="0" borderId="50" xfId="183" applyNumberFormat="1" applyFont="1" applyFill="1" applyBorder="1" applyAlignment="1">
      <alignment horizontal="center" vertical="center"/>
    </xf>
    <xf numFmtId="176" fontId="62" fillId="0" borderId="53" xfId="183" applyNumberFormat="1" applyFont="1" applyFill="1" applyBorder="1" applyAlignment="1">
      <alignment horizontal="center" vertical="center"/>
    </xf>
    <xf numFmtId="183" fontId="62" fillId="0" borderId="50" xfId="183" applyNumberFormat="1" applyFont="1" applyFill="1" applyBorder="1" applyAlignment="1">
      <alignment horizontal="center" vertical="center"/>
    </xf>
    <xf numFmtId="183" fontId="62" fillId="0" borderId="53" xfId="183" applyNumberFormat="1" applyFont="1" applyFill="1" applyBorder="1" applyAlignment="1">
      <alignment horizontal="center" vertical="center"/>
    </xf>
    <xf numFmtId="0" fontId="63" fillId="0" borderId="0" xfId="182" applyFont="1" applyFill="1" applyAlignment="1" applyProtection="1">
      <alignment horizontal="left" wrapText="1"/>
    </xf>
    <xf numFmtId="176" fontId="62" fillId="0" borderId="80" xfId="126" applyNumberFormat="1" applyFont="1" applyFill="1" applyBorder="1" applyAlignment="1">
      <alignment horizontal="left" vertical="center"/>
    </xf>
    <xf numFmtId="176" fontId="62" fillId="0" borderId="81" xfId="126" applyNumberFormat="1" applyFont="1" applyFill="1" applyBorder="1" applyAlignment="1">
      <alignment horizontal="left" vertical="center"/>
    </xf>
    <xf numFmtId="176" fontId="62" fillId="0" borderId="99" xfId="126" applyNumberFormat="1" applyFont="1" applyFill="1" applyBorder="1" applyAlignment="1">
      <alignment horizontal="left" vertical="center"/>
    </xf>
    <xf numFmtId="187" fontId="85" fillId="0" borderId="0" xfId="182" applyNumberFormat="1" applyFont="1" applyFill="1" applyAlignment="1" applyProtection="1">
      <alignment horizontal="left" vertical="center"/>
    </xf>
    <xf numFmtId="0" fontId="107" fillId="0" borderId="50" xfId="183" applyFont="1" applyFill="1" applyBorder="1" applyAlignment="1">
      <alignment horizontal="center" vertical="center"/>
    </xf>
    <xf numFmtId="0" fontId="107" fillId="0" borderId="53" xfId="183" applyFont="1" applyFill="1" applyBorder="1" applyAlignment="1">
      <alignment horizontal="center" vertical="center"/>
    </xf>
    <xf numFmtId="176" fontId="107" fillId="0" borderId="50" xfId="183" applyNumberFormat="1" applyFont="1" applyFill="1" applyBorder="1" applyAlignment="1">
      <alignment horizontal="center" vertical="center"/>
    </xf>
    <xf numFmtId="176" fontId="107" fillId="0" borderId="53" xfId="183" applyNumberFormat="1" applyFont="1" applyFill="1" applyBorder="1" applyAlignment="1">
      <alignment horizontal="center" vertical="center"/>
    </xf>
    <xf numFmtId="183" fontId="107" fillId="0" borderId="50" xfId="183" applyNumberFormat="1" applyFont="1" applyFill="1" applyBorder="1" applyAlignment="1">
      <alignment horizontal="center" vertical="center"/>
    </xf>
    <xf numFmtId="183" fontId="107" fillId="0" borderId="53" xfId="183" applyNumberFormat="1" applyFont="1" applyFill="1" applyBorder="1" applyAlignment="1">
      <alignment horizontal="center" vertical="center"/>
    </xf>
    <xf numFmtId="176" fontId="107" fillId="0" borderId="80" xfId="126" applyNumberFormat="1" applyFont="1" applyFill="1" applyBorder="1" applyAlignment="1">
      <alignment horizontal="left" vertical="center"/>
    </xf>
    <xf numFmtId="176" fontId="107" fillId="0" borderId="81" xfId="126" applyNumberFormat="1" applyFont="1" applyFill="1" applyBorder="1" applyAlignment="1">
      <alignment horizontal="left" vertical="center"/>
    </xf>
    <xf numFmtId="176" fontId="107" fillId="0" borderId="99" xfId="126" applyNumberFormat="1" applyFont="1" applyFill="1" applyBorder="1" applyAlignment="1">
      <alignment horizontal="left" vertical="center"/>
    </xf>
    <xf numFmtId="0" fontId="107" fillId="0" borderId="80" xfId="126" applyFont="1" applyFill="1" applyBorder="1" applyAlignment="1">
      <alignment horizontal="right" vertical="center" indent="1"/>
    </xf>
    <xf numFmtId="0" fontId="107" fillId="0" borderId="81" xfId="126" applyFont="1" applyFill="1" applyBorder="1" applyAlignment="1">
      <alignment horizontal="right" vertical="center" indent="1"/>
    </xf>
    <xf numFmtId="0" fontId="107" fillId="0" borderId="99" xfId="126" applyFont="1" applyFill="1" applyBorder="1" applyAlignment="1">
      <alignment horizontal="right" vertical="center" indent="1"/>
    </xf>
    <xf numFmtId="0" fontId="108" fillId="0" borderId="0" xfId="177" applyFont="1" applyAlignment="1">
      <alignment horizontal="center" vertical="center"/>
    </xf>
    <xf numFmtId="39" fontId="68" fillId="0" borderId="0" xfId="177" applyNumberFormat="1" applyFont="1" applyAlignment="1">
      <alignment horizontal="center" vertical="center"/>
    </xf>
    <xf numFmtId="0" fontId="68" fillId="0" borderId="0" xfId="177" applyFont="1" applyAlignment="1">
      <alignment horizontal="center" vertical="center"/>
    </xf>
    <xf numFmtId="39" fontId="68" fillId="0" borderId="0" xfId="177" applyNumberFormat="1" applyFont="1" applyBorder="1" applyAlignment="1">
      <alignment horizontal="center" vertical="center"/>
    </xf>
    <xf numFmtId="0" fontId="68" fillId="0" borderId="0" xfId="177" applyFont="1" applyBorder="1" applyAlignment="1">
      <alignment horizontal="center" vertical="center"/>
    </xf>
    <xf numFmtId="3" fontId="111" fillId="0" borderId="50" xfId="42" applyNumberFormat="1" applyFont="1" applyFill="1" applyBorder="1" applyAlignment="1">
      <alignment horizontal="center" vertical="center"/>
    </xf>
    <xf numFmtId="0" fontId="68" fillId="0" borderId="79" xfId="0" applyFont="1" applyBorder="1" applyAlignment="1">
      <alignment horizontal="center" vertical="center"/>
    </xf>
    <xf numFmtId="0" fontId="69" fillId="0" borderId="76" xfId="179" applyFont="1" applyFill="1" applyBorder="1" applyAlignment="1">
      <alignment horizontal="center" vertical="center"/>
    </xf>
    <xf numFmtId="0" fontId="69" fillId="0" borderId="137" xfId="0" applyFont="1" applyFill="1" applyBorder="1" applyAlignment="1">
      <alignment horizontal="center" vertical="center"/>
    </xf>
    <xf numFmtId="0" fontId="69" fillId="0" borderId="51" xfId="0" applyFont="1" applyFill="1" applyBorder="1" applyAlignment="1">
      <alignment horizontal="center" vertical="center"/>
    </xf>
    <xf numFmtId="0" fontId="69" fillId="0" borderId="33" xfId="0" applyFont="1" applyFill="1" applyBorder="1" applyAlignment="1">
      <alignment horizontal="center" vertical="center"/>
    </xf>
    <xf numFmtId="0" fontId="69" fillId="0" borderId="0" xfId="0" applyFont="1" applyFill="1" applyBorder="1" applyAlignment="1">
      <alignment horizontal="center" vertical="center"/>
    </xf>
    <xf numFmtId="0" fontId="69" fillId="0" borderId="136" xfId="0" applyFont="1" applyFill="1" applyBorder="1" applyAlignment="1">
      <alignment horizontal="center" vertical="center"/>
    </xf>
    <xf numFmtId="0" fontId="69" fillId="0" borderId="78" xfId="0" applyFont="1" applyFill="1" applyBorder="1" applyAlignment="1">
      <alignment horizontal="center" vertical="center"/>
    </xf>
    <xf numFmtId="0" fontId="69" fillId="0" borderId="82" xfId="0" applyFont="1" applyFill="1" applyBorder="1" applyAlignment="1">
      <alignment horizontal="center" vertical="center"/>
    </xf>
    <xf numFmtId="0" fontId="69" fillId="0" borderId="135" xfId="0" applyFont="1" applyFill="1" applyBorder="1" applyAlignment="1">
      <alignment horizontal="center" vertical="center"/>
    </xf>
    <xf numFmtId="39" fontId="69" fillId="0" borderId="0" xfId="179" applyNumberFormat="1" applyFont="1" applyFill="1" applyBorder="1" applyAlignment="1">
      <alignment horizontal="center" vertical="center" wrapText="1"/>
    </xf>
    <xf numFmtId="0" fontId="69" fillId="0" borderId="0" xfId="0" applyFont="1" applyFill="1" applyBorder="1" applyAlignment="1">
      <alignment horizontal="center" vertical="center" wrapText="1"/>
    </xf>
    <xf numFmtId="0" fontId="68" fillId="0" borderId="0" xfId="0" applyFont="1"/>
  </cellXfs>
  <cellStyles count="196">
    <cellStyle name="Comma" xfId="1" builtinId="3"/>
    <cellStyle name="Comma [0]" xfId="2" builtinId="6"/>
    <cellStyle name="Comma [0] 10" xfId="3"/>
    <cellStyle name="Comma [0] 11" xfId="4"/>
    <cellStyle name="Comma [0] 12" xfId="5"/>
    <cellStyle name="Comma [0] 13" xfId="6"/>
    <cellStyle name="Comma [0] 13 3" xfId="7"/>
    <cellStyle name="Comma [0] 14" xfId="8"/>
    <cellStyle name="Comma [0] 15" xfId="9"/>
    <cellStyle name="Comma [0] 2" xfId="10"/>
    <cellStyle name="Comma [0] 2 2" xfId="11"/>
    <cellStyle name="Comma [0] 2 2 2" xfId="12"/>
    <cellStyle name="Comma [0] 2 3" xfId="13"/>
    <cellStyle name="Comma [0] 2 4" xfId="14"/>
    <cellStyle name="Comma [0] 2 5" xfId="15"/>
    <cellStyle name="Comma [0] 2 6" xfId="16"/>
    <cellStyle name="Comma [0] 2 7" xfId="17"/>
    <cellStyle name="Comma [0] 2 8" xfId="18"/>
    <cellStyle name="Comma [0] 2 9" xfId="19"/>
    <cellStyle name="Comma [0] 20 6" xfId="20"/>
    <cellStyle name="Comma [0] 3" xfId="21"/>
    <cellStyle name="Comma [0] 3 2" xfId="22"/>
    <cellStyle name="Comma [0] 4" xfId="23"/>
    <cellStyle name="Comma [0] 4 2" xfId="24"/>
    <cellStyle name="Comma [0] 4 3" xfId="25"/>
    <cellStyle name="Comma [0] 4 3 2" xfId="26"/>
    <cellStyle name="Comma [0] 4 3 2 2" xfId="27"/>
    <cellStyle name="Comma [0] 4 3 2 3" xfId="28"/>
    <cellStyle name="Comma [0] 4 3 3" xfId="29"/>
    <cellStyle name="Comma [0] 4 3 4" xfId="30"/>
    <cellStyle name="Comma [0] 5" xfId="31"/>
    <cellStyle name="Comma [0] 5 2" xfId="32"/>
    <cellStyle name="Comma [0] 5 3" xfId="33"/>
    <cellStyle name="Comma [0] 6" xfId="34"/>
    <cellStyle name="Comma [0] 6 2" xfId="35"/>
    <cellStyle name="Comma [0] 6 3" xfId="36"/>
    <cellStyle name="Comma [0] 7" xfId="37"/>
    <cellStyle name="Comma [0] 7 2" xfId="38"/>
    <cellStyle name="Comma [0] 7 3" xfId="193"/>
    <cellStyle name="Comma [0] 8" xfId="39"/>
    <cellStyle name="Comma [0] 9" xfId="40"/>
    <cellStyle name="Comma [0] 9 2" xfId="41"/>
    <cellStyle name="Comma 10" xfId="42"/>
    <cellStyle name="Comma 10 2" xfId="43"/>
    <cellStyle name="Comma 11" xfId="44"/>
    <cellStyle name="Comma 12" xfId="45"/>
    <cellStyle name="Comma 13" xfId="46"/>
    <cellStyle name="Comma 14" xfId="47"/>
    <cellStyle name="Comma 15" xfId="48"/>
    <cellStyle name="Comma 16" xfId="49"/>
    <cellStyle name="Comma 16 2" xfId="50"/>
    <cellStyle name="Comma 16 3" xfId="51"/>
    <cellStyle name="Comma 17" xfId="52"/>
    <cellStyle name="Comma 17 2" xfId="53"/>
    <cellStyle name="Comma 17 3" xfId="54"/>
    <cellStyle name="Comma 18" xfId="55"/>
    <cellStyle name="Comma 18 2" xfId="56"/>
    <cellStyle name="Comma 18 3" xfId="57"/>
    <cellStyle name="Comma 19" xfId="58"/>
    <cellStyle name="Comma 19 2" xfId="59"/>
    <cellStyle name="Comma 19 3" xfId="60"/>
    <cellStyle name="Comma 2" xfId="61"/>
    <cellStyle name="Comma 2 10" xfId="62"/>
    <cellStyle name="Comma 2 2" xfId="63"/>
    <cellStyle name="Comma 2 2 10" xfId="64"/>
    <cellStyle name="Comma 2 2 2" xfId="65"/>
    <cellStyle name="Comma 2 20" xfId="66"/>
    <cellStyle name="Comma 2 20 2" xfId="192"/>
    <cellStyle name="Comma 2 3" xfId="67"/>
    <cellStyle name="Comma 2 4" xfId="68"/>
    <cellStyle name="Comma 2 5" xfId="69"/>
    <cellStyle name="Comma 2 6" xfId="70"/>
    <cellStyle name="Comma 2 7" xfId="71"/>
    <cellStyle name="Comma 2 8" xfId="72"/>
    <cellStyle name="Comma 2 9" xfId="73"/>
    <cellStyle name="Comma 20" xfId="74"/>
    <cellStyle name="Comma 20 2" xfId="75"/>
    <cellStyle name="Comma 20 3" xfId="76"/>
    <cellStyle name="Comma 21" xfId="77"/>
    <cellStyle name="Comma 21 2" xfId="78"/>
    <cellStyle name="Comma 21 3" xfId="79"/>
    <cellStyle name="Comma 22" xfId="80"/>
    <cellStyle name="Comma 22 2" xfId="191"/>
    <cellStyle name="Comma 23" xfId="81"/>
    <cellStyle name="Comma 24" xfId="82"/>
    <cellStyle name="Comma 25" xfId="83"/>
    <cellStyle name="Comma 26" xfId="194"/>
    <cellStyle name="Comma 3" xfId="84"/>
    <cellStyle name="Comma 3 2" xfId="85"/>
    <cellStyle name="Comma 3 2 2" xfId="86"/>
    <cellStyle name="Comma 4" xfId="87"/>
    <cellStyle name="Comma 4 2" xfId="88"/>
    <cellStyle name="Comma 4 3" xfId="89"/>
    <cellStyle name="Comma 4 3 2" xfId="90"/>
    <cellStyle name="Comma 4 3 2 2" xfId="91"/>
    <cellStyle name="Comma 4 3 2 3" xfId="92"/>
    <cellStyle name="Comma 4 3 3" xfId="93"/>
    <cellStyle name="Comma 4 3 4" xfId="94"/>
    <cellStyle name="Comma 45 2" xfId="95"/>
    <cellStyle name="Comma 5" xfId="96"/>
    <cellStyle name="Comma 5 2" xfId="97"/>
    <cellStyle name="Comma 5 3" xfId="98"/>
    <cellStyle name="Comma 6" xfId="99"/>
    <cellStyle name="Comma 6 2" xfId="100"/>
    <cellStyle name="Comma 6 3" xfId="101"/>
    <cellStyle name="Comma 7" xfId="102"/>
    <cellStyle name="Comma 8" xfId="103"/>
    <cellStyle name="Comma 9" xfId="104"/>
    <cellStyle name="Comma0" xfId="105"/>
    <cellStyle name="Currency [0] 2" xfId="106"/>
    <cellStyle name="Currency0" xfId="107"/>
    <cellStyle name="Date" xfId="108"/>
    <cellStyle name="Fixed" xfId="109"/>
    <cellStyle name="Hyperlink" xfId="110" builtinId="8"/>
    <cellStyle name="Hyperlink 2" xfId="111"/>
    <cellStyle name="Hyperlink 3" xfId="112"/>
    <cellStyle name="Hyperlink 4" xfId="113"/>
    <cellStyle name="Normal" xfId="0" builtinId="0"/>
    <cellStyle name="Normal 10" xfId="114"/>
    <cellStyle name="Normal 11" xfId="115"/>
    <cellStyle name="Normal 12" xfId="116"/>
    <cellStyle name="Normal 13" xfId="117"/>
    <cellStyle name="Normal 14" xfId="118"/>
    <cellStyle name="Normal 14 4" xfId="119"/>
    <cellStyle name="Normal 15" xfId="120"/>
    <cellStyle name="Normal 16" xfId="121"/>
    <cellStyle name="Normal 16 2" xfId="122"/>
    <cellStyle name="Normal 17" xfId="123"/>
    <cellStyle name="Normal 2" xfId="124"/>
    <cellStyle name="Normal 2 10" xfId="125"/>
    <cellStyle name="Normal 2 10 2" xfId="126"/>
    <cellStyle name="Normal 2 11" xfId="127"/>
    <cellStyle name="Normal 2 12" xfId="128"/>
    <cellStyle name="Normal 2 2" xfId="129"/>
    <cellStyle name="Normal 2 2 10" xfId="130"/>
    <cellStyle name="Normal 2 2 11" xfId="131"/>
    <cellStyle name="Normal 2 2 2" xfId="132"/>
    <cellStyle name="Normal 2 2 3" xfId="133"/>
    <cellStyle name="Normal 2 2 4" xfId="134"/>
    <cellStyle name="Normal 2 2 5" xfId="135"/>
    <cellStyle name="Normal 2 2 6" xfId="136"/>
    <cellStyle name="Normal 2 2 7" xfId="137"/>
    <cellStyle name="Normal 2 2 8" xfId="138"/>
    <cellStyle name="Normal 2 2 9" xfId="139"/>
    <cellStyle name="Normal 2 20" xfId="140"/>
    <cellStyle name="Normal 2 3" xfId="141"/>
    <cellStyle name="Normal 2 4" xfId="142"/>
    <cellStyle name="Normal 2 4 2" xfId="143"/>
    <cellStyle name="Normal 2 5" xfId="144"/>
    <cellStyle name="Normal 2 6" xfId="145"/>
    <cellStyle name="Normal 2 7" xfId="146"/>
    <cellStyle name="Normal 2 8" xfId="147"/>
    <cellStyle name="Normal 2 9" xfId="148"/>
    <cellStyle name="Normal 3" xfId="149"/>
    <cellStyle name="Normal 3 2" xfId="150"/>
    <cellStyle name="Normal 3 2 2" xfId="151"/>
    <cellStyle name="Normal 3 2 2 2" xfId="152"/>
    <cellStyle name="Normal 3 3" xfId="153"/>
    <cellStyle name="Normal 3 4" xfId="154"/>
    <cellStyle name="Normal 3 4 3" xfId="155"/>
    <cellStyle name="Normal 4" xfId="156"/>
    <cellStyle name="Normal 4 2" xfId="157"/>
    <cellStyle name="Normal 4 3" xfId="158"/>
    <cellStyle name="Normal 47" xfId="159"/>
    <cellStyle name="Normal 5" xfId="160"/>
    <cellStyle name="Normal 5 2" xfId="161"/>
    <cellStyle name="Normal 5 3" xfId="162"/>
    <cellStyle name="Normal 6" xfId="163"/>
    <cellStyle name="Normal 6 2" xfId="164"/>
    <cellStyle name="Normal 6 3" xfId="165"/>
    <cellStyle name="Normal 7" xfId="166"/>
    <cellStyle name="Normal 7 2" xfId="167"/>
    <cellStyle name="Normal 7 3" xfId="168"/>
    <cellStyle name="Normal 8" xfId="169"/>
    <cellStyle name="Normal 8 2" xfId="170"/>
    <cellStyle name="Normal 83 2" xfId="171"/>
    <cellStyle name="Normal 9" xfId="172"/>
    <cellStyle name="Normal 9 2" xfId="195"/>
    <cellStyle name="Normal_3-DIV2" xfId="173"/>
    <cellStyle name="Normal_3-DIV3" xfId="174"/>
    <cellStyle name="Normal_3-DIV5" xfId="175"/>
    <cellStyle name="Normal_3-DIV6" xfId="176"/>
    <cellStyle name="Normal_3-DIV7" xfId="177"/>
    <cellStyle name="Normal_3-DIV7(1)" xfId="178"/>
    <cellStyle name="Normal_5-ALAT" xfId="179"/>
    <cellStyle name="Normal_Basic Price-Bendo 2 2" xfId="180"/>
    <cellStyle name="Normal_B-Coffering-KB 2 2" xfId="181"/>
    <cellStyle name="Normal_B-PekSngi 2" xfId="182"/>
    <cellStyle name="Normal_C-Tnh-KB" xfId="183"/>
    <cellStyle name="Normal_Mushalla 8 x 8" xfId="184"/>
    <cellStyle name="Normal_SDN Halat" xfId="185"/>
    <cellStyle name="Percent" xfId="186" builtinId="5"/>
    <cellStyle name="Percent 2" xfId="187"/>
    <cellStyle name="Percent 2 2" xfId="188"/>
    <cellStyle name="Percent 3" xfId="189"/>
    <cellStyle name="Percent 4" xfId="190"/>
  </cellStyles>
  <dxfs count="19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8.xml"/><Relationship Id="rId42" Type="http://schemas.openxmlformats.org/officeDocument/2006/relationships/externalLink" Target="externalLinks/externalLink16.xml"/><Relationship Id="rId47" Type="http://schemas.openxmlformats.org/officeDocument/2006/relationships/externalLink" Target="externalLinks/externalLink21.xml"/><Relationship Id="rId50" Type="http://schemas.openxmlformats.org/officeDocument/2006/relationships/externalLink" Target="externalLinks/externalLink24.xml"/><Relationship Id="rId55" Type="http://schemas.openxmlformats.org/officeDocument/2006/relationships/externalLink" Target="externalLinks/externalLink29.xml"/><Relationship Id="rId63" Type="http://schemas.openxmlformats.org/officeDocument/2006/relationships/externalLink" Target="externalLinks/externalLink37.xml"/><Relationship Id="rId68" Type="http://schemas.openxmlformats.org/officeDocument/2006/relationships/externalLink" Target="externalLinks/externalLink42.xml"/><Relationship Id="rId76" Type="http://schemas.openxmlformats.org/officeDocument/2006/relationships/externalLink" Target="externalLinks/externalLink50.xml"/><Relationship Id="rId84" Type="http://schemas.openxmlformats.org/officeDocument/2006/relationships/externalLink" Target="externalLinks/externalLink58.xml"/><Relationship Id="rId89" Type="http://schemas.openxmlformats.org/officeDocument/2006/relationships/externalLink" Target="externalLinks/externalLink6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5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3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externalLink" Target="externalLinks/externalLink11.xml"/><Relationship Id="rId40" Type="http://schemas.openxmlformats.org/officeDocument/2006/relationships/externalLink" Target="externalLinks/externalLink14.xml"/><Relationship Id="rId45" Type="http://schemas.openxmlformats.org/officeDocument/2006/relationships/externalLink" Target="externalLinks/externalLink19.xml"/><Relationship Id="rId53" Type="http://schemas.openxmlformats.org/officeDocument/2006/relationships/externalLink" Target="externalLinks/externalLink27.xml"/><Relationship Id="rId58" Type="http://schemas.openxmlformats.org/officeDocument/2006/relationships/externalLink" Target="externalLinks/externalLink32.xml"/><Relationship Id="rId66" Type="http://schemas.openxmlformats.org/officeDocument/2006/relationships/externalLink" Target="externalLinks/externalLink40.xml"/><Relationship Id="rId74" Type="http://schemas.openxmlformats.org/officeDocument/2006/relationships/externalLink" Target="externalLinks/externalLink48.xml"/><Relationship Id="rId79" Type="http://schemas.openxmlformats.org/officeDocument/2006/relationships/externalLink" Target="externalLinks/externalLink53.xml"/><Relationship Id="rId87" Type="http://schemas.openxmlformats.org/officeDocument/2006/relationships/externalLink" Target="externalLinks/externalLink6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35.xml"/><Relationship Id="rId82" Type="http://schemas.openxmlformats.org/officeDocument/2006/relationships/externalLink" Target="externalLinks/externalLink56.xml"/><Relationship Id="rId90" Type="http://schemas.openxmlformats.org/officeDocument/2006/relationships/externalLink" Target="externalLinks/externalLink64.xml"/><Relationship Id="rId95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externalLink" Target="externalLinks/externalLink9.xml"/><Relationship Id="rId43" Type="http://schemas.openxmlformats.org/officeDocument/2006/relationships/externalLink" Target="externalLinks/externalLink17.xml"/><Relationship Id="rId48" Type="http://schemas.openxmlformats.org/officeDocument/2006/relationships/externalLink" Target="externalLinks/externalLink22.xml"/><Relationship Id="rId56" Type="http://schemas.openxmlformats.org/officeDocument/2006/relationships/externalLink" Target="externalLinks/externalLink30.xml"/><Relationship Id="rId64" Type="http://schemas.openxmlformats.org/officeDocument/2006/relationships/externalLink" Target="externalLinks/externalLink38.xml"/><Relationship Id="rId69" Type="http://schemas.openxmlformats.org/officeDocument/2006/relationships/externalLink" Target="externalLinks/externalLink43.xml"/><Relationship Id="rId77" Type="http://schemas.openxmlformats.org/officeDocument/2006/relationships/externalLink" Target="externalLinks/externalLink5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5.xml"/><Relationship Id="rId72" Type="http://schemas.openxmlformats.org/officeDocument/2006/relationships/externalLink" Target="externalLinks/externalLink46.xml"/><Relationship Id="rId80" Type="http://schemas.openxmlformats.org/officeDocument/2006/relationships/externalLink" Target="externalLinks/externalLink54.xml"/><Relationship Id="rId85" Type="http://schemas.openxmlformats.org/officeDocument/2006/relationships/externalLink" Target="externalLinks/externalLink59.xml"/><Relationship Id="rId93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externalLink" Target="externalLinks/externalLink12.xml"/><Relationship Id="rId46" Type="http://schemas.openxmlformats.org/officeDocument/2006/relationships/externalLink" Target="externalLinks/externalLink20.xml"/><Relationship Id="rId59" Type="http://schemas.openxmlformats.org/officeDocument/2006/relationships/externalLink" Target="externalLinks/externalLink33.xml"/><Relationship Id="rId67" Type="http://schemas.openxmlformats.org/officeDocument/2006/relationships/externalLink" Target="externalLinks/externalLink4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5.xml"/><Relationship Id="rId54" Type="http://schemas.openxmlformats.org/officeDocument/2006/relationships/externalLink" Target="externalLinks/externalLink28.xml"/><Relationship Id="rId62" Type="http://schemas.openxmlformats.org/officeDocument/2006/relationships/externalLink" Target="externalLinks/externalLink36.xml"/><Relationship Id="rId70" Type="http://schemas.openxmlformats.org/officeDocument/2006/relationships/externalLink" Target="externalLinks/externalLink44.xml"/><Relationship Id="rId75" Type="http://schemas.openxmlformats.org/officeDocument/2006/relationships/externalLink" Target="externalLinks/externalLink49.xml"/><Relationship Id="rId83" Type="http://schemas.openxmlformats.org/officeDocument/2006/relationships/externalLink" Target="externalLinks/externalLink57.xml"/><Relationship Id="rId88" Type="http://schemas.openxmlformats.org/officeDocument/2006/relationships/externalLink" Target="externalLinks/externalLink62.xml"/><Relationship Id="rId91" Type="http://schemas.openxmlformats.org/officeDocument/2006/relationships/externalLink" Target="externalLinks/externalLink6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externalLink" Target="externalLinks/externalLink10.xml"/><Relationship Id="rId49" Type="http://schemas.openxmlformats.org/officeDocument/2006/relationships/externalLink" Target="externalLinks/externalLink23.xml"/><Relationship Id="rId57" Type="http://schemas.openxmlformats.org/officeDocument/2006/relationships/externalLink" Target="externalLinks/externalLink3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5.xml"/><Relationship Id="rId44" Type="http://schemas.openxmlformats.org/officeDocument/2006/relationships/externalLink" Target="externalLinks/externalLink18.xml"/><Relationship Id="rId52" Type="http://schemas.openxmlformats.org/officeDocument/2006/relationships/externalLink" Target="externalLinks/externalLink26.xml"/><Relationship Id="rId60" Type="http://schemas.openxmlformats.org/officeDocument/2006/relationships/externalLink" Target="externalLinks/externalLink34.xml"/><Relationship Id="rId65" Type="http://schemas.openxmlformats.org/officeDocument/2006/relationships/externalLink" Target="externalLinks/externalLink39.xml"/><Relationship Id="rId73" Type="http://schemas.openxmlformats.org/officeDocument/2006/relationships/externalLink" Target="externalLinks/externalLink47.xml"/><Relationship Id="rId78" Type="http://schemas.openxmlformats.org/officeDocument/2006/relationships/externalLink" Target="externalLinks/externalLink52.xml"/><Relationship Id="rId81" Type="http://schemas.openxmlformats.org/officeDocument/2006/relationships/externalLink" Target="externalLinks/externalLink55.xml"/><Relationship Id="rId86" Type="http://schemas.openxmlformats.org/officeDocument/2006/relationships/externalLink" Target="externalLinks/externalLink60.xml"/><Relationship Id="rId9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KEGIATAN\G%20A%20M%20B%20A%20R\BM%20DAK%2009\BQ%20JLN.%20Guhang-Cotmane%20awal\1-BOQ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Startup" Target="DATA%20AYAH/KANTOR/Pengadaan/Konstruksi/LAND%20CLEARING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ll_data\OE-EE\1-BOQ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AldhO\Kuala\Pemel.%20Periodik\RAB%20Pd%20Cermi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AldhO\Kuala\Pemel.%20Periodik\Gajah%20-%20Dogang%20Segmen%20I%20minta%20TOLONG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KERJA/PROJECT%20EKS/KANTOR%20KEUANGAN%20BANDA%20ACEH/P-L/oke/REvisi%201707-OKE/ADM/BRR%20M-2/Revetment%20Kr.%20Manee%20(TDR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bid%20fisik\DRAF_RAPBD_2004\HASIL%20PEMBAHASAN%20DPRD1\Ded%20from%20Comp%20P450\DRUP\PEMELIHARAAN\Rab-MP%201REVI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bid%20fisik\DRAF_RAPBD_2004\HASIL%20PEMBAHASAN%20DPRD1\MP\wiranta\rab-mp%20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bid%20fisik\DRAF_RAPBD_2004\HASIL%20PEMBAHASAN%20DPRD1\My%20Documents\Ded%20from%20Comp%20P450\DRUP\ALU%20PUNTI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%20THN%202012/DISTARUKIM%20SERGAI/MTQ%20SERGAI/RENCANA%20MTQ/MTQ%20SERGAI%20(%20FIX%20)/RENC.%20MTQ%20TERAKHIR/PRODUK%20PERENC.%20MTQ%202012/LENNY/KUALA%20NAMU/Paket%206B/Folder%20Work/happy@cc.com/My%20Documents/www.data_ambo.com/eskalasi/Price%20Adjustment/Summary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INDRA/Yg%20ini%20Terbaru%20!%20Jgn%20Diganti%20Lagi/CV.Tri%20Karya%20Persada%20Konsultan/Lima%20Puluh/RAB%20Jalan/01.Simp.Gambus-Kedai%20Sianam-xx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US/Downloads/KEGIATAN/G%20A%20M%20B%20A%20R/BM%20DAK%2009/BQ%20JLN.%20Guhang-Cotmane%20awal/1-BOQ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EDY/GEDUNG%20GSG%20TAHAP%20VII/SKEDUL/happy@cc.com/My%20Documents/www.data_ambo.com/eskalasi/MCF-2/Peride%20I%20sd%20Juli%202001/ALMFE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KERJA/PROJECT%20EKS/KANTOR%20KEUANGAN%20BANDA%20ACEH/tender-dec/3-DIV1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KERJA/PROJECT%20EKS/KANTOR%20KEUANGAN%20BANDA%20ACEH/tender-dec/Documents%20and%20Settings/Ir.%20T.%20Faisal%20Lizam/My%20Documents/DATA/R%20A%20B/RAB%20BINA%20MARGA%202004/Penawaran%2007-a%20Pri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AldhO\Kuala\Pemel.%20Periodik\EE-Pd%20Cermin-I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CEK%20LEEEEEM/FORMAT%20RAB%20PNPM-PPK%20SEUNAGAN%202007/A.PAYA%20UNDAN/Poelkerja/RAB%20Coll/RAB%20GOR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CEK%20LEEEEEM/FORMAT%20RAB%20PNPM-PPK%20SEUNAGAN%202007/A.PAYA%20UNDAN/MOLANA/Donyaaa/OWEN/R%20M%2006/cv%20TIGA%20SAUDARApakai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KERJA/PROJECT%20EKS/KANTOR%20KEUANGAN%20BANDA%20ACEH/P-L/oke/REvisi%201707-OKE/ADM/DATA%20-2%20PENGAIRAN/PROYEK%20T.A%202003/ABT%202003/Usulan%20Bronjong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EDY/GEDUNG%20GSG%20TAHAP%20VII/SKEDUL/THOMS@DM%20TEK.COM/COST%20ADJUSTMENT/OK%20MFC-2/UP10%20olah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PROYEK/Ancol/Opname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KERJA/PROJECT%20EKS/KANTOR%20KEUANGAN%20BANDA%20ACEH/P-L/oke/REvisi%201707-OKE/ADM/BRR%20M-1/TOGAR%20SIAHAAN/TANGGUL%20ASIN%20KR%20DOY/BEUKEN%20kr%20doy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INDRA/Data%20Indra/ALT-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CEK%20LEEEEEM/FORMAT%20RAB%20PNPM-PPK%20SEUNAGAN%202007/A.PAYA%20UNDAN/Poelkerja/RAB%20Coll/Rab%20UGD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DINAS\My%20Documents\BAIHAKI\BINA%20MARGA\DASK-DAK%20200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My%20Documents/Benk2/RAB/SAB/DAK/DAK%20-%20JASARI/Kantor%20bupati%20Final%20OK%20Bange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YEK%20(CAIL)/DIKNAS%202007-%20REVISI%20FINAL%20!!/CINCAI-CINCAI/Pertanggal%2026-12-07%20Final%20OK%20!/SIBAGINDAR/Puramot%20Jaya%20-0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Startup" Target="Documents%20and%20Settings/MP/My%20Documents/TANGGUL%20ASIN%20ULHELHUE/BEUKEN%20ULHE%20LHUE%20fina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KERJA/PROJECT%20EKS/KANTOR%20KEUANGAN%20BANDA%20ACEH/tender-dec/My%20Documents/DATA/R%20A%20B/RAB%20BINA%20MARGA%202004/Penawaran%20VI.3%20Prin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bid%20fisik\DRAF_RAPBD_2004\HASIL%20PEMBAHASAN%20DPRD1\DATA\DED%20T.A%202001\ANALISA%20DED%202001\ANALISA%20%202001.PEDOMAN%20RAB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Startup" Target="My%20Documents/BIDANG%20PENGAIRAN/A.%20Firdaus/RAB%20DAK%20200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CEK%20LEEEEEM/FORMAT%20RAB%20PNPM-PPK%20SEUNAGAN%202007/A.PAYA%20UNDAN/My%20Documents/dayah/RAB%20DAYAH%20OKE/JOB%202003/My%20Documents/terminal%20grong-grong/Porda%20Revisi/PORDA%20(Baro%20Raya)/Jalan%20masuk%20lap%20tenis%20baro%20ray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KERJAAN%20Q/2015/DAK%20LANGKAT/RAB/all/HARGA%20BAHA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US/Downloads/INDRA/Data%20Indra/ALT-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OSHIBA/My%20Documents/RAB%20TERMINAL%20-%20ARIF110107/Arif-Revisi%20Volume%20(%20Tipe%20A%20)/Review%20Tipe%20A%20-Banda%20Aceh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Startup" Target="BANDA%20ACEH%20JOB/RAB%20REVETMENT%20KUALA%20CANGKOI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EDY/GEDUNG%20GSG%20TAHAP%20VII/SKEDUL/Folder%20Work/happy@cc.com/My%20Documents/www.data_ambo.com/eskalasi/Price%20Adjustment/Summary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tona\Langkat\Desain\Jembatan\Wil.%20Langkat%20Hilir\Kec.%20Secanggang\Desa%20Sei%20Ular\EE-Desa%20sei%20ular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02-PERENCANAAN/KELURAHAN%20PAROMBUNAN/GOR%20PAROMBUNAN/2007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PROYEK%20P&amp;P/Adm%20Proyek%20P&amp;P/PROG.%20ANALISA/ANALISA%20WIN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Startup" Target="My%20Documents/BIDANG%20PENGAIRAN/A.%20Firdaus/ANALISA%20&amp;%20UPAH%20DAK%202003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KERJA/PROJECT%20EKS/KANTOR%20KEUANGAN%20BANDA%20ACEH/tender-dec/medan/NATAL%202005%20FINAL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KERJA/PROJECT%20EKS/KANTOR%20KEUANGAN%20BANDA%20ACEH/BEUKEN%20UTAMA/BEUKEN/KUALA%20KIRAN/MC-%20100%20KUALA%20KIRAN/BEUKEN%20UTAMA/tender-dec/My%20Documents/DATA/R%20A%20B/RAB%20BINA%20MARGA%202004/Penawaran%20VI.3%20Prin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KERJA/PROJECT%20EKS/KANTOR%20KEUANGAN%20BANDA%20ACEH/Schedule%20BANG%20-%2002%20B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INDRA/Data%20Indra/KABUPATEN%20BATUBARA/KEC.%20TALAWI/KEC.%20TALAWIKONTRUKSI%20JEMBATAN%20&amp;%20TEMBOK%20PENAHA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microsoft.com/office/2006/relationships/xlExternalLinkPath/xlStartup" Target="BRR%20M-1/TOGAR%20SIAHAAN/REVETMENT%20PANTAK%20SARI/PERDANA%20%20MANTAK%20SARI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EDY/GEDUNG%20GSG%20TAHAP%20VII/SKEDUL/Documents%20and%20Settings/Indra%20007/My%20Documents/UP10%20olah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udio-8b5dcf37\penawaran%20project\M@rk's\PERKERASAN\KISTIM%20JAHE\KISTIM%20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udio-8b5dcf37\DATA%20(D)\M@rk's\PERKERASAN\KISTIM%20JAHE\KISTIM%201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KERJA/PROJECT%20EKS/KANTOR%20KEUANGAN%20BANDA%20ACEH/tender-dec/NATAL%202005T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DJUSTMENT/COST%20ADJUSTMENT%20FOR%20APRIL%2021,%202004%20UP%20TO%20OCTOBER%2020,2004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KERJA/PROJECT%20EKS/KANTOR%20KEUANGAN%20BANDA%20ACEH/P-L/oke/REvisi%201707-OKE/ADM/DATA%20-2%20PENGAIRAN/PROYEK%20T.A%202004/DOKUMEN%20TENDER%20TA.%202004/PASCA%20KUALIFIKASI/DRAINASE/Kontrak%20(AIR-3)/RAB%20(AIR-3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INDRA/Data%20Indra/KABUPATEN%20BATUBARA/KEC.%20TALAWI/SIBOLGA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Data\Kantor\Pengadaan\LGS-01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%20THN%202012/DISTARUKIM%20SERGAI/MTQ%20SERGAI/RENCANA%20MTQ/MTQ%20SERGAI%20(%20FIX%20)/RENC.%20MTQ%20TERAKHIR/PRODUK%20PERENC.%20MTQ%202012/BLPIDIE/PNPM/DOCUME~1/COM02/LOCALS~1/Temp/TYPE%20250/R%20A%20B%20TYPE%20250%20m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US/Downloads/INDRA/Data%20Indra/KABUPATEN%20BATUBARA/KEC.%20TALAWI/KEC.%20TALAWIKONTRUKSI%20JEMBATAN%20&amp;%20TEMBOK%20PENAHAN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2019/HENRI%20WIJAYA/MESS-KELAUTAN/ded/RAB%20MESS%20-%20BENTA%204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RAB%20Embung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RAWAT%20INAP%20SERGAI/ME%20RAWAT%20INAP%20SERGAI%20FIX/ME%20-%20RAWAT%20INAP%20NEW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BPC-1/DIKNAS%20PROVSU/DIKNAS%202017/2.%20DIKNAS%20SMA/ANGGARAN%20DAK/DAK%20SMA%20-%20LAB/RAB%20DAK%20-%20LAB%20SMA/asahan%20-%20LAB%20SMAN%201%20BP%20MANDOGE%20-%20kimia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2021/asrama%20psp/produk/dammi/RAB%20ME%20MES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KERJA/PROJECT%20EKS/KANTOR%20KEUANGAN%20BANDA%20ACEH/Analisa%20Tiang%20Pancang%20dengan%20HSDP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KERJA/PROJECT%20EKS/KANTOR%20KEUANGAN%20BANDA%20ACEH/Paket%202010/PU/AMRIZAL/3.%20Tapak%20Tuan%203%20Paket/3.%20Pakaet%20Tapak%20Tuan/I.%20PT.%20Takabea%20Reshi%20Consulindo/EE%20Takabea%20Reshi%20Consulind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bid%20fisik\DRAF_RAPBD_2004\HASIL%20PEMBAHASAN%20DPRD1\DASK%20DIKJA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C\PRICE%20ADJUSTMENT%20MFC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antitas &amp; Harga (2)"/>
      <sheetName val="Rekap Biaya (2)"/>
      <sheetName val="Rekap Biaya"/>
      <sheetName val="Kuantitas &amp; Harga"/>
      <sheetName val="Pekerjaan Utama"/>
      <sheetName val="%"/>
    </sheetNames>
    <sheetDataSet>
      <sheetData sheetId="0" refreshError="1"/>
      <sheetData sheetId="1" refreshError="1"/>
      <sheetData sheetId="2"/>
      <sheetData sheetId="3">
        <row r="26">
          <cell r="G26">
            <v>215250000</v>
          </cell>
        </row>
        <row r="50">
          <cell r="G50">
            <v>76522255.210000008</v>
          </cell>
        </row>
        <row r="84">
          <cell r="G84">
            <v>93057891.650000006</v>
          </cell>
        </row>
        <row r="99">
          <cell r="G99">
            <v>117067958.64</v>
          </cell>
        </row>
        <row r="119">
          <cell r="G119">
            <v>899550957.625</v>
          </cell>
        </row>
        <row r="155">
          <cell r="G155">
            <v>1393070824.3599999</v>
          </cell>
        </row>
        <row r="319">
          <cell r="G319">
            <v>23501785.603283949</v>
          </cell>
        </row>
        <row r="377">
          <cell r="G377">
            <v>0</v>
          </cell>
        </row>
        <row r="405">
          <cell r="G405">
            <v>0</v>
          </cell>
        </row>
        <row r="418">
          <cell r="G418">
            <v>0</v>
          </cell>
        </row>
      </sheetData>
      <sheetData sheetId="4" refreshError="1"/>
      <sheetData sheetId="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pl"/>
      <sheetName val="TwR"/>
      <sheetName val="DKH"/>
      <sheetName val="Daf HrG"/>
      <sheetName val="HSP"/>
      <sheetName val="HSP Alat"/>
      <sheetName val="A Alat"/>
      <sheetName val="Schedule"/>
      <sheetName val="D Alat"/>
      <sheetName val="PersoN"/>
      <sheetName val="DKH (OE)"/>
      <sheetName val="Daf HrG (OE)"/>
      <sheetName val="HSP (OE)"/>
      <sheetName val="HSP Alat (OE)"/>
      <sheetName val="A Alat (OE)"/>
      <sheetName val="Nego"/>
      <sheetName val="Sheet3"/>
      <sheetName val="NyatA"/>
    </sheetNames>
    <sheetDataSet>
      <sheetData sheetId="0"/>
      <sheetData sheetId="1"/>
      <sheetData sheetId="2"/>
      <sheetData sheetId="3">
        <row r="39">
          <cell r="G39" t="str">
            <v>Kuala Simpang, 14 Agustus 2003</v>
          </cell>
        </row>
        <row r="41">
          <cell r="G41" t="str">
            <v>CV. DUTA MAS</v>
          </cell>
        </row>
        <row r="44">
          <cell r="G44" t="str">
            <v>AHMAD HANEL, SH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Biaya"/>
      <sheetName val="Kuantitas &amp; Harga"/>
      <sheetName val="Pekerjaan Utama"/>
      <sheetName val="%"/>
      <sheetName val="Rekap_Biaya"/>
      <sheetName val="Kuantitas_&amp;_Harga"/>
      <sheetName val="Pekerjaan_Utama"/>
      <sheetName val="Rekap_Biaya1"/>
      <sheetName val="Kuantitas_&amp;_Harga1"/>
      <sheetName val="Pekerjaan_Utama1"/>
      <sheetName val="Rekap_Biaya2"/>
      <sheetName val="Kuantitas_&amp;_Harga2"/>
      <sheetName val="Pekerjaan_Utama2"/>
      <sheetName val="Rekap_Biaya3"/>
      <sheetName val="Kuantitas_&amp;_Harga3"/>
      <sheetName val="Pekerjaan_Utama3"/>
      <sheetName val="Ranking %"/>
      <sheetName val="Sheet1"/>
    </sheetNames>
    <sheetDataSet>
      <sheetData sheetId="0" refreshError="1"/>
      <sheetData sheetId="1" refreshError="1">
        <row r="24">
          <cell r="G24">
            <v>550798600.79999995</v>
          </cell>
        </row>
        <row r="46">
          <cell r="G46">
            <v>5441171.04</v>
          </cell>
        </row>
        <row r="80">
          <cell r="G80">
            <v>140730296.78310001</v>
          </cell>
        </row>
        <row r="95">
          <cell r="G95">
            <v>13238094.6</v>
          </cell>
        </row>
        <row r="115">
          <cell r="G115">
            <v>97123503.074999988</v>
          </cell>
        </row>
        <row r="150">
          <cell r="G150">
            <v>91145643.120000005</v>
          </cell>
        </row>
        <row r="298">
          <cell r="G298">
            <v>2558630232.1279998</v>
          </cell>
        </row>
        <row r="350">
          <cell r="G350">
            <v>4563465.28</v>
          </cell>
        </row>
        <row r="380">
          <cell r="G380">
            <v>0</v>
          </cell>
        </row>
        <row r="393">
          <cell r="G393">
            <v>104831867.77000001</v>
          </cell>
        </row>
      </sheetData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Rekap Biaya"/>
      <sheetName val="Kuantitas &amp; Harga"/>
      <sheetName val="anaK"/>
      <sheetName val="BOW"/>
      <sheetName val="Lamp.Upah&amp;Biaya"/>
      <sheetName val="Lamp.ABiaya"/>
      <sheetName val="alat"/>
      <sheetName val="ANGKUT"/>
      <sheetName val="Upah&amp;Bah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Rekap Biaya"/>
      <sheetName val="Kuantitas &amp; Harga"/>
      <sheetName val="anaK"/>
      <sheetName val="Lamp.Upah&amp;Biaya"/>
      <sheetName val="Lamp.ABiaya"/>
      <sheetName val="ANGKUT"/>
      <sheetName val="Upah&amp;Bahan"/>
      <sheetName val="Sket Jrk Angkut"/>
      <sheetName val="Rekap_Biaya"/>
      <sheetName val="Kuantitas_&amp;_Harga"/>
      <sheetName val="Lamp_Upah&amp;Biaya"/>
      <sheetName val="Lamp_ABiaya"/>
      <sheetName val="Sket_Jrk_Angkut"/>
      <sheetName val="Rekap_Biaya1"/>
      <sheetName val="Kuantitas_&amp;_Harga1"/>
      <sheetName val="Lamp_Upah&amp;Biaya1"/>
      <sheetName val="Lamp_ABiaya1"/>
      <sheetName val="Sket_Jrk_Angkut1"/>
      <sheetName val="Rekap_Biaya2"/>
      <sheetName val="Kuantitas_&amp;_Harga2"/>
      <sheetName val="Lamp_Upah&amp;Biaya2"/>
      <sheetName val="Lamp_ABiaya2"/>
      <sheetName val="Sket_Jrk_Angkut2"/>
      <sheetName val="Rekap_Biaya3"/>
      <sheetName val="Kuantitas_&amp;_Harga3"/>
      <sheetName val="Lamp_Upah&amp;Biaya3"/>
      <sheetName val="Lamp_ABiaya3"/>
      <sheetName val="Sket_Jrk_Angku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5">
          <cell r="C15">
            <v>30000</v>
          </cell>
        </row>
        <row r="16">
          <cell r="C16">
            <v>34000</v>
          </cell>
        </row>
        <row r="17">
          <cell r="C17">
            <v>38000</v>
          </cell>
        </row>
        <row r="18">
          <cell r="C18">
            <v>42000</v>
          </cell>
        </row>
        <row r="19">
          <cell r="C19">
            <v>48000</v>
          </cell>
        </row>
        <row r="20">
          <cell r="C20">
            <v>54000</v>
          </cell>
        </row>
        <row r="21">
          <cell r="C21">
            <v>54000</v>
          </cell>
        </row>
        <row r="22">
          <cell r="C22">
            <v>26250</v>
          </cell>
        </row>
        <row r="23">
          <cell r="C23">
            <v>48000</v>
          </cell>
        </row>
        <row r="24">
          <cell r="C24">
            <v>54000</v>
          </cell>
        </row>
        <row r="26">
          <cell r="C26">
            <v>48000</v>
          </cell>
        </row>
        <row r="27">
          <cell r="C27">
            <v>48000</v>
          </cell>
        </row>
        <row r="41">
          <cell r="C41">
            <v>30000</v>
          </cell>
        </row>
        <row r="42">
          <cell r="C42">
            <v>32500</v>
          </cell>
        </row>
        <row r="43">
          <cell r="C43">
            <v>57500</v>
          </cell>
        </row>
        <row r="44">
          <cell r="C44">
            <v>33000</v>
          </cell>
        </row>
        <row r="47">
          <cell r="C47">
            <v>60000</v>
          </cell>
        </row>
        <row r="51">
          <cell r="C51">
            <v>135000</v>
          </cell>
        </row>
        <row r="52">
          <cell r="C52">
            <v>60000</v>
          </cell>
        </row>
        <row r="54">
          <cell r="C54">
            <v>426178</v>
          </cell>
        </row>
        <row r="55">
          <cell r="C55">
            <v>456659</v>
          </cell>
        </row>
        <row r="61">
          <cell r="C61">
            <v>8900</v>
          </cell>
        </row>
        <row r="62">
          <cell r="C62">
            <v>29000</v>
          </cell>
        </row>
        <row r="83">
          <cell r="C83">
            <v>3679</v>
          </cell>
        </row>
        <row r="90">
          <cell r="C90">
            <v>990</v>
          </cell>
        </row>
        <row r="205">
          <cell r="U205" t="e">
            <v>#REF!</v>
          </cell>
        </row>
        <row r="261">
          <cell r="U261" t="e">
            <v>#REF!</v>
          </cell>
        </row>
        <row r="317">
          <cell r="U317" t="e">
            <v>#REF!</v>
          </cell>
        </row>
        <row r="373">
          <cell r="U373" t="e">
            <v>#REF!</v>
          </cell>
        </row>
        <row r="429">
          <cell r="U429" t="e">
            <v>#REF!</v>
          </cell>
        </row>
        <row r="485">
          <cell r="U485" t="e">
            <v>#REF!</v>
          </cell>
        </row>
        <row r="541">
          <cell r="U541" t="e">
            <v>#REF!</v>
          </cell>
        </row>
        <row r="597">
          <cell r="U597">
            <v>28794</v>
          </cell>
        </row>
        <row r="653">
          <cell r="U653" t="e">
            <v>#REF!</v>
          </cell>
        </row>
        <row r="709">
          <cell r="U709" t="e">
            <v>#REF!</v>
          </cell>
        </row>
        <row r="765">
          <cell r="U765" t="e">
            <v>#REF!</v>
          </cell>
        </row>
        <row r="821">
          <cell r="U821" t="e">
            <v>#REF!</v>
          </cell>
        </row>
        <row r="877">
          <cell r="U877" t="e">
            <v>#REF!</v>
          </cell>
        </row>
        <row r="933">
          <cell r="U933" t="e">
            <v>#REF!</v>
          </cell>
        </row>
        <row r="989">
          <cell r="U989" t="e">
            <v>#REF!</v>
          </cell>
        </row>
        <row r="1045">
          <cell r="U1045" t="e">
            <v>#REF!</v>
          </cell>
        </row>
        <row r="1101">
          <cell r="U1101" t="e">
            <v>#REF!</v>
          </cell>
        </row>
        <row r="1157">
          <cell r="U1157" t="e">
            <v>#REF!</v>
          </cell>
        </row>
        <row r="1213">
          <cell r="U1213" t="e">
            <v>#REF!</v>
          </cell>
        </row>
        <row r="1269">
          <cell r="U1269" t="e">
            <v>#REF!</v>
          </cell>
        </row>
        <row r="1325">
          <cell r="U1325" t="e">
            <v>#REF!</v>
          </cell>
        </row>
        <row r="1381">
          <cell r="U1381" t="e">
            <v>#REF!</v>
          </cell>
        </row>
        <row r="1437">
          <cell r="U1437">
            <v>11645</v>
          </cell>
        </row>
        <row r="1493">
          <cell r="U1493">
            <v>45329</v>
          </cell>
        </row>
        <row r="1549">
          <cell r="U1549" t="e">
            <v>#REF!</v>
          </cell>
        </row>
        <row r="1612">
          <cell r="U1612" t="e">
            <v>#REF!</v>
          </cell>
        </row>
        <row r="1672">
          <cell r="U1672" t="e">
            <v>#REF!</v>
          </cell>
        </row>
      </sheetData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B"/>
      <sheetName val="Sampul"/>
      <sheetName val="Nyata"/>
      <sheetName val="Nyata-2"/>
      <sheetName val="Tawar"/>
      <sheetName val="REKAP"/>
      <sheetName val="BOQ"/>
      <sheetName val="AnTeknis"/>
      <sheetName val="Metode"/>
      <sheetName val="jadwal"/>
      <sheetName val="Upah"/>
      <sheetName val="Analisa HsP"/>
      <sheetName val="Analisa AB"/>
      <sheetName val="PersoN"/>
      <sheetName val="Peralatan"/>
      <sheetName val="Alat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>
        <row r="37">
          <cell r="N37">
            <v>25</v>
          </cell>
        </row>
        <row r="47">
          <cell r="N47">
            <v>350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>
        <row r="62">
          <cell r="H62" t="str">
            <v>EXCAVATOR / BACK HOE</v>
          </cell>
        </row>
        <row r="63">
          <cell r="H63" t="str">
            <v>KOMATSU / PC - 200</v>
          </cell>
        </row>
        <row r="64">
          <cell r="H64" t="str">
            <v>1997</v>
          </cell>
        </row>
        <row r="111">
          <cell r="H111" t="str">
            <v>WHEEL LOADER</v>
          </cell>
        </row>
        <row r="112">
          <cell r="H112" t="str">
            <v>CATTERPILAR / 900 W</v>
          </cell>
        </row>
        <row r="113">
          <cell r="H113">
            <v>1997</v>
          </cell>
        </row>
        <row r="161">
          <cell r="H161" t="str">
            <v>GOLD STAR</v>
          </cell>
        </row>
        <row r="162">
          <cell r="H162">
            <v>1998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 ANALISA"/>
      <sheetName val="DURP-F"/>
      <sheetName val="ANL BIAYA"/>
      <sheetName val="SCHEDULE"/>
      <sheetName val="DRUP"/>
      <sheetName val="R-MP2-98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 ANALISA"/>
      <sheetName val="DURP-F"/>
      <sheetName val="ANL BIAYA"/>
      <sheetName val="SCHEDULE"/>
      <sheetName val="DRUP"/>
      <sheetName val="R-MP"/>
      <sheetName val="R-MP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RP-F"/>
      <sheetName val="Sheet2"/>
      <sheetName val="Sheet1"/>
      <sheetName val="UMUM"/>
      <sheetName val="LK"/>
      <sheetName val="kulit"/>
      <sheetName val="PO"/>
      <sheetName val="PJP"/>
      <sheetName val="UP"/>
      <sheetName val="DRUP"/>
      <sheetName val="ANL BIAYA"/>
      <sheetName val="SCHEDULE"/>
      <sheetName val="ANALIS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258">
          <cell r="Q1258">
            <v>7875</v>
          </cell>
        </row>
        <row r="1320">
          <cell r="Q1320">
            <v>3150</v>
          </cell>
        </row>
        <row r="1336">
          <cell r="Q1336">
            <v>33000</v>
          </cell>
        </row>
        <row r="1754">
          <cell r="Q1754">
            <v>79700</v>
          </cell>
        </row>
        <row r="1770">
          <cell r="Q1770">
            <v>153480</v>
          </cell>
        </row>
        <row r="1816">
          <cell r="Q1816">
            <v>6580</v>
          </cell>
        </row>
        <row r="1832">
          <cell r="Q1832">
            <v>3495</v>
          </cell>
        </row>
        <row r="2374">
          <cell r="Q2374">
            <v>259044.95</v>
          </cell>
        </row>
        <row r="2390">
          <cell r="Q2390">
            <v>1055230.1299999999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ST"/>
      <sheetName val="SUM1"/>
      <sheetName val="2RD"/>
      <sheetName val="SUM2"/>
      <sheetName val="3TH"/>
      <sheetName val="SUM3"/>
      <sheetName val="4TH"/>
      <sheetName val="SUM4"/>
      <sheetName val="5TH"/>
      <sheetName val="Sheet1"/>
      <sheetName val="Sheet2"/>
      <sheetName val="Sheet3"/>
    </sheetNames>
    <sheetDataSet>
      <sheetData sheetId="0">
        <row r="15">
          <cell r="A15" t="str">
            <v>A</v>
          </cell>
        </row>
        <row r="16">
          <cell r="A16" t="str">
            <v>A</v>
          </cell>
        </row>
        <row r="17">
          <cell r="A17" t="str">
            <v>A</v>
          </cell>
        </row>
        <row r="18">
          <cell r="A18" t="str">
            <v>A</v>
          </cell>
        </row>
        <row r="19">
          <cell r="A19" t="str">
            <v>A</v>
          </cell>
        </row>
        <row r="20">
          <cell r="A20" t="str">
            <v>A</v>
          </cell>
        </row>
        <row r="21">
          <cell r="A21" t="str">
            <v>A</v>
          </cell>
        </row>
        <row r="22">
          <cell r="A22" t="str">
            <v>A</v>
          </cell>
        </row>
        <row r="24">
          <cell r="A24" t="str">
            <v>B</v>
          </cell>
        </row>
        <row r="25">
          <cell r="A25" t="str">
            <v>B</v>
          </cell>
        </row>
        <row r="26">
          <cell r="A26" t="str">
            <v>B</v>
          </cell>
        </row>
        <row r="27">
          <cell r="A27" t="str">
            <v>B</v>
          </cell>
        </row>
        <row r="28">
          <cell r="A28" t="str">
            <v>B</v>
          </cell>
        </row>
        <row r="29">
          <cell r="A29" t="str">
            <v>B</v>
          </cell>
        </row>
        <row r="30">
          <cell r="A30" t="str">
            <v>B</v>
          </cell>
        </row>
        <row r="31">
          <cell r="A31" t="str">
            <v>B</v>
          </cell>
        </row>
        <row r="32">
          <cell r="A32" t="str">
            <v>B</v>
          </cell>
        </row>
        <row r="33">
          <cell r="A33" t="str">
            <v>B</v>
          </cell>
        </row>
        <row r="34">
          <cell r="A34" t="str">
            <v>B</v>
          </cell>
        </row>
        <row r="35">
          <cell r="A35" t="str">
            <v>B</v>
          </cell>
        </row>
        <row r="36">
          <cell r="A36" t="str">
            <v>B</v>
          </cell>
        </row>
        <row r="37">
          <cell r="A37" t="str">
            <v>B</v>
          </cell>
        </row>
        <row r="38">
          <cell r="A38" t="str">
            <v>B</v>
          </cell>
        </row>
        <row r="39">
          <cell r="A39" t="str">
            <v>B</v>
          </cell>
        </row>
        <row r="40">
          <cell r="A40" t="str">
            <v>B</v>
          </cell>
        </row>
        <row r="41">
          <cell r="A41" t="str">
            <v>B</v>
          </cell>
        </row>
        <row r="42">
          <cell r="A42" t="str">
            <v>B</v>
          </cell>
        </row>
        <row r="43">
          <cell r="A43" t="str">
            <v>B</v>
          </cell>
        </row>
        <row r="44">
          <cell r="A44" t="str">
            <v>B</v>
          </cell>
        </row>
        <row r="45">
          <cell r="A45" t="str">
            <v>B</v>
          </cell>
        </row>
        <row r="46">
          <cell r="A46" t="str">
            <v>B</v>
          </cell>
        </row>
        <row r="47">
          <cell r="A47" t="str">
            <v>B</v>
          </cell>
        </row>
        <row r="48">
          <cell r="A48" t="str">
            <v>B</v>
          </cell>
        </row>
        <row r="49">
          <cell r="A49" t="str">
            <v>B</v>
          </cell>
        </row>
        <row r="50">
          <cell r="A50" t="str">
            <v>B</v>
          </cell>
        </row>
        <row r="51">
          <cell r="A51" t="str">
            <v>B</v>
          </cell>
        </row>
        <row r="52">
          <cell r="A52" t="str">
            <v>B</v>
          </cell>
        </row>
        <row r="53">
          <cell r="A53" t="str">
            <v>B</v>
          </cell>
        </row>
        <row r="55">
          <cell r="A55" t="str">
            <v>C</v>
          </cell>
        </row>
        <row r="56">
          <cell r="A56" t="str">
            <v>C</v>
          </cell>
        </row>
        <row r="57">
          <cell r="A57" t="str">
            <v>C</v>
          </cell>
        </row>
        <row r="58">
          <cell r="A58" t="str">
            <v>C</v>
          </cell>
        </row>
        <row r="59">
          <cell r="A59" t="str">
            <v>C</v>
          </cell>
        </row>
        <row r="60">
          <cell r="A60" t="str">
            <v>C</v>
          </cell>
        </row>
        <row r="61">
          <cell r="A61" t="str">
            <v>C</v>
          </cell>
        </row>
        <row r="62">
          <cell r="A62" t="str">
            <v>C</v>
          </cell>
        </row>
        <row r="63">
          <cell r="A63" t="str">
            <v>C</v>
          </cell>
        </row>
        <row r="64">
          <cell r="A64" t="str">
            <v>C</v>
          </cell>
        </row>
        <row r="65">
          <cell r="A65" t="str">
            <v>C</v>
          </cell>
        </row>
        <row r="66">
          <cell r="A66" t="str">
            <v>C</v>
          </cell>
        </row>
        <row r="67">
          <cell r="A67" t="str">
            <v>C</v>
          </cell>
        </row>
        <row r="68">
          <cell r="A68" t="str">
            <v>C</v>
          </cell>
        </row>
        <row r="69">
          <cell r="A69" t="str">
            <v>C</v>
          </cell>
        </row>
        <row r="70">
          <cell r="A70" t="str">
            <v>C</v>
          </cell>
        </row>
        <row r="71">
          <cell r="A71" t="str">
            <v>C</v>
          </cell>
        </row>
        <row r="72">
          <cell r="A72" t="str">
            <v>C</v>
          </cell>
        </row>
        <row r="73">
          <cell r="A73" t="str">
            <v>C</v>
          </cell>
        </row>
        <row r="74">
          <cell r="A74" t="str">
            <v>C</v>
          </cell>
        </row>
        <row r="75">
          <cell r="A75" t="str">
            <v>C</v>
          </cell>
        </row>
        <row r="76">
          <cell r="A76" t="str">
            <v>C</v>
          </cell>
        </row>
        <row r="77">
          <cell r="A77" t="str">
            <v>C</v>
          </cell>
        </row>
        <row r="78">
          <cell r="A78" t="str">
            <v>C</v>
          </cell>
        </row>
        <row r="79">
          <cell r="A79" t="str">
            <v>C</v>
          </cell>
        </row>
        <row r="80">
          <cell r="A80" t="str">
            <v>C</v>
          </cell>
        </row>
        <row r="81">
          <cell r="A81" t="str">
            <v>C</v>
          </cell>
        </row>
        <row r="82">
          <cell r="A82" t="str">
            <v>C</v>
          </cell>
        </row>
        <row r="83">
          <cell r="A83" t="str">
            <v>C</v>
          </cell>
        </row>
        <row r="84">
          <cell r="A84" t="str">
            <v>C</v>
          </cell>
        </row>
        <row r="85">
          <cell r="A85" t="str">
            <v>C</v>
          </cell>
        </row>
        <row r="86">
          <cell r="A86" t="str">
            <v>C</v>
          </cell>
        </row>
        <row r="88">
          <cell r="A88" t="str">
            <v>D</v>
          </cell>
        </row>
        <row r="89">
          <cell r="A89" t="str">
            <v>D</v>
          </cell>
        </row>
        <row r="90">
          <cell r="A90" t="str">
            <v>D</v>
          </cell>
        </row>
        <row r="91">
          <cell r="A91" t="str">
            <v>D</v>
          </cell>
        </row>
        <row r="92">
          <cell r="A92" t="str">
            <v>D</v>
          </cell>
        </row>
        <row r="93">
          <cell r="A93" t="str">
            <v>D</v>
          </cell>
        </row>
        <row r="94">
          <cell r="A94" t="str">
            <v>D</v>
          </cell>
        </row>
        <row r="95">
          <cell r="A95" t="str">
            <v>D</v>
          </cell>
        </row>
        <row r="96">
          <cell r="A96" t="str">
            <v>D</v>
          </cell>
        </row>
        <row r="97">
          <cell r="A97" t="str">
            <v>D</v>
          </cell>
        </row>
        <row r="98">
          <cell r="A98" t="str">
            <v>D</v>
          </cell>
        </row>
        <row r="99">
          <cell r="A99" t="str">
            <v>D</v>
          </cell>
        </row>
        <row r="100">
          <cell r="A100" t="str">
            <v>D</v>
          </cell>
        </row>
        <row r="101">
          <cell r="A101" t="str">
            <v>D</v>
          </cell>
        </row>
        <row r="102">
          <cell r="A102" t="str">
            <v>D</v>
          </cell>
        </row>
        <row r="103">
          <cell r="A103" t="str">
            <v>D</v>
          </cell>
        </row>
        <row r="104">
          <cell r="A104" t="str">
            <v>D</v>
          </cell>
        </row>
        <row r="105">
          <cell r="A105" t="str">
            <v>D</v>
          </cell>
        </row>
        <row r="106">
          <cell r="A106" t="str">
            <v>D</v>
          </cell>
        </row>
        <row r="107">
          <cell r="A107" t="str">
            <v>D</v>
          </cell>
        </row>
        <row r="108">
          <cell r="A108" t="str">
            <v>D</v>
          </cell>
        </row>
        <row r="109">
          <cell r="A109" t="str">
            <v>D</v>
          </cell>
        </row>
        <row r="110">
          <cell r="A110" t="str">
            <v>D</v>
          </cell>
        </row>
        <row r="111">
          <cell r="A111" t="str">
            <v>D</v>
          </cell>
        </row>
        <row r="112">
          <cell r="A112" t="str">
            <v>D</v>
          </cell>
        </row>
        <row r="113">
          <cell r="A113" t="str">
            <v>D</v>
          </cell>
        </row>
        <row r="114">
          <cell r="A114" t="str">
            <v>D</v>
          </cell>
        </row>
        <row r="115">
          <cell r="A115" t="str">
            <v>D</v>
          </cell>
        </row>
        <row r="116">
          <cell r="A116" t="str">
            <v>D</v>
          </cell>
        </row>
        <row r="117">
          <cell r="A117" t="str">
            <v>D</v>
          </cell>
        </row>
        <row r="118">
          <cell r="A118" t="str">
            <v>D</v>
          </cell>
        </row>
        <row r="119">
          <cell r="A119" t="str">
            <v>D</v>
          </cell>
        </row>
        <row r="120">
          <cell r="A120" t="str">
            <v>D</v>
          </cell>
        </row>
        <row r="121">
          <cell r="A121" t="str">
            <v>D</v>
          </cell>
        </row>
        <row r="122">
          <cell r="A122" t="str">
            <v>D</v>
          </cell>
        </row>
        <row r="123">
          <cell r="A123" t="str">
            <v>D</v>
          </cell>
        </row>
        <row r="124">
          <cell r="A124" t="str">
            <v>D</v>
          </cell>
        </row>
        <row r="125">
          <cell r="A125" t="str">
            <v>D</v>
          </cell>
        </row>
        <row r="126">
          <cell r="A126" t="str">
            <v>D</v>
          </cell>
        </row>
        <row r="127">
          <cell r="A127" t="str">
            <v>D</v>
          </cell>
        </row>
        <row r="128">
          <cell r="A128" t="str">
            <v>D</v>
          </cell>
        </row>
        <row r="129">
          <cell r="A129" t="str">
            <v>E</v>
          </cell>
        </row>
        <row r="130">
          <cell r="A130" t="str">
            <v>E</v>
          </cell>
        </row>
        <row r="131">
          <cell r="A131" t="str">
            <v>E</v>
          </cell>
        </row>
        <row r="132">
          <cell r="A132" t="str">
            <v>E</v>
          </cell>
        </row>
        <row r="133">
          <cell r="A133" t="str">
            <v>E</v>
          </cell>
        </row>
        <row r="134">
          <cell r="A134" t="str">
            <v>E</v>
          </cell>
        </row>
        <row r="135">
          <cell r="A135" t="str">
            <v>E</v>
          </cell>
        </row>
        <row r="136">
          <cell r="A136" t="str">
            <v>E</v>
          </cell>
        </row>
        <row r="137">
          <cell r="A137" t="str">
            <v>E</v>
          </cell>
        </row>
        <row r="138">
          <cell r="A138" t="str">
            <v>E</v>
          </cell>
        </row>
        <row r="139">
          <cell r="A139" t="str">
            <v>E</v>
          </cell>
        </row>
        <row r="140">
          <cell r="A140" t="str">
            <v>E</v>
          </cell>
        </row>
        <row r="141">
          <cell r="A141" t="str">
            <v>E</v>
          </cell>
        </row>
        <row r="142">
          <cell r="A142" t="str">
            <v>E</v>
          </cell>
        </row>
        <row r="143">
          <cell r="A143" t="str">
            <v>E</v>
          </cell>
        </row>
        <row r="144">
          <cell r="A144" t="str">
            <v>E</v>
          </cell>
        </row>
        <row r="145">
          <cell r="A145" t="str">
            <v>E</v>
          </cell>
        </row>
        <row r="146">
          <cell r="A146" t="str">
            <v>E</v>
          </cell>
        </row>
        <row r="147">
          <cell r="A147" t="str">
            <v>E</v>
          </cell>
        </row>
        <row r="148">
          <cell r="A148" t="str">
            <v>E</v>
          </cell>
        </row>
        <row r="149">
          <cell r="A149" t="str">
            <v>E</v>
          </cell>
        </row>
        <row r="150">
          <cell r="A150" t="str">
            <v>E</v>
          </cell>
        </row>
        <row r="151">
          <cell r="A151" t="str">
            <v>E</v>
          </cell>
        </row>
        <row r="152">
          <cell r="A152" t="str">
            <v>E</v>
          </cell>
        </row>
        <row r="153">
          <cell r="A153" t="str">
            <v>E</v>
          </cell>
        </row>
        <row r="154">
          <cell r="A154" t="str">
            <v>E</v>
          </cell>
        </row>
        <row r="155">
          <cell r="A155" t="str">
            <v>E</v>
          </cell>
        </row>
        <row r="156">
          <cell r="A156" t="str">
            <v>E</v>
          </cell>
        </row>
        <row r="157">
          <cell r="A157" t="str">
            <v>E</v>
          </cell>
        </row>
        <row r="158">
          <cell r="A158" t="str">
            <v>E</v>
          </cell>
        </row>
        <row r="159">
          <cell r="A159" t="str">
            <v>E</v>
          </cell>
        </row>
        <row r="160">
          <cell r="A160" t="str">
            <v>E</v>
          </cell>
        </row>
        <row r="161">
          <cell r="A161" t="str">
            <v>E</v>
          </cell>
        </row>
        <row r="162">
          <cell r="A162" t="str">
            <v>E</v>
          </cell>
        </row>
        <row r="163">
          <cell r="A163" t="str">
            <v>E</v>
          </cell>
        </row>
        <row r="164">
          <cell r="A164" t="str">
            <v>E</v>
          </cell>
        </row>
        <row r="165">
          <cell r="A165" t="str">
            <v>E</v>
          </cell>
        </row>
        <row r="166">
          <cell r="A166" t="str">
            <v>E</v>
          </cell>
        </row>
        <row r="167">
          <cell r="A167" t="str">
            <v>E</v>
          </cell>
        </row>
        <row r="168">
          <cell r="A168" t="str">
            <v>E</v>
          </cell>
        </row>
        <row r="169">
          <cell r="A169" t="str">
            <v>E</v>
          </cell>
        </row>
        <row r="170">
          <cell r="A170" t="str">
            <v>E</v>
          </cell>
        </row>
        <row r="171">
          <cell r="A171" t="str">
            <v>E</v>
          </cell>
        </row>
        <row r="172">
          <cell r="A172" t="str">
            <v>E</v>
          </cell>
        </row>
        <row r="173">
          <cell r="A173" t="str">
            <v>E</v>
          </cell>
        </row>
        <row r="174">
          <cell r="A174" t="str">
            <v>E</v>
          </cell>
        </row>
        <row r="175">
          <cell r="A175" t="str">
            <v>E</v>
          </cell>
        </row>
        <row r="176">
          <cell r="A176" t="str">
            <v>E</v>
          </cell>
        </row>
        <row r="177">
          <cell r="A177" t="str">
            <v>E</v>
          </cell>
        </row>
        <row r="178">
          <cell r="A178" t="str">
            <v>E</v>
          </cell>
        </row>
        <row r="179">
          <cell r="A179" t="str">
            <v>E</v>
          </cell>
        </row>
        <row r="180">
          <cell r="A180" t="str">
            <v>E</v>
          </cell>
        </row>
        <row r="181">
          <cell r="A181" t="str">
            <v>E</v>
          </cell>
        </row>
        <row r="182">
          <cell r="A182" t="str">
            <v>E</v>
          </cell>
        </row>
        <row r="183">
          <cell r="A183" t="str">
            <v>E</v>
          </cell>
        </row>
        <row r="184">
          <cell r="A184" t="str">
            <v>E</v>
          </cell>
        </row>
        <row r="185">
          <cell r="A185" t="str">
            <v>E</v>
          </cell>
        </row>
        <row r="186">
          <cell r="A186" t="str">
            <v>E</v>
          </cell>
        </row>
        <row r="188">
          <cell r="A188" t="str">
            <v>F</v>
          </cell>
        </row>
        <row r="189">
          <cell r="A189" t="str">
            <v>F</v>
          </cell>
        </row>
        <row r="190">
          <cell r="A190" t="str">
            <v>F</v>
          </cell>
        </row>
        <row r="191">
          <cell r="A191" t="str">
            <v>F</v>
          </cell>
        </row>
        <row r="192">
          <cell r="A192" t="str">
            <v>F</v>
          </cell>
        </row>
        <row r="193">
          <cell r="A193" t="str">
            <v>F</v>
          </cell>
        </row>
        <row r="194">
          <cell r="A194" t="str">
            <v>F</v>
          </cell>
        </row>
        <row r="195">
          <cell r="A195" t="str">
            <v>F</v>
          </cell>
        </row>
        <row r="196">
          <cell r="A196" t="str">
            <v>F</v>
          </cell>
        </row>
        <row r="197">
          <cell r="A197" t="str">
            <v>F</v>
          </cell>
        </row>
        <row r="198">
          <cell r="A198" t="str">
            <v>F</v>
          </cell>
        </row>
        <row r="199">
          <cell r="A199" t="str">
            <v>F</v>
          </cell>
        </row>
        <row r="200">
          <cell r="A200" t="str">
            <v>F</v>
          </cell>
        </row>
        <row r="201">
          <cell r="A201" t="str">
            <v>F</v>
          </cell>
        </row>
        <row r="202">
          <cell r="A202" t="str">
            <v>F</v>
          </cell>
        </row>
        <row r="203">
          <cell r="A203" t="str">
            <v>F</v>
          </cell>
        </row>
        <row r="204">
          <cell r="A204" t="str">
            <v>F</v>
          </cell>
        </row>
        <row r="205">
          <cell r="A205" t="str">
            <v>F</v>
          </cell>
        </row>
        <row r="206">
          <cell r="A206" t="str">
            <v>F</v>
          </cell>
        </row>
        <row r="207">
          <cell r="A207" t="str">
            <v>F</v>
          </cell>
        </row>
        <row r="208">
          <cell r="A208" t="str">
            <v>F</v>
          </cell>
        </row>
        <row r="209">
          <cell r="A209" t="str">
            <v>F</v>
          </cell>
        </row>
        <row r="210">
          <cell r="A210" t="str">
            <v>F</v>
          </cell>
        </row>
        <row r="211">
          <cell r="A211" t="str">
            <v>F</v>
          </cell>
        </row>
        <row r="212">
          <cell r="A212" t="str">
            <v>F</v>
          </cell>
        </row>
        <row r="213">
          <cell r="A213" t="str">
            <v>F</v>
          </cell>
        </row>
        <row r="214">
          <cell r="A214" t="str">
            <v>F</v>
          </cell>
        </row>
        <row r="215">
          <cell r="A215" t="str">
            <v>F</v>
          </cell>
        </row>
        <row r="216">
          <cell r="A216" t="str">
            <v>F</v>
          </cell>
        </row>
        <row r="217">
          <cell r="A217" t="str">
            <v>F</v>
          </cell>
        </row>
        <row r="218">
          <cell r="A218" t="str">
            <v>F</v>
          </cell>
        </row>
        <row r="219">
          <cell r="A219" t="str">
            <v>F</v>
          </cell>
        </row>
        <row r="220">
          <cell r="A220" t="str">
            <v>F</v>
          </cell>
        </row>
        <row r="221">
          <cell r="A221" t="str">
            <v>F</v>
          </cell>
        </row>
        <row r="222">
          <cell r="A222" t="str">
            <v>F</v>
          </cell>
        </row>
        <row r="223">
          <cell r="A223" t="str">
            <v>F</v>
          </cell>
        </row>
        <row r="224">
          <cell r="A224" t="str">
            <v>F</v>
          </cell>
        </row>
        <row r="225">
          <cell r="A225" t="str">
            <v>F</v>
          </cell>
        </row>
        <row r="226">
          <cell r="A226" t="str">
            <v>F</v>
          </cell>
        </row>
        <row r="227">
          <cell r="A227" t="str">
            <v>F</v>
          </cell>
        </row>
        <row r="228">
          <cell r="A228" t="str">
            <v>F</v>
          </cell>
        </row>
        <row r="229">
          <cell r="A229" t="str">
            <v>F</v>
          </cell>
        </row>
        <row r="230">
          <cell r="A230" t="str">
            <v>F</v>
          </cell>
        </row>
        <row r="231">
          <cell r="A231" t="str">
            <v>F</v>
          </cell>
        </row>
        <row r="232">
          <cell r="A232" t="str">
            <v>F</v>
          </cell>
        </row>
        <row r="233">
          <cell r="A233" t="str">
            <v>F</v>
          </cell>
        </row>
        <row r="234">
          <cell r="A234" t="str">
            <v>F</v>
          </cell>
        </row>
        <row r="235">
          <cell r="A235" t="str">
            <v>F</v>
          </cell>
        </row>
        <row r="236">
          <cell r="A236" t="str">
            <v>F</v>
          </cell>
        </row>
        <row r="237">
          <cell r="A237" t="str">
            <v>F</v>
          </cell>
        </row>
        <row r="238">
          <cell r="A238" t="str">
            <v>F</v>
          </cell>
        </row>
        <row r="239">
          <cell r="A239" t="str">
            <v>F</v>
          </cell>
        </row>
        <row r="240">
          <cell r="A240" t="str">
            <v>F</v>
          </cell>
        </row>
        <row r="241">
          <cell r="A241" t="str">
            <v>F</v>
          </cell>
        </row>
        <row r="242">
          <cell r="A242" t="str">
            <v>F</v>
          </cell>
        </row>
        <row r="243">
          <cell r="A243" t="str">
            <v>F</v>
          </cell>
        </row>
        <row r="244">
          <cell r="A244" t="str">
            <v>F</v>
          </cell>
        </row>
        <row r="245">
          <cell r="A245" t="str">
            <v>F</v>
          </cell>
        </row>
        <row r="246">
          <cell r="A246" t="str">
            <v>F</v>
          </cell>
        </row>
        <row r="247">
          <cell r="A247" t="str">
            <v>F</v>
          </cell>
        </row>
        <row r="248">
          <cell r="A248" t="str">
            <v>F</v>
          </cell>
        </row>
        <row r="249">
          <cell r="A249" t="str">
            <v>F</v>
          </cell>
        </row>
        <row r="250">
          <cell r="A250" t="str">
            <v>F</v>
          </cell>
        </row>
        <row r="251">
          <cell r="A251" t="str">
            <v>F</v>
          </cell>
        </row>
        <row r="252">
          <cell r="A252" t="str">
            <v>F</v>
          </cell>
        </row>
        <row r="253">
          <cell r="A253" t="str">
            <v>F</v>
          </cell>
        </row>
        <row r="254">
          <cell r="A254" t="str">
            <v>F</v>
          </cell>
        </row>
        <row r="255">
          <cell r="A255" t="str">
            <v>F</v>
          </cell>
        </row>
        <row r="256">
          <cell r="A256" t="str">
            <v>F</v>
          </cell>
        </row>
        <row r="257">
          <cell r="A257" t="str">
            <v>F</v>
          </cell>
        </row>
        <row r="258">
          <cell r="A258" t="str">
            <v>F</v>
          </cell>
        </row>
        <row r="259">
          <cell r="A259" t="str">
            <v>F</v>
          </cell>
        </row>
        <row r="260">
          <cell r="A260" t="str">
            <v>F</v>
          </cell>
        </row>
        <row r="261">
          <cell r="A261" t="str">
            <v>F</v>
          </cell>
        </row>
        <row r="262">
          <cell r="A262" t="str">
            <v>F</v>
          </cell>
        </row>
        <row r="263">
          <cell r="A263" t="str">
            <v>F</v>
          </cell>
        </row>
        <row r="264">
          <cell r="A264" t="str">
            <v>F</v>
          </cell>
        </row>
        <row r="265">
          <cell r="A265" t="str">
            <v>F</v>
          </cell>
        </row>
        <row r="266">
          <cell r="A266" t="str">
            <v>F</v>
          </cell>
        </row>
        <row r="270">
          <cell r="A270" t="str">
            <v>H</v>
          </cell>
        </row>
        <row r="271">
          <cell r="A271" t="str">
            <v>H</v>
          </cell>
        </row>
        <row r="272">
          <cell r="A272" t="str">
            <v>H</v>
          </cell>
        </row>
        <row r="273">
          <cell r="A273" t="str">
            <v>H</v>
          </cell>
        </row>
        <row r="274">
          <cell r="A274" t="str">
            <v>H</v>
          </cell>
        </row>
        <row r="275">
          <cell r="A275" t="str">
            <v>H</v>
          </cell>
        </row>
        <row r="276">
          <cell r="A276" t="str">
            <v>H</v>
          </cell>
        </row>
        <row r="277">
          <cell r="A277" t="str">
            <v>H</v>
          </cell>
        </row>
        <row r="278">
          <cell r="A278" t="str">
            <v>H</v>
          </cell>
        </row>
        <row r="279">
          <cell r="A279" t="str">
            <v>H</v>
          </cell>
        </row>
        <row r="280">
          <cell r="A280" t="str">
            <v>H</v>
          </cell>
        </row>
        <row r="281">
          <cell r="A281" t="str">
            <v>H</v>
          </cell>
        </row>
        <row r="282">
          <cell r="A282" t="str">
            <v>H</v>
          </cell>
        </row>
        <row r="283">
          <cell r="A283" t="str">
            <v>H</v>
          </cell>
        </row>
        <row r="284">
          <cell r="A284" t="str">
            <v>H</v>
          </cell>
        </row>
        <row r="285">
          <cell r="A285" t="str">
            <v>H</v>
          </cell>
        </row>
        <row r="286">
          <cell r="A286" t="str">
            <v>H</v>
          </cell>
        </row>
        <row r="287">
          <cell r="A287" t="str">
            <v>H</v>
          </cell>
        </row>
        <row r="288">
          <cell r="A288" t="str">
            <v>H</v>
          </cell>
        </row>
        <row r="289">
          <cell r="A289" t="str">
            <v>H</v>
          </cell>
        </row>
        <row r="290">
          <cell r="A290" t="str">
            <v>H</v>
          </cell>
        </row>
        <row r="291">
          <cell r="A291" t="str">
            <v>H</v>
          </cell>
        </row>
        <row r="292">
          <cell r="A292" t="str">
            <v>H</v>
          </cell>
        </row>
        <row r="293">
          <cell r="A293" t="str">
            <v>H</v>
          </cell>
        </row>
        <row r="294">
          <cell r="A294" t="str">
            <v>H</v>
          </cell>
        </row>
        <row r="295">
          <cell r="A295" t="str">
            <v>H</v>
          </cell>
        </row>
        <row r="296">
          <cell r="A296" t="str">
            <v>H</v>
          </cell>
        </row>
        <row r="297">
          <cell r="A297" t="str">
            <v>H</v>
          </cell>
        </row>
        <row r="298">
          <cell r="A298" t="str">
            <v>H</v>
          </cell>
        </row>
        <row r="299">
          <cell r="A299" t="str">
            <v>H</v>
          </cell>
        </row>
        <row r="300">
          <cell r="A300" t="str">
            <v>H</v>
          </cell>
        </row>
        <row r="301">
          <cell r="A301" t="str">
            <v>H</v>
          </cell>
        </row>
        <row r="302">
          <cell r="A302" t="str">
            <v>H</v>
          </cell>
        </row>
        <row r="303">
          <cell r="A303" t="str">
            <v>H</v>
          </cell>
        </row>
        <row r="304">
          <cell r="A304" t="str">
            <v>H</v>
          </cell>
        </row>
        <row r="305">
          <cell r="A305" t="str">
            <v>H</v>
          </cell>
        </row>
        <row r="306">
          <cell r="A306" t="str">
            <v>H</v>
          </cell>
        </row>
        <row r="307">
          <cell r="A307" t="str">
            <v>H</v>
          </cell>
        </row>
        <row r="308">
          <cell r="A308" t="str">
            <v>H</v>
          </cell>
        </row>
        <row r="309">
          <cell r="A309" t="str">
            <v>H</v>
          </cell>
        </row>
        <row r="310">
          <cell r="A310" t="str">
            <v>H</v>
          </cell>
        </row>
        <row r="311">
          <cell r="A311" t="str">
            <v>H</v>
          </cell>
        </row>
        <row r="312">
          <cell r="A312" t="str">
            <v>H</v>
          </cell>
        </row>
        <row r="313">
          <cell r="A313" t="str">
            <v>H</v>
          </cell>
        </row>
        <row r="314">
          <cell r="A314" t="str">
            <v>H</v>
          </cell>
        </row>
        <row r="315">
          <cell r="A315" t="str">
            <v>H</v>
          </cell>
        </row>
        <row r="316">
          <cell r="A316" t="str">
            <v>H</v>
          </cell>
        </row>
        <row r="317">
          <cell r="A317" t="str">
            <v>H</v>
          </cell>
        </row>
        <row r="318">
          <cell r="A318" t="str">
            <v>H</v>
          </cell>
        </row>
        <row r="319">
          <cell r="A319" t="str">
            <v>H</v>
          </cell>
        </row>
        <row r="320">
          <cell r="A320" t="str">
            <v>H</v>
          </cell>
        </row>
        <row r="321">
          <cell r="A321" t="str">
            <v>H</v>
          </cell>
        </row>
        <row r="322">
          <cell r="A322" t="str">
            <v>H</v>
          </cell>
        </row>
        <row r="323">
          <cell r="A323" t="str">
            <v>H</v>
          </cell>
        </row>
        <row r="324">
          <cell r="A324" t="str">
            <v>H</v>
          </cell>
        </row>
        <row r="325">
          <cell r="A325" t="str">
            <v>H</v>
          </cell>
        </row>
        <row r="326">
          <cell r="A326" t="str">
            <v>H</v>
          </cell>
        </row>
        <row r="327">
          <cell r="A327" t="str">
            <v>H</v>
          </cell>
        </row>
        <row r="328">
          <cell r="A328" t="str">
            <v>H</v>
          </cell>
        </row>
        <row r="329">
          <cell r="A329" t="str">
            <v>H</v>
          </cell>
        </row>
        <row r="330">
          <cell r="A330" t="str">
            <v>H</v>
          </cell>
        </row>
        <row r="331">
          <cell r="A331" t="str">
            <v>H</v>
          </cell>
        </row>
        <row r="332">
          <cell r="A332" t="str">
            <v>H</v>
          </cell>
        </row>
        <row r="333">
          <cell r="A333" t="str">
            <v>H</v>
          </cell>
        </row>
        <row r="334">
          <cell r="A334" t="str">
            <v>H</v>
          </cell>
        </row>
        <row r="335">
          <cell r="A335" t="str">
            <v>H</v>
          </cell>
        </row>
        <row r="336">
          <cell r="A336" t="str">
            <v>H</v>
          </cell>
        </row>
        <row r="337">
          <cell r="A337" t="str">
            <v>H</v>
          </cell>
        </row>
        <row r="338">
          <cell r="A338" t="str">
            <v>H</v>
          </cell>
        </row>
        <row r="339">
          <cell r="A339" t="str">
            <v>H</v>
          </cell>
        </row>
        <row r="340">
          <cell r="A340" t="str">
            <v>H</v>
          </cell>
        </row>
        <row r="341">
          <cell r="A341" t="str">
            <v>H</v>
          </cell>
        </row>
        <row r="342">
          <cell r="A342" t="str">
            <v>H</v>
          </cell>
        </row>
        <row r="343">
          <cell r="A343" t="str">
            <v>H</v>
          </cell>
        </row>
        <row r="344">
          <cell r="A344" t="str">
            <v>H</v>
          </cell>
        </row>
        <row r="345">
          <cell r="A345" t="str">
            <v>H</v>
          </cell>
        </row>
        <row r="346">
          <cell r="A346" t="str">
            <v>H</v>
          </cell>
        </row>
        <row r="347">
          <cell r="A347" t="str">
            <v>H</v>
          </cell>
        </row>
        <row r="348">
          <cell r="A348" t="str">
            <v>H</v>
          </cell>
        </row>
        <row r="349">
          <cell r="A349" t="str">
            <v>H</v>
          </cell>
        </row>
        <row r="350">
          <cell r="A350" t="str">
            <v>H</v>
          </cell>
        </row>
        <row r="351">
          <cell r="A351" t="str">
            <v>H</v>
          </cell>
        </row>
        <row r="352">
          <cell r="A352" t="str">
            <v>H</v>
          </cell>
        </row>
        <row r="353">
          <cell r="A353" t="str">
            <v>H</v>
          </cell>
        </row>
        <row r="354">
          <cell r="A354" t="str">
            <v>H</v>
          </cell>
        </row>
        <row r="355">
          <cell r="A355" t="str">
            <v>H</v>
          </cell>
        </row>
        <row r="356">
          <cell r="A356" t="str">
            <v>H</v>
          </cell>
        </row>
        <row r="357">
          <cell r="A357" t="str">
            <v>H</v>
          </cell>
        </row>
        <row r="358">
          <cell r="A358" t="str">
            <v>H</v>
          </cell>
        </row>
        <row r="359">
          <cell r="A359" t="str">
            <v>H</v>
          </cell>
        </row>
        <row r="360">
          <cell r="A360" t="str">
            <v>H</v>
          </cell>
        </row>
        <row r="361">
          <cell r="A361" t="str">
            <v>H</v>
          </cell>
        </row>
        <row r="362">
          <cell r="A362" t="str">
            <v>H</v>
          </cell>
        </row>
        <row r="363">
          <cell r="A363" t="str">
            <v>H</v>
          </cell>
        </row>
        <row r="364">
          <cell r="A364" t="str">
            <v>H</v>
          </cell>
        </row>
        <row r="365">
          <cell r="A365" t="str">
            <v>H</v>
          </cell>
        </row>
        <row r="366">
          <cell r="A366" t="str">
            <v>H</v>
          </cell>
        </row>
        <row r="367">
          <cell r="A367" t="str">
            <v>H</v>
          </cell>
        </row>
        <row r="368">
          <cell r="A368" t="str">
            <v>H</v>
          </cell>
        </row>
        <row r="369">
          <cell r="A369" t="str">
            <v>H</v>
          </cell>
        </row>
        <row r="370">
          <cell r="A370" t="str">
            <v>H</v>
          </cell>
        </row>
        <row r="371">
          <cell r="A371" t="str">
            <v>H</v>
          </cell>
        </row>
        <row r="372">
          <cell r="A372" t="str">
            <v>H</v>
          </cell>
        </row>
        <row r="373">
          <cell r="A373" t="str">
            <v>H</v>
          </cell>
        </row>
        <row r="374">
          <cell r="A374" t="str">
            <v>H</v>
          </cell>
        </row>
        <row r="375">
          <cell r="A375" t="str">
            <v>H</v>
          </cell>
        </row>
        <row r="376">
          <cell r="A376" t="str">
            <v>H</v>
          </cell>
        </row>
        <row r="377">
          <cell r="A377" t="str">
            <v>H</v>
          </cell>
        </row>
        <row r="378">
          <cell r="A378" t="str">
            <v>H</v>
          </cell>
        </row>
        <row r="379">
          <cell r="A379" t="str">
            <v>H</v>
          </cell>
        </row>
        <row r="380">
          <cell r="A380" t="str">
            <v>H</v>
          </cell>
        </row>
        <row r="381">
          <cell r="A381" t="str">
            <v>H</v>
          </cell>
        </row>
        <row r="382">
          <cell r="A382" t="str">
            <v>H</v>
          </cell>
        </row>
        <row r="383">
          <cell r="A383" t="str">
            <v>H</v>
          </cell>
        </row>
        <row r="384">
          <cell r="A384" t="str">
            <v>H</v>
          </cell>
        </row>
        <row r="385">
          <cell r="A385" t="str">
            <v>H</v>
          </cell>
        </row>
        <row r="386">
          <cell r="A386" t="str">
            <v>H</v>
          </cell>
        </row>
        <row r="387">
          <cell r="A387" t="str">
            <v>H</v>
          </cell>
        </row>
        <row r="388">
          <cell r="A388" t="str">
            <v>H</v>
          </cell>
        </row>
        <row r="389">
          <cell r="A389" t="str">
            <v>H</v>
          </cell>
        </row>
        <row r="390">
          <cell r="A390" t="str">
            <v>H</v>
          </cell>
        </row>
        <row r="391">
          <cell r="A391" t="str">
            <v>H</v>
          </cell>
        </row>
        <row r="392">
          <cell r="A392" t="str">
            <v>H</v>
          </cell>
        </row>
        <row r="393">
          <cell r="A393" t="str">
            <v>H</v>
          </cell>
        </row>
        <row r="394">
          <cell r="A394" t="str">
            <v>H</v>
          </cell>
        </row>
        <row r="395">
          <cell r="A395" t="str">
            <v>H</v>
          </cell>
        </row>
        <row r="396">
          <cell r="A396" t="str">
            <v>H</v>
          </cell>
        </row>
        <row r="397">
          <cell r="A397" t="str">
            <v>H</v>
          </cell>
        </row>
        <row r="398">
          <cell r="A398" t="str">
            <v>H</v>
          </cell>
        </row>
        <row r="399">
          <cell r="A399" t="str">
            <v>H</v>
          </cell>
        </row>
        <row r="400">
          <cell r="A400" t="str">
            <v>H</v>
          </cell>
        </row>
        <row r="401">
          <cell r="A401" t="str">
            <v>H</v>
          </cell>
        </row>
        <row r="402">
          <cell r="A402" t="str">
            <v>H</v>
          </cell>
        </row>
        <row r="403">
          <cell r="A403" t="str">
            <v>H</v>
          </cell>
        </row>
        <row r="404">
          <cell r="A404" t="str">
            <v>H</v>
          </cell>
        </row>
        <row r="405">
          <cell r="A405" t="str">
            <v>H</v>
          </cell>
        </row>
        <row r="406">
          <cell r="A406" t="str">
            <v>H</v>
          </cell>
        </row>
        <row r="407">
          <cell r="A407" t="str">
            <v>H</v>
          </cell>
        </row>
        <row r="408">
          <cell r="A408" t="str">
            <v>H</v>
          </cell>
        </row>
        <row r="409">
          <cell r="A409" t="str">
            <v>H</v>
          </cell>
        </row>
        <row r="410">
          <cell r="A410" t="str">
            <v>H</v>
          </cell>
        </row>
        <row r="411">
          <cell r="A411" t="str">
            <v>H</v>
          </cell>
        </row>
        <row r="412">
          <cell r="A412" t="str">
            <v>H</v>
          </cell>
        </row>
        <row r="413">
          <cell r="A413" t="str">
            <v>H</v>
          </cell>
        </row>
        <row r="414">
          <cell r="A414" t="str">
            <v>H</v>
          </cell>
        </row>
        <row r="415">
          <cell r="A415" t="str">
            <v>H</v>
          </cell>
        </row>
        <row r="416">
          <cell r="A416" t="str">
            <v>H</v>
          </cell>
        </row>
        <row r="417">
          <cell r="A417" t="str">
            <v>H</v>
          </cell>
        </row>
        <row r="418">
          <cell r="A418" t="str">
            <v>H</v>
          </cell>
        </row>
        <row r="419">
          <cell r="A419" t="str">
            <v>H</v>
          </cell>
        </row>
        <row r="420">
          <cell r="A420" t="str">
            <v>H</v>
          </cell>
        </row>
        <row r="421">
          <cell r="A421" t="str">
            <v>H</v>
          </cell>
        </row>
        <row r="422">
          <cell r="A422" t="str">
            <v>H</v>
          </cell>
        </row>
        <row r="423">
          <cell r="A423" t="str">
            <v>H</v>
          </cell>
        </row>
        <row r="424">
          <cell r="A424" t="str">
            <v>H</v>
          </cell>
        </row>
        <row r="425">
          <cell r="A425" t="str">
            <v>H</v>
          </cell>
        </row>
        <row r="426">
          <cell r="A426" t="str">
            <v>H</v>
          </cell>
        </row>
        <row r="427">
          <cell r="A427" t="str">
            <v>H</v>
          </cell>
        </row>
        <row r="428">
          <cell r="A428" t="str">
            <v>H</v>
          </cell>
        </row>
        <row r="429">
          <cell r="A429" t="str">
            <v>H</v>
          </cell>
        </row>
        <row r="430">
          <cell r="A430" t="str">
            <v>H</v>
          </cell>
        </row>
        <row r="431">
          <cell r="A431" t="str">
            <v>H</v>
          </cell>
        </row>
        <row r="432">
          <cell r="A432" t="str">
            <v>H</v>
          </cell>
        </row>
        <row r="433">
          <cell r="A433" t="str">
            <v>H</v>
          </cell>
        </row>
        <row r="434">
          <cell r="A434" t="str">
            <v>H</v>
          </cell>
        </row>
        <row r="435">
          <cell r="A435" t="str">
            <v>H</v>
          </cell>
        </row>
        <row r="436">
          <cell r="A436" t="str">
            <v>H</v>
          </cell>
        </row>
        <row r="437">
          <cell r="A437" t="str">
            <v>H</v>
          </cell>
        </row>
        <row r="438">
          <cell r="A438" t="str">
            <v>H</v>
          </cell>
        </row>
        <row r="439">
          <cell r="A439" t="str">
            <v>H</v>
          </cell>
        </row>
        <row r="440">
          <cell r="A440" t="str">
            <v>H</v>
          </cell>
        </row>
        <row r="441">
          <cell r="A441" t="str">
            <v>H</v>
          </cell>
        </row>
        <row r="442">
          <cell r="A442" t="str">
            <v>H</v>
          </cell>
        </row>
        <row r="443">
          <cell r="A443" t="str">
            <v>H</v>
          </cell>
        </row>
        <row r="444">
          <cell r="A444" t="str">
            <v>H</v>
          </cell>
        </row>
        <row r="445">
          <cell r="A445" t="str">
            <v>H</v>
          </cell>
        </row>
        <row r="446">
          <cell r="A446" t="str">
            <v>H</v>
          </cell>
        </row>
        <row r="447">
          <cell r="A447" t="str">
            <v>H</v>
          </cell>
        </row>
        <row r="448">
          <cell r="A448" t="str">
            <v>H</v>
          </cell>
        </row>
        <row r="449">
          <cell r="A449" t="str">
            <v>H</v>
          </cell>
        </row>
        <row r="450">
          <cell r="A450" t="str">
            <v>H</v>
          </cell>
        </row>
        <row r="451">
          <cell r="A451" t="str">
            <v>H</v>
          </cell>
        </row>
        <row r="452">
          <cell r="A452" t="str">
            <v>H</v>
          </cell>
        </row>
        <row r="453">
          <cell r="A453" t="str">
            <v>H</v>
          </cell>
        </row>
        <row r="454">
          <cell r="A454" t="str">
            <v>H</v>
          </cell>
        </row>
        <row r="455">
          <cell r="A455" t="str">
            <v>H</v>
          </cell>
        </row>
        <row r="456">
          <cell r="A456" t="str">
            <v>H</v>
          </cell>
        </row>
        <row r="457">
          <cell r="A457" t="str">
            <v>H</v>
          </cell>
        </row>
        <row r="458">
          <cell r="A458" t="str">
            <v>H</v>
          </cell>
        </row>
        <row r="459">
          <cell r="A459" t="str">
            <v>H</v>
          </cell>
        </row>
        <row r="460">
          <cell r="A460" t="str">
            <v>H</v>
          </cell>
        </row>
        <row r="461">
          <cell r="A461" t="str">
            <v>H</v>
          </cell>
        </row>
        <row r="462">
          <cell r="A462" t="str">
            <v>H</v>
          </cell>
        </row>
        <row r="463">
          <cell r="A463" t="str">
            <v>H</v>
          </cell>
        </row>
        <row r="464">
          <cell r="A464" t="str">
            <v>H</v>
          </cell>
        </row>
        <row r="465">
          <cell r="A465" t="str">
            <v>H</v>
          </cell>
        </row>
        <row r="466">
          <cell r="A466" t="str">
            <v>H</v>
          </cell>
        </row>
        <row r="467">
          <cell r="A467" t="str">
            <v>H</v>
          </cell>
        </row>
        <row r="468">
          <cell r="A468" t="str">
            <v>H</v>
          </cell>
        </row>
        <row r="469">
          <cell r="A469" t="str">
            <v>H</v>
          </cell>
        </row>
        <row r="470">
          <cell r="A470" t="str">
            <v>H</v>
          </cell>
        </row>
        <row r="471">
          <cell r="A471" t="str">
            <v>H</v>
          </cell>
        </row>
        <row r="472">
          <cell r="A472" t="str">
            <v>H</v>
          </cell>
        </row>
        <row r="473">
          <cell r="A473" t="str">
            <v>H</v>
          </cell>
        </row>
        <row r="474">
          <cell r="A474" t="str">
            <v>H</v>
          </cell>
        </row>
        <row r="475">
          <cell r="A475" t="str">
            <v>H</v>
          </cell>
        </row>
        <row r="476">
          <cell r="A476" t="str">
            <v>H</v>
          </cell>
        </row>
        <row r="477">
          <cell r="A477" t="str">
            <v>H</v>
          </cell>
        </row>
        <row r="478">
          <cell r="A478" t="str">
            <v>H</v>
          </cell>
        </row>
        <row r="480">
          <cell r="A480" t="str">
            <v>I</v>
          </cell>
        </row>
        <row r="481">
          <cell r="A481" t="str">
            <v>I</v>
          </cell>
        </row>
        <row r="482">
          <cell r="A482" t="str">
            <v>I</v>
          </cell>
        </row>
        <row r="483">
          <cell r="A483" t="str">
            <v>I</v>
          </cell>
        </row>
        <row r="484">
          <cell r="A484" t="str">
            <v>I</v>
          </cell>
        </row>
        <row r="485">
          <cell r="A485" t="str">
            <v>I</v>
          </cell>
        </row>
        <row r="486">
          <cell r="A486" t="str">
            <v>I</v>
          </cell>
        </row>
        <row r="487">
          <cell r="A487" t="str">
            <v>I</v>
          </cell>
        </row>
        <row r="488">
          <cell r="A488" t="str">
            <v>I</v>
          </cell>
        </row>
        <row r="489">
          <cell r="A489" t="str">
            <v>I</v>
          </cell>
        </row>
        <row r="490">
          <cell r="A490" t="str">
            <v>I</v>
          </cell>
        </row>
        <row r="491">
          <cell r="A491" t="str">
            <v>I</v>
          </cell>
        </row>
        <row r="492">
          <cell r="A492" t="str">
            <v>I</v>
          </cell>
        </row>
        <row r="493">
          <cell r="A493" t="str">
            <v>I</v>
          </cell>
        </row>
        <row r="494">
          <cell r="A494" t="str">
            <v>I</v>
          </cell>
        </row>
        <row r="495">
          <cell r="A495" t="str">
            <v>I</v>
          </cell>
        </row>
        <row r="496">
          <cell r="A496" t="str">
            <v>I</v>
          </cell>
        </row>
        <row r="497">
          <cell r="A497" t="str">
            <v>I</v>
          </cell>
        </row>
        <row r="498">
          <cell r="A498" t="str">
            <v>I</v>
          </cell>
        </row>
        <row r="499">
          <cell r="A499" t="str">
            <v>I</v>
          </cell>
        </row>
        <row r="500">
          <cell r="A500" t="str">
            <v>I</v>
          </cell>
        </row>
        <row r="501">
          <cell r="A501" t="str">
            <v>I</v>
          </cell>
        </row>
        <row r="502">
          <cell r="A502" t="str">
            <v>I</v>
          </cell>
        </row>
        <row r="503">
          <cell r="A503" t="str">
            <v>I</v>
          </cell>
        </row>
      </sheetData>
      <sheetData sheetId="1"/>
      <sheetData sheetId="2">
        <row r="14">
          <cell r="A14" t="str">
            <v>A</v>
          </cell>
        </row>
        <row r="15">
          <cell r="A15" t="str">
            <v>A</v>
          </cell>
          <cell r="DR15">
            <v>7073837.4864515197</v>
          </cell>
        </row>
        <row r="16">
          <cell r="A16" t="str">
            <v>A</v>
          </cell>
          <cell r="DR16">
            <v>392944588.67104131</v>
          </cell>
        </row>
        <row r="17">
          <cell r="A17" t="str">
            <v>A</v>
          </cell>
          <cell r="DR17">
            <v>0</v>
          </cell>
        </row>
        <row r="18">
          <cell r="A18" t="str">
            <v>A</v>
          </cell>
          <cell r="DR18">
            <v>0</v>
          </cell>
        </row>
        <row r="19">
          <cell r="A19" t="str">
            <v>A</v>
          </cell>
          <cell r="DR19" t="str">
            <v/>
          </cell>
        </row>
        <row r="20">
          <cell r="A20" t="str">
            <v>A</v>
          </cell>
          <cell r="DR20">
            <v>7147124.9434511662</v>
          </cell>
        </row>
        <row r="21">
          <cell r="A21" t="str">
            <v>A</v>
          </cell>
          <cell r="DR21">
            <v>33566416.158041984</v>
          </cell>
        </row>
        <row r="22">
          <cell r="A22" t="str">
            <v>A</v>
          </cell>
          <cell r="DR22">
            <v>1611895.8273461936</v>
          </cell>
        </row>
        <row r="23">
          <cell r="DR23" t="str">
            <v/>
          </cell>
        </row>
        <row r="24">
          <cell r="A24" t="str">
            <v>B</v>
          </cell>
          <cell r="DR24" t="str">
            <v/>
          </cell>
        </row>
        <row r="25">
          <cell r="A25" t="str">
            <v>B</v>
          </cell>
          <cell r="DR25" t="str">
            <v/>
          </cell>
        </row>
        <row r="26">
          <cell r="A26" t="str">
            <v>B</v>
          </cell>
          <cell r="DR26">
            <v>171145658.89584208</v>
          </cell>
        </row>
        <row r="27">
          <cell r="A27" t="str">
            <v>B</v>
          </cell>
          <cell r="DR27" t="str">
            <v/>
          </cell>
        </row>
        <row r="28">
          <cell r="A28" t="str">
            <v>B</v>
          </cell>
          <cell r="DR28">
            <v>0</v>
          </cell>
        </row>
        <row r="29">
          <cell r="A29" t="str">
            <v>B</v>
          </cell>
          <cell r="DR29">
            <v>49096094.823816702</v>
          </cell>
        </row>
        <row r="30">
          <cell r="A30" t="str">
            <v>B</v>
          </cell>
          <cell r="DR30">
            <v>0</v>
          </cell>
        </row>
        <row r="31">
          <cell r="A31" t="str">
            <v>B</v>
          </cell>
          <cell r="DR31">
            <v>83444182.243504569</v>
          </cell>
        </row>
        <row r="32">
          <cell r="A32" t="str">
            <v>B</v>
          </cell>
          <cell r="DR32">
            <v>0</v>
          </cell>
        </row>
        <row r="33">
          <cell r="A33" t="str">
            <v>B</v>
          </cell>
          <cell r="DR33">
            <v>44797209.684213921</v>
          </cell>
        </row>
        <row r="34">
          <cell r="A34" t="str">
            <v>B</v>
          </cell>
          <cell r="DR34">
            <v>230080647.76457581</v>
          </cell>
        </row>
        <row r="35">
          <cell r="A35" t="str">
            <v>B</v>
          </cell>
          <cell r="DR35">
            <v>0</v>
          </cell>
        </row>
        <row r="36">
          <cell r="A36" t="str">
            <v>B</v>
          </cell>
          <cell r="DR36">
            <v>0</v>
          </cell>
        </row>
        <row r="37">
          <cell r="A37" t="str">
            <v>B</v>
          </cell>
          <cell r="DR37">
            <v>16656867.850673551</v>
          </cell>
        </row>
        <row r="38">
          <cell r="A38" t="str">
            <v>B</v>
          </cell>
          <cell r="DR38">
            <v>0</v>
          </cell>
        </row>
        <row r="39">
          <cell r="A39" t="str">
            <v>B</v>
          </cell>
          <cell r="DR39">
            <v>0</v>
          </cell>
        </row>
        <row r="40">
          <cell r="A40" t="str">
            <v>B</v>
          </cell>
          <cell r="DR40">
            <v>0</v>
          </cell>
        </row>
        <row r="41">
          <cell r="A41" t="str">
            <v>B</v>
          </cell>
          <cell r="DR41">
            <v>0</v>
          </cell>
        </row>
        <row r="42">
          <cell r="A42" t="str">
            <v>B</v>
          </cell>
          <cell r="DR42" t="str">
            <v/>
          </cell>
        </row>
        <row r="43">
          <cell r="A43" t="str">
            <v>B</v>
          </cell>
          <cell r="DR43">
            <v>58082970.644215256</v>
          </cell>
        </row>
        <row r="44">
          <cell r="A44" t="str">
            <v>B</v>
          </cell>
          <cell r="DR44">
            <v>0</v>
          </cell>
        </row>
        <row r="45">
          <cell r="A45" t="str">
            <v>B</v>
          </cell>
          <cell r="DR45">
            <v>31322277.738503456</v>
          </cell>
        </row>
        <row r="46">
          <cell r="A46" t="str">
            <v>B</v>
          </cell>
          <cell r="DR46" t="str">
            <v/>
          </cell>
        </row>
        <row r="47">
          <cell r="A47" t="str">
            <v>B</v>
          </cell>
          <cell r="DR47">
            <v>0</v>
          </cell>
        </row>
        <row r="48">
          <cell r="A48" t="str">
            <v>B</v>
          </cell>
          <cell r="DR48">
            <v>0</v>
          </cell>
        </row>
        <row r="49">
          <cell r="A49" t="str">
            <v>B</v>
          </cell>
          <cell r="DR49">
            <v>0</v>
          </cell>
        </row>
        <row r="50">
          <cell r="A50" t="str">
            <v>B</v>
          </cell>
          <cell r="DR50" t="str">
            <v/>
          </cell>
        </row>
        <row r="51">
          <cell r="A51" t="str">
            <v>B</v>
          </cell>
          <cell r="DR51" t="str">
            <v/>
          </cell>
        </row>
        <row r="52">
          <cell r="A52" t="str">
            <v>B</v>
          </cell>
          <cell r="DR52" t="str">
            <v/>
          </cell>
        </row>
        <row r="53">
          <cell r="A53" t="str">
            <v>B</v>
          </cell>
          <cell r="DR53">
            <v>4319655.5944314068</v>
          </cell>
        </row>
        <row r="54">
          <cell r="DR54" t="str">
            <v/>
          </cell>
        </row>
        <row r="55">
          <cell r="A55" t="str">
            <v>C</v>
          </cell>
          <cell r="DR55" t="str">
            <v/>
          </cell>
        </row>
        <row r="56">
          <cell r="A56" t="str">
            <v>C</v>
          </cell>
          <cell r="DR56" t="str">
            <v/>
          </cell>
        </row>
        <row r="57">
          <cell r="A57" t="str">
            <v>C</v>
          </cell>
          <cell r="DR57">
            <v>0</v>
          </cell>
        </row>
        <row r="58">
          <cell r="A58" t="str">
            <v>C</v>
          </cell>
          <cell r="DR58" t="str">
            <v/>
          </cell>
        </row>
        <row r="59">
          <cell r="A59" t="str">
            <v>C</v>
          </cell>
          <cell r="DR59">
            <v>0</v>
          </cell>
        </row>
        <row r="60">
          <cell r="A60" t="str">
            <v>C</v>
          </cell>
          <cell r="DR60" t="str">
            <v/>
          </cell>
        </row>
        <row r="61">
          <cell r="A61" t="str">
            <v>C</v>
          </cell>
          <cell r="DR61">
            <v>0</v>
          </cell>
        </row>
        <row r="62">
          <cell r="A62" t="str">
            <v>C</v>
          </cell>
          <cell r="DR62">
            <v>0</v>
          </cell>
        </row>
        <row r="63">
          <cell r="A63" t="str">
            <v>C</v>
          </cell>
          <cell r="DR63">
            <v>0</v>
          </cell>
        </row>
        <row r="64">
          <cell r="A64" t="str">
            <v>C</v>
          </cell>
          <cell r="DR64">
            <v>0</v>
          </cell>
        </row>
        <row r="65">
          <cell r="A65" t="str">
            <v>C</v>
          </cell>
          <cell r="DR65">
            <v>0</v>
          </cell>
        </row>
        <row r="66">
          <cell r="A66" t="str">
            <v>C</v>
          </cell>
          <cell r="DR66">
            <v>0</v>
          </cell>
        </row>
        <row r="67">
          <cell r="A67" t="str">
            <v>C</v>
          </cell>
          <cell r="DR67">
            <v>0</v>
          </cell>
        </row>
        <row r="68">
          <cell r="A68" t="str">
            <v>C</v>
          </cell>
          <cell r="DR68">
            <v>0</v>
          </cell>
        </row>
        <row r="69">
          <cell r="A69" t="str">
            <v>C</v>
          </cell>
          <cell r="DR69">
            <v>0</v>
          </cell>
        </row>
        <row r="70">
          <cell r="A70" t="str">
            <v>C</v>
          </cell>
          <cell r="DR70">
            <v>0</v>
          </cell>
        </row>
        <row r="71">
          <cell r="A71" t="str">
            <v>C</v>
          </cell>
          <cell r="DR71">
            <v>0</v>
          </cell>
        </row>
        <row r="72">
          <cell r="A72" t="str">
            <v>C</v>
          </cell>
          <cell r="DR72">
            <v>0</v>
          </cell>
        </row>
        <row r="73">
          <cell r="A73" t="str">
            <v>C</v>
          </cell>
          <cell r="DR73">
            <v>0</v>
          </cell>
        </row>
        <row r="74">
          <cell r="A74" t="str">
            <v>C</v>
          </cell>
          <cell r="DR74" t="str">
            <v/>
          </cell>
        </row>
        <row r="75">
          <cell r="A75" t="str">
            <v>C</v>
          </cell>
          <cell r="DR75">
            <v>0</v>
          </cell>
        </row>
        <row r="76">
          <cell r="A76" t="str">
            <v>C</v>
          </cell>
          <cell r="DR76">
            <v>0</v>
          </cell>
        </row>
        <row r="77">
          <cell r="A77" t="str">
            <v>C</v>
          </cell>
          <cell r="DR77">
            <v>0</v>
          </cell>
        </row>
        <row r="78">
          <cell r="A78" t="str">
            <v>C</v>
          </cell>
          <cell r="DR78" t="str">
            <v/>
          </cell>
        </row>
        <row r="79">
          <cell r="A79" t="str">
            <v>C</v>
          </cell>
          <cell r="DR79">
            <v>0</v>
          </cell>
        </row>
        <row r="80">
          <cell r="A80" t="str">
            <v>C</v>
          </cell>
          <cell r="DR80">
            <v>0</v>
          </cell>
        </row>
        <row r="81">
          <cell r="A81" t="str">
            <v>C</v>
          </cell>
          <cell r="DR81">
            <v>0</v>
          </cell>
        </row>
        <row r="82">
          <cell r="A82" t="str">
            <v>C</v>
          </cell>
          <cell r="DR82">
            <v>0</v>
          </cell>
        </row>
        <row r="83">
          <cell r="A83" t="str">
            <v>C</v>
          </cell>
          <cell r="DR83">
            <v>0</v>
          </cell>
        </row>
        <row r="84">
          <cell r="A84" t="str">
            <v>C</v>
          </cell>
          <cell r="DR84">
            <v>0</v>
          </cell>
        </row>
        <row r="85">
          <cell r="A85" t="str">
            <v>C</v>
          </cell>
          <cell r="DR85" t="str">
            <v/>
          </cell>
        </row>
        <row r="86">
          <cell r="A86" t="str">
            <v>C</v>
          </cell>
          <cell r="DR86" t="str">
            <v/>
          </cell>
        </row>
        <row r="87">
          <cell r="DR87" t="str">
            <v/>
          </cell>
        </row>
        <row r="88">
          <cell r="A88" t="str">
            <v>D</v>
          </cell>
          <cell r="DR88" t="str">
            <v/>
          </cell>
        </row>
        <row r="89">
          <cell r="A89" t="str">
            <v>D</v>
          </cell>
          <cell r="DR89" t="str">
            <v/>
          </cell>
        </row>
        <row r="90">
          <cell r="A90" t="str">
            <v>D</v>
          </cell>
          <cell r="DR90">
            <v>0</v>
          </cell>
        </row>
        <row r="91">
          <cell r="A91" t="str">
            <v>D</v>
          </cell>
          <cell r="DR91">
            <v>0</v>
          </cell>
        </row>
        <row r="92">
          <cell r="A92" t="str">
            <v>D</v>
          </cell>
          <cell r="DR92" t="str">
            <v/>
          </cell>
        </row>
        <row r="93">
          <cell r="A93" t="str">
            <v>D</v>
          </cell>
          <cell r="DR93">
            <v>0</v>
          </cell>
        </row>
        <row r="94">
          <cell r="A94" t="str">
            <v>D</v>
          </cell>
          <cell r="DR94">
            <v>0</v>
          </cell>
        </row>
        <row r="95">
          <cell r="A95" t="str">
            <v>D</v>
          </cell>
          <cell r="DR95">
            <v>0</v>
          </cell>
        </row>
        <row r="96">
          <cell r="A96" t="str">
            <v>D</v>
          </cell>
          <cell r="DR96">
            <v>0</v>
          </cell>
        </row>
        <row r="97">
          <cell r="A97" t="str">
            <v>D</v>
          </cell>
          <cell r="DR97">
            <v>0</v>
          </cell>
        </row>
        <row r="98">
          <cell r="A98" t="str">
            <v>D</v>
          </cell>
          <cell r="DR98">
            <v>0</v>
          </cell>
        </row>
        <row r="99">
          <cell r="A99" t="str">
            <v>D</v>
          </cell>
          <cell r="DR99">
            <v>0</v>
          </cell>
        </row>
        <row r="100">
          <cell r="A100" t="str">
            <v>D</v>
          </cell>
          <cell r="DR100">
            <v>0</v>
          </cell>
        </row>
        <row r="101">
          <cell r="A101" t="str">
            <v>D</v>
          </cell>
          <cell r="DR101">
            <v>0</v>
          </cell>
        </row>
        <row r="102">
          <cell r="A102" t="str">
            <v>D</v>
          </cell>
          <cell r="DR102">
            <v>0</v>
          </cell>
        </row>
        <row r="103">
          <cell r="A103" t="str">
            <v>D</v>
          </cell>
          <cell r="DR103" t="str">
            <v/>
          </cell>
        </row>
        <row r="104">
          <cell r="A104" t="str">
            <v>D</v>
          </cell>
          <cell r="DR104" t="str">
            <v/>
          </cell>
        </row>
        <row r="105">
          <cell r="A105" t="str">
            <v>D</v>
          </cell>
          <cell r="DR105">
            <v>0</v>
          </cell>
        </row>
        <row r="106">
          <cell r="A106" t="str">
            <v>D</v>
          </cell>
          <cell r="DR106">
            <v>0</v>
          </cell>
        </row>
        <row r="107">
          <cell r="A107" t="str">
            <v>D</v>
          </cell>
          <cell r="DR107">
            <v>0</v>
          </cell>
        </row>
        <row r="108">
          <cell r="A108" t="str">
            <v>D</v>
          </cell>
          <cell r="DR108">
            <v>0</v>
          </cell>
        </row>
        <row r="109">
          <cell r="A109" t="str">
            <v>D</v>
          </cell>
          <cell r="DR109">
            <v>0</v>
          </cell>
        </row>
        <row r="110">
          <cell r="A110" t="str">
            <v>D</v>
          </cell>
          <cell r="DR110">
            <v>0</v>
          </cell>
        </row>
        <row r="111">
          <cell r="A111" t="str">
            <v>D</v>
          </cell>
          <cell r="DR111">
            <v>0</v>
          </cell>
        </row>
        <row r="112">
          <cell r="A112" t="str">
            <v>D</v>
          </cell>
          <cell r="DR112">
            <v>0</v>
          </cell>
        </row>
        <row r="113">
          <cell r="A113" t="str">
            <v>D</v>
          </cell>
          <cell r="DR113">
            <v>0</v>
          </cell>
        </row>
        <row r="114">
          <cell r="A114" t="str">
            <v>D</v>
          </cell>
          <cell r="DR114">
            <v>0</v>
          </cell>
        </row>
        <row r="115">
          <cell r="A115" t="str">
            <v>D</v>
          </cell>
          <cell r="DR115">
            <v>0</v>
          </cell>
        </row>
        <row r="116">
          <cell r="A116" t="str">
            <v>D</v>
          </cell>
          <cell r="DR116">
            <v>0</v>
          </cell>
        </row>
        <row r="117">
          <cell r="A117" t="str">
            <v>D</v>
          </cell>
          <cell r="DR117">
            <v>0</v>
          </cell>
        </row>
        <row r="118">
          <cell r="A118" t="str">
            <v>D</v>
          </cell>
          <cell r="DR118">
            <v>0</v>
          </cell>
        </row>
        <row r="119">
          <cell r="A119" t="str">
            <v>D</v>
          </cell>
          <cell r="DR119">
            <v>0</v>
          </cell>
        </row>
        <row r="120">
          <cell r="A120" t="str">
            <v>D</v>
          </cell>
          <cell r="DR120">
            <v>0</v>
          </cell>
        </row>
        <row r="121">
          <cell r="A121" t="str">
            <v>D</v>
          </cell>
          <cell r="DR121" t="str">
            <v/>
          </cell>
        </row>
        <row r="122">
          <cell r="A122" t="str">
            <v>D</v>
          </cell>
          <cell r="DR122">
            <v>0</v>
          </cell>
        </row>
        <row r="123">
          <cell r="A123" t="str">
            <v>D</v>
          </cell>
          <cell r="DR123">
            <v>0</v>
          </cell>
        </row>
        <row r="124">
          <cell r="A124" t="str">
            <v>D</v>
          </cell>
          <cell r="DR124">
            <v>0</v>
          </cell>
        </row>
        <row r="125">
          <cell r="A125" t="str">
            <v>D</v>
          </cell>
          <cell r="DR125">
            <v>0</v>
          </cell>
        </row>
        <row r="126">
          <cell r="A126" t="str">
            <v>D</v>
          </cell>
          <cell r="DR126">
            <v>0</v>
          </cell>
        </row>
        <row r="127">
          <cell r="A127" t="str">
            <v>D</v>
          </cell>
          <cell r="DR127">
            <v>0</v>
          </cell>
        </row>
        <row r="128">
          <cell r="A128" t="str">
            <v>D</v>
          </cell>
          <cell r="DR128" t="str">
            <v/>
          </cell>
        </row>
        <row r="129">
          <cell r="A129" t="str">
            <v>E</v>
          </cell>
          <cell r="DR129" t="str">
            <v/>
          </cell>
        </row>
        <row r="130">
          <cell r="A130" t="str">
            <v>E</v>
          </cell>
          <cell r="DR130" t="str">
            <v/>
          </cell>
        </row>
        <row r="131">
          <cell r="A131" t="str">
            <v>E</v>
          </cell>
          <cell r="DR131">
            <v>0</v>
          </cell>
        </row>
        <row r="132">
          <cell r="A132" t="str">
            <v>E</v>
          </cell>
          <cell r="DR132">
            <v>0</v>
          </cell>
        </row>
        <row r="133">
          <cell r="A133" t="str">
            <v>E</v>
          </cell>
          <cell r="DR133" t="str">
            <v/>
          </cell>
        </row>
        <row r="134">
          <cell r="A134" t="str">
            <v>E</v>
          </cell>
          <cell r="DR134">
            <v>0</v>
          </cell>
        </row>
        <row r="135">
          <cell r="A135" t="str">
            <v>E</v>
          </cell>
          <cell r="DR135">
            <v>0</v>
          </cell>
        </row>
        <row r="136">
          <cell r="A136" t="str">
            <v>E</v>
          </cell>
          <cell r="DR136">
            <v>0</v>
          </cell>
        </row>
        <row r="137">
          <cell r="A137" t="str">
            <v>E</v>
          </cell>
          <cell r="DR137">
            <v>0</v>
          </cell>
        </row>
        <row r="138">
          <cell r="A138" t="str">
            <v>E</v>
          </cell>
          <cell r="DR138">
            <v>0</v>
          </cell>
        </row>
        <row r="139">
          <cell r="A139" t="str">
            <v>E</v>
          </cell>
          <cell r="DR139">
            <v>0</v>
          </cell>
        </row>
        <row r="140">
          <cell r="A140" t="str">
            <v>E</v>
          </cell>
          <cell r="DR140">
            <v>0</v>
          </cell>
        </row>
        <row r="141">
          <cell r="A141" t="str">
            <v>E</v>
          </cell>
          <cell r="DR141">
            <v>0</v>
          </cell>
        </row>
        <row r="142">
          <cell r="A142" t="str">
            <v>E</v>
          </cell>
          <cell r="DR142">
            <v>0</v>
          </cell>
        </row>
        <row r="143">
          <cell r="A143" t="str">
            <v>E</v>
          </cell>
          <cell r="DR143">
            <v>0</v>
          </cell>
        </row>
        <row r="144">
          <cell r="A144" t="str">
            <v>E</v>
          </cell>
          <cell r="DR144">
            <v>0</v>
          </cell>
        </row>
        <row r="145">
          <cell r="A145" t="str">
            <v>E</v>
          </cell>
          <cell r="DR145">
            <v>0</v>
          </cell>
        </row>
        <row r="146">
          <cell r="A146" t="str">
            <v>E</v>
          </cell>
          <cell r="DR146">
            <v>0</v>
          </cell>
        </row>
        <row r="147">
          <cell r="A147" t="str">
            <v>E</v>
          </cell>
          <cell r="DR147">
            <v>0</v>
          </cell>
        </row>
        <row r="148">
          <cell r="A148" t="str">
            <v>E</v>
          </cell>
          <cell r="DR148">
            <v>0</v>
          </cell>
        </row>
        <row r="149">
          <cell r="A149" t="str">
            <v>E</v>
          </cell>
          <cell r="DR149">
            <v>0</v>
          </cell>
        </row>
        <row r="150">
          <cell r="A150" t="str">
            <v>E</v>
          </cell>
          <cell r="DR150">
            <v>0</v>
          </cell>
        </row>
        <row r="151">
          <cell r="A151" t="str">
            <v>E</v>
          </cell>
          <cell r="DR151">
            <v>0</v>
          </cell>
        </row>
        <row r="152">
          <cell r="A152" t="str">
            <v>E</v>
          </cell>
          <cell r="DR152" t="str">
            <v/>
          </cell>
        </row>
        <row r="153">
          <cell r="A153" t="str">
            <v>E</v>
          </cell>
          <cell r="DR153">
            <v>0</v>
          </cell>
        </row>
        <row r="154">
          <cell r="A154" t="str">
            <v>E</v>
          </cell>
          <cell r="DR154">
            <v>0</v>
          </cell>
        </row>
        <row r="155">
          <cell r="A155" t="str">
            <v>E</v>
          </cell>
          <cell r="DR155">
            <v>0</v>
          </cell>
        </row>
        <row r="156">
          <cell r="A156" t="str">
            <v>E</v>
          </cell>
          <cell r="DR156">
            <v>0</v>
          </cell>
        </row>
        <row r="157">
          <cell r="A157" t="str">
            <v>E</v>
          </cell>
          <cell r="DR157">
            <v>0</v>
          </cell>
        </row>
        <row r="158">
          <cell r="A158" t="str">
            <v>E</v>
          </cell>
          <cell r="DR158">
            <v>0</v>
          </cell>
        </row>
        <row r="159">
          <cell r="A159" t="str">
            <v>E</v>
          </cell>
          <cell r="DR159">
            <v>0</v>
          </cell>
        </row>
        <row r="160">
          <cell r="A160" t="str">
            <v>E</v>
          </cell>
          <cell r="DR160">
            <v>0</v>
          </cell>
        </row>
        <row r="161">
          <cell r="A161" t="str">
            <v>E</v>
          </cell>
          <cell r="DR161">
            <v>0</v>
          </cell>
        </row>
        <row r="162">
          <cell r="A162" t="str">
            <v>E</v>
          </cell>
          <cell r="DR162">
            <v>0</v>
          </cell>
        </row>
        <row r="163">
          <cell r="A163" t="str">
            <v>E</v>
          </cell>
          <cell r="DR163">
            <v>0</v>
          </cell>
        </row>
        <row r="164">
          <cell r="A164" t="str">
            <v>E</v>
          </cell>
          <cell r="DR164">
            <v>0</v>
          </cell>
        </row>
        <row r="165">
          <cell r="A165" t="str">
            <v>E</v>
          </cell>
          <cell r="DR165">
            <v>0</v>
          </cell>
        </row>
        <row r="166">
          <cell r="A166" t="str">
            <v>E</v>
          </cell>
          <cell r="DR166">
            <v>0</v>
          </cell>
        </row>
        <row r="167">
          <cell r="A167" t="str">
            <v>E</v>
          </cell>
          <cell r="DR167">
            <v>0</v>
          </cell>
        </row>
        <row r="168">
          <cell r="A168" t="str">
            <v>E</v>
          </cell>
          <cell r="DR168">
            <v>0</v>
          </cell>
        </row>
        <row r="169">
          <cell r="A169" t="str">
            <v>E</v>
          </cell>
          <cell r="DR169">
            <v>0</v>
          </cell>
        </row>
        <row r="170">
          <cell r="A170" t="str">
            <v>E</v>
          </cell>
          <cell r="DR170">
            <v>0</v>
          </cell>
        </row>
        <row r="171">
          <cell r="A171" t="str">
            <v>E</v>
          </cell>
          <cell r="DR171">
            <v>0</v>
          </cell>
        </row>
        <row r="172">
          <cell r="A172" t="str">
            <v>E</v>
          </cell>
          <cell r="DR172">
            <v>0</v>
          </cell>
        </row>
        <row r="173">
          <cell r="A173" t="str">
            <v>E</v>
          </cell>
          <cell r="DR173" t="str">
            <v/>
          </cell>
        </row>
        <row r="174">
          <cell r="A174" t="str">
            <v>E</v>
          </cell>
          <cell r="DR174" t="str">
            <v/>
          </cell>
        </row>
        <row r="175">
          <cell r="A175" t="str">
            <v>E</v>
          </cell>
          <cell r="DR175" t="str">
            <v/>
          </cell>
        </row>
        <row r="176">
          <cell r="A176" t="str">
            <v>E</v>
          </cell>
          <cell r="DR176" t="str">
            <v/>
          </cell>
        </row>
        <row r="177">
          <cell r="A177" t="str">
            <v>E</v>
          </cell>
          <cell r="DR177">
            <v>0</v>
          </cell>
        </row>
        <row r="178">
          <cell r="A178" t="str">
            <v>E</v>
          </cell>
          <cell r="DR178">
            <v>0</v>
          </cell>
        </row>
        <row r="179">
          <cell r="A179" t="str">
            <v>E</v>
          </cell>
          <cell r="DR179">
            <v>0</v>
          </cell>
        </row>
        <row r="180">
          <cell r="A180" t="str">
            <v>E</v>
          </cell>
          <cell r="DR180">
            <v>0</v>
          </cell>
        </row>
        <row r="181">
          <cell r="A181" t="str">
            <v>E</v>
          </cell>
          <cell r="DR181">
            <v>0</v>
          </cell>
        </row>
        <row r="182">
          <cell r="A182" t="str">
            <v>E</v>
          </cell>
          <cell r="DR182">
            <v>0</v>
          </cell>
        </row>
        <row r="183">
          <cell r="A183" t="str">
            <v>E</v>
          </cell>
          <cell r="DR183">
            <v>0</v>
          </cell>
        </row>
        <row r="184">
          <cell r="A184" t="str">
            <v>E</v>
          </cell>
          <cell r="DR184">
            <v>0</v>
          </cell>
        </row>
        <row r="185">
          <cell r="A185" t="str">
            <v>E</v>
          </cell>
          <cell r="DR185" t="str">
            <v/>
          </cell>
        </row>
        <row r="186">
          <cell r="A186" t="str">
            <v>E</v>
          </cell>
          <cell r="DR186" t="str">
            <v/>
          </cell>
        </row>
        <row r="187">
          <cell r="DR187" t="str">
            <v/>
          </cell>
        </row>
        <row r="188">
          <cell r="A188" t="str">
            <v>F</v>
          </cell>
          <cell r="DR188" t="str">
            <v/>
          </cell>
        </row>
        <row r="189">
          <cell r="A189" t="str">
            <v>F</v>
          </cell>
          <cell r="DR189" t="str">
            <v/>
          </cell>
        </row>
        <row r="190">
          <cell r="A190" t="str">
            <v>F</v>
          </cell>
          <cell r="DR190">
            <v>1644068.3512807554</v>
          </cell>
        </row>
        <row r="191">
          <cell r="A191" t="str">
            <v>F</v>
          </cell>
          <cell r="DR191">
            <v>0</v>
          </cell>
        </row>
        <row r="192">
          <cell r="A192" t="str">
            <v>F</v>
          </cell>
          <cell r="DR192">
            <v>0</v>
          </cell>
        </row>
        <row r="193">
          <cell r="A193" t="str">
            <v>F</v>
          </cell>
          <cell r="DR193" t="str">
            <v/>
          </cell>
        </row>
        <row r="194">
          <cell r="A194" t="str">
            <v>F</v>
          </cell>
          <cell r="DR194" t="str">
            <v/>
          </cell>
        </row>
        <row r="195">
          <cell r="A195" t="str">
            <v>F</v>
          </cell>
          <cell r="DR195">
            <v>0</v>
          </cell>
        </row>
        <row r="196">
          <cell r="A196" t="str">
            <v>F</v>
          </cell>
          <cell r="DR196">
            <v>0</v>
          </cell>
        </row>
        <row r="197">
          <cell r="A197" t="str">
            <v>F</v>
          </cell>
          <cell r="DR197" t="str">
            <v/>
          </cell>
        </row>
        <row r="198">
          <cell r="A198" t="str">
            <v>F</v>
          </cell>
          <cell r="DR198">
            <v>0</v>
          </cell>
        </row>
        <row r="199">
          <cell r="A199" t="str">
            <v>F</v>
          </cell>
          <cell r="DR199">
            <v>0</v>
          </cell>
        </row>
        <row r="200">
          <cell r="A200" t="str">
            <v>F</v>
          </cell>
          <cell r="DR200">
            <v>0</v>
          </cell>
        </row>
        <row r="201">
          <cell r="A201" t="str">
            <v>F</v>
          </cell>
          <cell r="DR201">
            <v>0</v>
          </cell>
        </row>
        <row r="202">
          <cell r="A202" t="str">
            <v>F</v>
          </cell>
          <cell r="DR202">
            <v>0</v>
          </cell>
        </row>
        <row r="203">
          <cell r="A203" t="str">
            <v>F</v>
          </cell>
          <cell r="DR203">
            <v>0</v>
          </cell>
        </row>
        <row r="204">
          <cell r="A204" t="str">
            <v>F</v>
          </cell>
          <cell r="DR204">
            <v>0</v>
          </cell>
        </row>
        <row r="205">
          <cell r="A205" t="str">
            <v>F</v>
          </cell>
          <cell r="DR205">
            <v>0</v>
          </cell>
        </row>
        <row r="206">
          <cell r="A206" t="str">
            <v>F</v>
          </cell>
          <cell r="DR206">
            <v>0</v>
          </cell>
        </row>
        <row r="207">
          <cell r="A207" t="str">
            <v>F</v>
          </cell>
          <cell r="DR207" t="str">
            <v/>
          </cell>
        </row>
        <row r="208">
          <cell r="A208" t="str">
            <v>F</v>
          </cell>
          <cell r="DR208">
            <v>0</v>
          </cell>
        </row>
        <row r="209">
          <cell r="A209" t="str">
            <v>F</v>
          </cell>
          <cell r="DR209">
            <v>0</v>
          </cell>
        </row>
        <row r="210">
          <cell r="A210" t="str">
            <v>F</v>
          </cell>
          <cell r="DR210">
            <v>0</v>
          </cell>
        </row>
        <row r="211">
          <cell r="A211" t="str">
            <v>F</v>
          </cell>
          <cell r="DR211">
            <v>0</v>
          </cell>
        </row>
        <row r="212">
          <cell r="A212" t="str">
            <v>F</v>
          </cell>
          <cell r="DR212">
            <v>0</v>
          </cell>
        </row>
        <row r="213">
          <cell r="A213" t="str">
            <v>F</v>
          </cell>
          <cell r="DR213">
            <v>0</v>
          </cell>
        </row>
        <row r="214">
          <cell r="A214" t="str">
            <v>F</v>
          </cell>
          <cell r="DR214" t="str">
            <v/>
          </cell>
        </row>
        <row r="215">
          <cell r="A215" t="str">
            <v>F</v>
          </cell>
          <cell r="DR215">
            <v>0</v>
          </cell>
        </row>
        <row r="216">
          <cell r="A216" t="str">
            <v>F</v>
          </cell>
          <cell r="DR216" t="str">
            <v/>
          </cell>
        </row>
        <row r="217">
          <cell r="A217" t="str">
            <v>F</v>
          </cell>
          <cell r="DR217" t="str">
            <v/>
          </cell>
        </row>
        <row r="218">
          <cell r="A218" t="str">
            <v>F</v>
          </cell>
          <cell r="DR218" t="str">
            <v/>
          </cell>
        </row>
        <row r="219">
          <cell r="A219" t="str">
            <v>F</v>
          </cell>
          <cell r="DR219">
            <v>0</v>
          </cell>
        </row>
        <row r="220">
          <cell r="A220" t="str">
            <v>F</v>
          </cell>
          <cell r="DR220">
            <v>0</v>
          </cell>
        </row>
        <row r="221">
          <cell r="A221" t="str">
            <v>F</v>
          </cell>
          <cell r="DR221" t="str">
            <v/>
          </cell>
        </row>
        <row r="222">
          <cell r="A222" t="str">
            <v>F</v>
          </cell>
          <cell r="DR222">
            <v>0</v>
          </cell>
        </row>
        <row r="223">
          <cell r="A223" t="str">
            <v>F</v>
          </cell>
          <cell r="DR223">
            <v>0</v>
          </cell>
        </row>
        <row r="224">
          <cell r="A224" t="str">
            <v>F</v>
          </cell>
          <cell r="DR224">
            <v>0</v>
          </cell>
        </row>
        <row r="225">
          <cell r="A225" t="str">
            <v>F</v>
          </cell>
          <cell r="DR225">
            <v>0</v>
          </cell>
        </row>
        <row r="226">
          <cell r="A226" t="str">
            <v>F</v>
          </cell>
          <cell r="DR226">
            <v>0</v>
          </cell>
        </row>
        <row r="227">
          <cell r="A227" t="str">
            <v>F</v>
          </cell>
          <cell r="DR227">
            <v>0</v>
          </cell>
        </row>
        <row r="228">
          <cell r="A228" t="str">
            <v>F</v>
          </cell>
          <cell r="DR228">
            <v>0</v>
          </cell>
        </row>
        <row r="229">
          <cell r="A229" t="str">
            <v>F</v>
          </cell>
          <cell r="DR229">
            <v>0</v>
          </cell>
        </row>
        <row r="230">
          <cell r="A230" t="str">
            <v>F</v>
          </cell>
          <cell r="DR230">
            <v>0</v>
          </cell>
        </row>
        <row r="231">
          <cell r="A231" t="str">
            <v>F</v>
          </cell>
          <cell r="DR231">
            <v>0</v>
          </cell>
        </row>
        <row r="232">
          <cell r="A232" t="str">
            <v>F</v>
          </cell>
          <cell r="DR232" t="str">
            <v/>
          </cell>
        </row>
        <row r="233">
          <cell r="A233" t="str">
            <v>F</v>
          </cell>
          <cell r="DR233">
            <v>0</v>
          </cell>
        </row>
        <row r="234">
          <cell r="A234" t="str">
            <v>F</v>
          </cell>
          <cell r="DR234">
            <v>0</v>
          </cell>
        </row>
        <row r="235">
          <cell r="A235" t="str">
            <v>F</v>
          </cell>
          <cell r="DR235">
            <v>0</v>
          </cell>
        </row>
        <row r="236">
          <cell r="A236" t="str">
            <v>F</v>
          </cell>
          <cell r="DR236" t="str">
            <v/>
          </cell>
        </row>
        <row r="237">
          <cell r="A237" t="str">
            <v>F</v>
          </cell>
          <cell r="DR237">
            <v>0</v>
          </cell>
        </row>
        <row r="238">
          <cell r="A238" t="str">
            <v>F</v>
          </cell>
          <cell r="DR238">
            <v>0</v>
          </cell>
        </row>
        <row r="239">
          <cell r="A239" t="str">
            <v>F</v>
          </cell>
          <cell r="DR239" t="str">
            <v/>
          </cell>
        </row>
        <row r="240">
          <cell r="A240" t="str">
            <v>F</v>
          </cell>
          <cell r="DR240">
            <v>0</v>
          </cell>
        </row>
        <row r="241">
          <cell r="A241" t="str">
            <v>F</v>
          </cell>
          <cell r="DR241">
            <v>0</v>
          </cell>
        </row>
        <row r="242">
          <cell r="A242" t="str">
            <v>F</v>
          </cell>
          <cell r="DR242">
            <v>0</v>
          </cell>
        </row>
        <row r="243">
          <cell r="A243" t="str">
            <v>F</v>
          </cell>
          <cell r="DR243">
            <v>0</v>
          </cell>
        </row>
        <row r="244">
          <cell r="A244" t="str">
            <v>F</v>
          </cell>
          <cell r="DR244">
            <v>0</v>
          </cell>
        </row>
        <row r="245">
          <cell r="A245" t="str">
            <v>F</v>
          </cell>
          <cell r="DR245">
            <v>0</v>
          </cell>
        </row>
        <row r="246">
          <cell r="A246" t="str">
            <v>F</v>
          </cell>
          <cell r="DR246">
            <v>0</v>
          </cell>
        </row>
        <row r="247">
          <cell r="A247" t="str">
            <v>F</v>
          </cell>
          <cell r="DR247">
            <v>0</v>
          </cell>
        </row>
        <row r="248">
          <cell r="A248" t="str">
            <v>F</v>
          </cell>
          <cell r="DR248">
            <v>0</v>
          </cell>
        </row>
        <row r="249">
          <cell r="A249" t="str">
            <v>F</v>
          </cell>
          <cell r="DR249" t="str">
            <v/>
          </cell>
        </row>
        <row r="250">
          <cell r="A250" t="str">
            <v>F</v>
          </cell>
          <cell r="DR250">
            <v>0</v>
          </cell>
        </row>
        <row r="251">
          <cell r="A251" t="str">
            <v>F</v>
          </cell>
          <cell r="DR251">
            <v>0</v>
          </cell>
        </row>
        <row r="252">
          <cell r="A252" t="str">
            <v>F</v>
          </cell>
          <cell r="DR252">
            <v>0</v>
          </cell>
        </row>
        <row r="253">
          <cell r="A253" t="str">
            <v>F</v>
          </cell>
          <cell r="DR253" t="str">
            <v/>
          </cell>
        </row>
        <row r="254">
          <cell r="A254" t="str">
            <v>F</v>
          </cell>
          <cell r="DR254" t="str">
            <v/>
          </cell>
        </row>
        <row r="255">
          <cell r="A255" t="str">
            <v>F</v>
          </cell>
          <cell r="DR255">
            <v>0</v>
          </cell>
        </row>
        <row r="256">
          <cell r="A256" t="str">
            <v>F</v>
          </cell>
          <cell r="DR256">
            <v>0</v>
          </cell>
        </row>
        <row r="257">
          <cell r="A257" t="str">
            <v>F</v>
          </cell>
          <cell r="DR257">
            <v>0</v>
          </cell>
        </row>
        <row r="258">
          <cell r="A258" t="str">
            <v>F</v>
          </cell>
          <cell r="DR258">
            <v>0</v>
          </cell>
        </row>
        <row r="259">
          <cell r="A259" t="str">
            <v>F</v>
          </cell>
          <cell r="DR259">
            <v>0</v>
          </cell>
        </row>
        <row r="260">
          <cell r="A260" t="str">
            <v>F</v>
          </cell>
          <cell r="DR260">
            <v>0</v>
          </cell>
        </row>
        <row r="261">
          <cell r="A261" t="str">
            <v>F</v>
          </cell>
          <cell r="DR261">
            <v>0</v>
          </cell>
        </row>
        <row r="262">
          <cell r="A262" t="str">
            <v>F</v>
          </cell>
          <cell r="DR262">
            <v>0</v>
          </cell>
        </row>
        <row r="263">
          <cell r="A263" t="str">
            <v>F</v>
          </cell>
          <cell r="DR263">
            <v>0</v>
          </cell>
        </row>
        <row r="264">
          <cell r="A264" t="str">
            <v>F</v>
          </cell>
          <cell r="DR264">
            <v>0</v>
          </cell>
        </row>
        <row r="265">
          <cell r="A265" t="str">
            <v>F</v>
          </cell>
          <cell r="DR265" t="str">
            <v/>
          </cell>
        </row>
        <row r="266">
          <cell r="A266" t="str">
            <v>F</v>
          </cell>
          <cell r="DR266">
            <v>0</v>
          </cell>
        </row>
        <row r="267">
          <cell r="DR267" t="str">
            <v/>
          </cell>
        </row>
        <row r="268">
          <cell r="DR268" t="str">
            <v/>
          </cell>
        </row>
        <row r="269">
          <cell r="DR269" t="str">
            <v/>
          </cell>
        </row>
        <row r="270">
          <cell r="A270" t="str">
            <v>H</v>
          </cell>
          <cell r="DR270" t="str">
            <v/>
          </cell>
        </row>
        <row r="271">
          <cell r="A271" t="str">
            <v>H</v>
          </cell>
          <cell r="DR271" t="str">
            <v/>
          </cell>
        </row>
        <row r="272">
          <cell r="A272" t="str">
            <v>H</v>
          </cell>
          <cell r="DR272">
            <v>0</v>
          </cell>
        </row>
        <row r="273">
          <cell r="A273" t="str">
            <v>H</v>
          </cell>
          <cell r="DR273">
            <v>0</v>
          </cell>
        </row>
        <row r="274">
          <cell r="A274" t="str">
            <v>H</v>
          </cell>
          <cell r="DR274" t="str">
            <v/>
          </cell>
        </row>
        <row r="275">
          <cell r="A275" t="str">
            <v>H</v>
          </cell>
          <cell r="DR275" t="str">
            <v/>
          </cell>
        </row>
        <row r="276">
          <cell r="A276" t="str">
            <v>H</v>
          </cell>
          <cell r="DR276">
            <v>0</v>
          </cell>
        </row>
        <row r="277">
          <cell r="A277" t="str">
            <v>H</v>
          </cell>
          <cell r="DR277">
            <v>0</v>
          </cell>
        </row>
        <row r="278">
          <cell r="A278" t="str">
            <v>H</v>
          </cell>
          <cell r="DR278">
            <v>0</v>
          </cell>
        </row>
        <row r="279">
          <cell r="A279" t="str">
            <v>H</v>
          </cell>
          <cell r="DR279">
            <v>0</v>
          </cell>
        </row>
        <row r="280">
          <cell r="A280" t="str">
            <v>H</v>
          </cell>
          <cell r="DR280">
            <v>0</v>
          </cell>
        </row>
        <row r="281">
          <cell r="A281" t="str">
            <v>H</v>
          </cell>
          <cell r="DR281" t="str">
            <v/>
          </cell>
        </row>
        <row r="282">
          <cell r="A282" t="str">
            <v>H</v>
          </cell>
          <cell r="DR282">
            <v>0</v>
          </cell>
        </row>
        <row r="283">
          <cell r="A283" t="str">
            <v>H</v>
          </cell>
          <cell r="DR283">
            <v>0</v>
          </cell>
        </row>
        <row r="284">
          <cell r="A284" t="str">
            <v>H</v>
          </cell>
          <cell r="DR284">
            <v>0</v>
          </cell>
        </row>
        <row r="285">
          <cell r="A285" t="str">
            <v>H</v>
          </cell>
          <cell r="DR285">
            <v>0</v>
          </cell>
        </row>
        <row r="286">
          <cell r="A286" t="str">
            <v>H</v>
          </cell>
          <cell r="DR286">
            <v>0</v>
          </cell>
        </row>
        <row r="287">
          <cell r="A287" t="str">
            <v>H</v>
          </cell>
          <cell r="DR287">
            <v>0</v>
          </cell>
        </row>
        <row r="288">
          <cell r="A288" t="str">
            <v>H</v>
          </cell>
          <cell r="DR288">
            <v>0</v>
          </cell>
        </row>
        <row r="289">
          <cell r="A289" t="str">
            <v>H</v>
          </cell>
          <cell r="DR289">
            <v>0</v>
          </cell>
        </row>
        <row r="290">
          <cell r="A290" t="str">
            <v>H</v>
          </cell>
          <cell r="DR290">
            <v>0</v>
          </cell>
        </row>
        <row r="291">
          <cell r="A291" t="str">
            <v>H</v>
          </cell>
          <cell r="DR291">
            <v>0</v>
          </cell>
        </row>
        <row r="292">
          <cell r="A292" t="str">
            <v>H</v>
          </cell>
          <cell r="DR292">
            <v>0</v>
          </cell>
        </row>
        <row r="293">
          <cell r="A293" t="str">
            <v>H</v>
          </cell>
          <cell r="DR293" t="str">
            <v/>
          </cell>
        </row>
        <row r="294">
          <cell r="A294" t="str">
            <v>H</v>
          </cell>
          <cell r="DR294">
            <v>0</v>
          </cell>
        </row>
        <row r="295">
          <cell r="A295" t="str">
            <v>H</v>
          </cell>
          <cell r="DR295">
            <v>0</v>
          </cell>
        </row>
        <row r="296">
          <cell r="A296" t="str">
            <v>H</v>
          </cell>
          <cell r="DR296">
            <v>0</v>
          </cell>
        </row>
        <row r="297">
          <cell r="A297" t="str">
            <v>H</v>
          </cell>
          <cell r="DR297">
            <v>0</v>
          </cell>
        </row>
        <row r="298">
          <cell r="A298" t="str">
            <v>H</v>
          </cell>
          <cell r="DR298">
            <v>0</v>
          </cell>
        </row>
        <row r="299">
          <cell r="A299" t="str">
            <v>H</v>
          </cell>
          <cell r="DR299">
            <v>0</v>
          </cell>
        </row>
        <row r="300">
          <cell r="A300" t="str">
            <v>H</v>
          </cell>
          <cell r="DR300">
            <v>0</v>
          </cell>
        </row>
        <row r="301">
          <cell r="A301" t="str">
            <v>H</v>
          </cell>
          <cell r="DR301">
            <v>0</v>
          </cell>
        </row>
        <row r="302">
          <cell r="A302" t="str">
            <v>H</v>
          </cell>
          <cell r="DR302" t="str">
            <v/>
          </cell>
        </row>
        <row r="303">
          <cell r="A303" t="str">
            <v>H</v>
          </cell>
          <cell r="DR303">
            <v>0</v>
          </cell>
        </row>
        <row r="304">
          <cell r="A304" t="str">
            <v>H</v>
          </cell>
          <cell r="DR304">
            <v>0</v>
          </cell>
        </row>
        <row r="305">
          <cell r="A305" t="str">
            <v>H</v>
          </cell>
          <cell r="DR305">
            <v>0</v>
          </cell>
        </row>
        <row r="306">
          <cell r="A306" t="str">
            <v>H</v>
          </cell>
          <cell r="DR306">
            <v>0</v>
          </cell>
        </row>
        <row r="307">
          <cell r="A307" t="str">
            <v>H</v>
          </cell>
          <cell r="DR307">
            <v>0</v>
          </cell>
        </row>
        <row r="308">
          <cell r="A308" t="str">
            <v>H</v>
          </cell>
          <cell r="DR308">
            <v>0</v>
          </cell>
        </row>
        <row r="309">
          <cell r="A309" t="str">
            <v>H</v>
          </cell>
          <cell r="DR309">
            <v>0</v>
          </cell>
        </row>
        <row r="310">
          <cell r="A310" t="str">
            <v>H</v>
          </cell>
          <cell r="DR310">
            <v>0</v>
          </cell>
        </row>
        <row r="311">
          <cell r="A311" t="str">
            <v>H</v>
          </cell>
          <cell r="DR311">
            <v>0</v>
          </cell>
        </row>
        <row r="312">
          <cell r="A312" t="str">
            <v>H</v>
          </cell>
          <cell r="DR312" t="str">
            <v/>
          </cell>
        </row>
        <row r="313">
          <cell r="A313" t="str">
            <v>H</v>
          </cell>
          <cell r="DR313">
            <v>0</v>
          </cell>
        </row>
        <row r="314">
          <cell r="A314" t="str">
            <v>H</v>
          </cell>
          <cell r="DR314">
            <v>0</v>
          </cell>
        </row>
        <row r="315">
          <cell r="A315" t="str">
            <v>H</v>
          </cell>
          <cell r="DR315">
            <v>0</v>
          </cell>
        </row>
        <row r="316">
          <cell r="A316" t="str">
            <v>H</v>
          </cell>
          <cell r="DR316">
            <v>0</v>
          </cell>
        </row>
        <row r="317">
          <cell r="A317" t="str">
            <v>H</v>
          </cell>
          <cell r="DR317">
            <v>0</v>
          </cell>
        </row>
        <row r="318">
          <cell r="A318" t="str">
            <v>H</v>
          </cell>
          <cell r="DR318">
            <v>0</v>
          </cell>
        </row>
        <row r="319">
          <cell r="A319" t="str">
            <v>H</v>
          </cell>
          <cell r="DR319">
            <v>0</v>
          </cell>
        </row>
        <row r="320">
          <cell r="A320" t="str">
            <v>H</v>
          </cell>
          <cell r="DR320">
            <v>0</v>
          </cell>
        </row>
        <row r="321">
          <cell r="A321" t="str">
            <v>H</v>
          </cell>
          <cell r="DR321">
            <v>0</v>
          </cell>
        </row>
        <row r="322">
          <cell r="A322" t="str">
            <v>H</v>
          </cell>
          <cell r="DR322">
            <v>0</v>
          </cell>
        </row>
        <row r="323">
          <cell r="A323" t="str">
            <v>H</v>
          </cell>
          <cell r="DR323">
            <v>0</v>
          </cell>
        </row>
        <row r="324">
          <cell r="A324" t="str">
            <v>H</v>
          </cell>
          <cell r="DR324">
            <v>0</v>
          </cell>
        </row>
        <row r="325">
          <cell r="A325" t="str">
            <v>H</v>
          </cell>
          <cell r="DR325">
            <v>0</v>
          </cell>
        </row>
        <row r="326">
          <cell r="A326" t="str">
            <v>H</v>
          </cell>
          <cell r="DR326">
            <v>0</v>
          </cell>
        </row>
        <row r="327">
          <cell r="A327" t="str">
            <v>H</v>
          </cell>
          <cell r="DR327" t="str">
            <v/>
          </cell>
        </row>
        <row r="328">
          <cell r="A328" t="str">
            <v>H</v>
          </cell>
          <cell r="DR328">
            <v>0</v>
          </cell>
        </row>
        <row r="329">
          <cell r="A329" t="str">
            <v>H</v>
          </cell>
          <cell r="DR329">
            <v>0</v>
          </cell>
        </row>
        <row r="330">
          <cell r="A330" t="str">
            <v>H</v>
          </cell>
          <cell r="DR330">
            <v>0</v>
          </cell>
        </row>
        <row r="331">
          <cell r="A331" t="str">
            <v>H</v>
          </cell>
          <cell r="DR331">
            <v>0</v>
          </cell>
        </row>
        <row r="332">
          <cell r="A332" t="str">
            <v>H</v>
          </cell>
          <cell r="DR332">
            <v>0</v>
          </cell>
        </row>
        <row r="333">
          <cell r="A333" t="str">
            <v>H</v>
          </cell>
          <cell r="DR333">
            <v>0</v>
          </cell>
        </row>
        <row r="334">
          <cell r="A334" t="str">
            <v>H</v>
          </cell>
          <cell r="DR334">
            <v>0</v>
          </cell>
        </row>
        <row r="335">
          <cell r="A335" t="str">
            <v>H</v>
          </cell>
          <cell r="DR335">
            <v>0</v>
          </cell>
        </row>
        <row r="336">
          <cell r="A336" t="str">
            <v>H</v>
          </cell>
          <cell r="DR336" t="str">
            <v/>
          </cell>
        </row>
        <row r="337">
          <cell r="A337" t="str">
            <v>H</v>
          </cell>
          <cell r="DR337">
            <v>0</v>
          </cell>
        </row>
        <row r="338">
          <cell r="A338" t="str">
            <v>H</v>
          </cell>
          <cell r="DR338">
            <v>0</v>
          </cell>
        </row>
        <row r="339">
          <cell r="A339" t="str">
            <v>H</v>
          </cell>
          <cell r="DR339">
            <v>0</v>
          </cell>
        </row>
        <row r="340">
          <cell r="A340" t="str">
            <v>H</v>
          </cell>
          <cell r="DR340">
            <v>0</v>
          </cell>
        </row>
        <row r="341">
          <cell r="A341" t="str">
            <v>H</v>
          </cell>
          <cell r="DR341">
            <v>0</v>
          </cell>
        </row>
        <row r="342">
          <cell r="A342" t="str">
            <v>H</v>
          </cell>
          <cell r="DR342" t="str">
            <v/>
          </cell>
        </row>
        <row r="343">
          <cell r="A343" t="str">
            <v>H</v>
          </cell>
          <cell r="DR343">
            <v>0</v>
          </cell>
        </row>
        <row r="344">
          <cell r="A344" t="str">
            <v>H</v>
          </cell>
          <cell r="DR344">
            <v>0</v>
          </cell>
        </row>
        <row r="345">
          <cell r="A345" t="str">
            <v>H</v>
          </cell>
          <cell r="DR345" t="str">
            <v/>
          </cell>
        </row>
        <row r="346">
          <cell r="A346" t="str">
            <v>H</v>
          </cell>
          <cell r="DR346" t="str">
            <v/>
          </cell>
        </row>
        <row r="347">
          <cell r="A347" t="str">
            <v>H</v>
          </cell>
          <cell r="DR347">
            <v>0</v>
          </cell>
        </row>
        <row r="348">
          <cell r="A348" t="str">
            <v>H</v>
          </cell>
          <cell r="DR348">
            <v>0</v>
          </cell>
        </row>
        <row r="349">
          <cell r="A349" t="str">
            <v>H</v>
          </cell>
          <cell r="DR349">
            <v>0</v>
          </cell>
        </row>
        <row r="350">
          <cell r="A350" t="str">
            <v>H</v>
          </cell>
          <cell r="DR350">
            <v>0</v>
          </cell>
        </row>
        <row r="351">
          <cell r="A351" t="str">
            <v>H</v>
          </cell>
          <cell r="DR351">
            <v>0</v>
          </cell>
        </row>
        <row r="352">
          <cell r="A352" t="str">
            <v>H</v>
          </cell>
          <cell r="DR352" t="str">
            <v/>
          </cell>
        </row>
        <row r="353">
          <cell r="A353" t="str">
            <v>H</v>
          </cell>
          <cell r="DR353">
            <v>0</v>
          </cell>
        </row>
        <row r="354">
          <cell r="A354" t="str">
            <v>H</v>
          </cell>
          <cell r="DR354">
            <v>0</v>
          </cell>
        </row>
        <row r="355">
          <cell r="A355" t="str">
            <v>H</v>
          </cell>
          <cell r="DR355">
            <v>0</v>
          </cell>
        </row>
        <row r="356">
          <cell r="A356" t="str">
            <v>H</v>
          </cell>
          <cell r="DR356">
            <v>2426121.3689968698</v>
          </cell>
        </row>
        <row r="357">
          <cell r="A357" t="str">
            <v>H</v>
          </cell>
          <cell r="DR357">
            <v>0</v>
          </cell>
        </row>
        <row r="358">
          <cell r="A358" t="str">
            <v>H</v>
          </cell>
          <cell r="DR358">
            <v>38799706.312690876</v>
          </cell>
        </row>
        <row r="359">
          <cell r="A359" t="str">
            <v>H</v>
          </cell>
          <cell r="DR359">
            <v>0</v>
          </cell>
        </row>
        <row r="360">
          <cell r="A360" t="str">
            <v>H</v>
          </cell>
          <cell r="DR360">
            <v>4218330.5714127617</v>
          </cell>
        </row>
        <row r="361">
          <cell r="A361" t="str">
            <v>H</v>
          </cell>
          <cell r="DR361">
            <v>444540.22666089085</v>
          </cell>
        </row>
        <row r="362">
          <cell r="A362" t="str">
            <v>H</v>
          </cell>
          <cell r="DR362">
            <v>0</v>
          </cell>
        </row>
        <row r="363">
          <cell r="A363" t="str">
            <v>H</v>
          </cell>
          <cell r="DR363">
            <v>0</v>
          </cell>
        </row>
        <row r="364">
          <cell r="A364" t="str">
            <v>H</v>
          </cell>
          <cell r="DR364" t="str">
            <v/>
          </cell>
        </row>
        <row r="365">
          <cell r="A365" t="str">
            <v>H</v>
          </cell>
          <cell r="DR365">
            <v>42143442.332349062</v>
          </cell>
        </row>
        <row r="366">
          <cell r="A366" t="str">
            <v>H</v>
          </cell>
          <cell r="DR366">
            <v>1279828.174027896</v>
          </cell>
        </row>
        <row r="367">
          <cell r="A367" t="str">
            <v>H</v>
          </cell>
          <cell r="DR367">
            <v>31190515.718856461</v>
          </cell>
        </row>
        <row r="368">
          <cell r="A368" t="str">
            <v>H</v>
          </cell>
          <cell r="DR368">
            <v>6310927.9389129002</v>
          </cell>
        </row>
        <row r="369">
          <cell r="A369" t="str">
            <v>H</v>
          </cell>
          <cell r="DR369">
            <v>11040375.00892755</v>
          </cell>
        </row>
        <row r="370">
          <cell r="A370" t="str">
            <v>H</v>
          </cell>
          <cell r="DR370">
            <v>1402253.544297342</v>
          </cell>
        </row>
        <row r="371">
          <cell r="A371" t="str">
            <v>H</v>
          </cell>
          <cell r="DR371">
            <v>0</v>
          </cell>
        </row>
        <row r="372">
          <cell r="A372" t="str">
            <v>H</v>
          </cell>
          <cell r="DR372">
            <v>0</v>
          </cell>
        </row>
        <row r="373">
          <cell r="A373" t="str">
            <v>H</v>
          </cell>
          <cell r="DR373" t="str">
            <v/>
          </cell>
        </row>
        <row r="374">
          <cell r="A374" t="str">
            <v>H</v>
          </cell>
          <cell r="DR374">
            <v>0</v>
          </cell>
        </row>
        <row r="375">
          <cell r="A375" t="str">
            <v>H</v>
          </cell>
          <cell r="DR375">
            <v>0</v>
          </cell>
        </row>
        <row r="376">
          <cell r="A376" t="str">
            <v>H</v>
          </cell>
          <cell r="DR376">
            <v>0</v>
          </cell>
        </row>
        <row r="377">
          <cell r="A377" t="str">
            <v>H</v>
          </cell>
          <cell r="DR377">
            <v>0</v>
          </cell>
        </row>
        <row r="378">
          <cell r="A378" t="str">
            <v>H</v>
          </cell>
          <cell r="DR378">
            <v>0</v>
          </cell>
        </row>
        <row r="379">
          <cell r="A379" t="str">
            <v>H</v>
          </cell>
          <cell r="DR379">
            <v>0</v>
          </cell>
        </row>
        <row r="380">
          <cell r="A380" t="str">
            <v>H</v>
          </cell>
          <cell r="DR380">
            <v>0</v>
          </cell>
        </row>
        <row r="381">
          <cell r="A381" t="str">
            <v>H</v>
          </cell>
          <cell r="DR381">
            <v>0</v>
          </cell>
        </row>
        <row r="382">
          <cell r="A382" t="str">
            <v>H</v>
          </cell>
          <cell r="DR382">
            <v>0</v>
          </cell>
        </row>
        <row r="383">
          <cell r="A383" t="str">
            <v>H</v>
          </cell>
          <cell r="DR383" t="str">
            <v/>
          </cell>
        </row>
        <row r="384">
          <cell r="A384" t="str">
            <v>H</v>
          </cell>
          <cell r="DR384">
            <v>0</v>
          </cell>
        </row>
        <row r="385">
          <cell r="A385" t="str">
            <v>H</v>
          </cell>
          <cell r="DR385">
            <v>0</v>
          </cell>
        </row>
        <row r="386">
          <cell r="A386" t="str">
            <v>H</v>
          </cell>
          <cell r="DR386">
            <v>0</v>
          </cell>
        </row>
        <row r="387">
          <cell r="A387" t="str">
            <v>H</v>
          </cell>
          <cell r="DR387">
            <v>0</v>
          </cell>
        </row>
        <row r="388">
          <cell r="A388" t="str">
            <v>H</v>
          </cell>
          <cell r="DR388">
            <v>0</v>
          </cell>
        </row>
        <row r="389">
          <cell r="A389" t="str">
            <v>H</v>
          </cell>
          <cell r="DR389">
            <v>0</v>
          </cell>
        </row>
        <row r="390">
          <cell r="A390" t="str">
            <v>H</v>
          </cell>
          <cell r="DR390">
            <v>0</v>
          </cell>
        </row>
        <row r="391">
          <cell r="A391" t="str">
            <v>H</v>
          </cell>
          <cell r="DR391">
            <v>0</v>
          </cell>
        </row>
        <row r="392">
          <cell r="A392" t="str">
            <v>H</v>
          </cell>
          <cell r="DR392">
            <v>0</v>
          </cell>
        </row>
        <row r="393">
          <cell r="A393" t="str">
            <v>H</v>
          </cell>
          <cell r="DR393">
            <v>0</v>
          </cell>
        </row>
        <row r="394">
          <cell r="A394" t="str">
            <v>H</v>
          </cell>
          <cell r="DR394">
            <v>0</v>
          </cell>
        </row>
        <row r="395">
          <cell r="A395" t="str">
            <v>H</v>
          </cell>
          <cell r="DR395">
            <v>0</v>
          </cell>
        </row>
        <row r="396">
          <cell r="A396" t="str">
            <v>H</v>
          </cell>
          <cell r="DR396">
            <v>0</v>
          </cell>
        </row>
        <row r="397">
          <cell r="A397" t="str">
            <v>H</v>
          </cell>
          <cell r="DR397" t="str">
            <v/>
          </cell>
        </row>
        <row r="398">
          <cell r="A398" t="str">
            <v>H</v>
          </cell>
          <cell r="DR398">
            <v>0</v>
          </cell>
        </row>
        <row r="399">
          <cell r="A399" t="str">
            <v>H</v>
          </cell>
          <cell r="DR399">
            <v>0</v>
          </cell>
        </row>
        <row r="400">
          <cell r="A400" t="str">
            <v>H</v>
          </cell>
          <cell r="DR400">
            <v>0</v>
          </cell>
        </row>
        <row r="401">
          <cell r="A401" t="str">
            <v>H</v>
          </cell>
          <cell r="DR401">
            <v>0</v>
          </cell>
        </row>
        <row r="402">
          <cell r="A402" t="str">
            <v>H</v>
          </cell>
          <cell r="DR402">
            <v>0</v>
          </cell>
        </row>
        <row r="403">
          <cell r="A403" t="str">
            <v>H</v>
          </cell>
          <cell r="DR403">
            <v>0</v>
          </cell>
        </row>
        <row r="404">
          <cell r="A404" t="str">
            <v>H</v>
          </cell>
          <cell r="DR404">
            <v>0</v>
          </cell>
        </row>
        <row r="405">
          <cell r="A405" t="str">
            <v>H</v>
          </cell>
          <cell r="DR405">
            <v>0</v>
          </cell>
        </row>
        <row r="406">
          <cell r="A406" t="str">
            <v>H</v>
          </cell>
          <cell r="DR406" t="str">
            <v/>
          </cell>
        </row>
        <row r="407">
          <cell r="A407" t="str">
            <v>H</v>
          </cell>
          <cell r="DR407">
            <v>0</v>
          </cell>
        </row>
        <row r="408">
          <cell r="A408" t="str">
            <v>H</v>
          </cell>
          <cell r="DR408">
            <v>0</v>
          </cell>
        </row>
        <row r="409">
          <cell r="A409" t="str">
            <v>H</v>
          </cell>
          <cell r="DR409">
            <v>0</v>
          </cell>
        </row>
        <row r="410">
          <cell r="A410" t="str">
            <v>H</v>
          </cell>
          <cell r="DR410">
            <v>0</v>
          </cell>
        </row>
        <row r="411">
          <cell r="A411" t="str">
            <v>H</v>
          </cell>
          <cell r="DR411">
            <v>0</v>
          </cell>
        </row>
        <row r="412">
          <cell r="A412" t="str">
            <v>H</v>
          </cell>
          <cell r="DR412" t="str">
            <v/>
          </cell>
        </row>
        <row r="413">
          <cell r="A413" t="str">
            <v>H</v>
          </cell>
          <cell r="DR413" t="str">
            <v/>
          </cell>
        </row>
        <row r="414">
          <cell r="A414" t="str">
            <v>H</v>
          </cell>
          <cell r="DR414">
            <v>612395.50057880615</v>
          </cell>
        </row>
        <row r="415">
          <cell r="A415" t="str">
            <v>H</v>
          </cell>
          <cell r="DR415">
            <v>0</v>
          </cell>
        </row>
        <row r="416">
          <cell r="A416" t="str">
            <v>H</v>
          </cell>
          <cell r="DR416">
            <v>0</v>
          </cell>
        </row>
        <row r="417">
          <cell r="A417" t="str">
            <v>H</v>
          </cell>
          <cell r="DR417">
            <v>0</v>
          </cell>
        </row>
        <row r="418">
          <cell r="A418" t="str">
            <v>H</v>
          </cell>
          <cell r="DR418">
            <v>0</v>
          </cell>
        </row>
        <row r="419">
          <cell r="A419" t="str">
            <v>H</v>
          </cell>
          <cell r="DR419" t="str">
            <v/>
          </cell>
        </row>
        <row r="420">
          <cell r="A420" t="str">
            <v>H</v>
          </cell>
          <cell r="DR420">
            <v>0</v>
          </cell>
        </row>
        <row r="421">
          <cell r="A421" t="str">
            <v>H</v>
          </cell>
          <cell r="DR421">
            <v>0</v>
          </cell>
        </row>
        <row r="422">
          <cell r="A422" t="str">
            <v>H</v>
          </cell>
          <cell r="DR422">
            <v>2426121.3689968698</v>
          </cell>
        </row>
        <row r="423">
          <cell r="A423" t="str">
            <v>H</v>
          </cell>
          <cell r="DR423">
            <v>0</v>
          </cell>
        </row>
        <row r="424">
          <cell r="A424" t="str">
            <v>H</v>
          </cell>
          <cell r="DR424">
            <v>0</v>
          </cell>
        </row>
        <row r="425">
          <cell r="A425" t="str">
            <v>H</v>
          </cell>
          <cell r="DR425">
            <v>0</v>
          </cell>
        </row>
        <row r="426">
          <cell r="A426" t="str">
            <v>H</v>
          </cell>
          <cell r="DR426">
            <v>0</v>
          </cell>
        </row>
        <row r="427">
          <cell r="A427" t="str">
            <v>H</v>
          </cell>
          <cell r="DR427">
            <v>0</v>
          </cell>
        </row>
        <row r="428">
          <cell r="A428" t="str">
            <v>H</v>
          </cell>
          <cell r="DR428">
            <v>0</v>
          </cell>
        </row>
        <row r="429">
          <cell r="A429" t="str">
            <v>H</v>
          </cell>
          <cell r="DR429" t="str">
            <v/>
          </cell>
        </row>
        <row r="430">
          <cell r="A430" t="str">
            <v>H</v>
          </cell>
          <cell r="DR430">
            <v>0</v>
          </cell>
        </row>
        <row r="431">
          <cell r="A431" t="str">
            <v>H</v>
          </cell>
          <cell r="DR431">
            <v>639659.33735778625</v>
          </cell>
        </row>
        <row r="432">
          <cell r="A432" t="str">
            <v>H</v>
          </cell>
          <cell r="DR432">
            <v>0</v>
          </cell>
        </row>
        <row r="433">
          <cell r="A433" t="str">
            <v>H</v>
          </cell>
          <cell r="DR433">
            <v>0</v>
          </cell>
        </row>
        <row r="434">
          <cell r="A434" t="str">
            <v>H</v>
          </cell>
          <cell r="DR434">
            <v>0</v>
          </cell>
        </row>
        <row r="435">
          <cell r="A435" t="str">
            <v>H</v>
          </cell>
          <cell r="DR435">
            <v>634164.0233221472</v>
          </cell>
        </row>
        <row r="436">
          <cell r="A436" t="str">
            <v>H</v>
          </cell>
          <cell r="DR436">
            <v>0</v>
          </cell>
        </row>
        <row r="437">
          <cell r="A437" t="str">
            <v>H</v>
          </cell>
          <cell r="DR437">
            <v>0</v>
          </cell>
        </row>
        <row r="438">
          <cell r="A438" t="str">
            <v>H</v>
          </cell>
          <cell r="DR438" t="str">
            <v/>
          </cell>
        </row>
        <row r="439">
          <cell r="A439" t="str">
            <v>H</v>
          </cell>
          <cell r="DR439">
            <v>0</v>
          </cell>
        </row>
        <row r="440">
          <cell r="A440" t="str">
            <v>H</v>
          </cell>
          <cell r="DR440">
            <v>0</v>
          </cell>
        </row>
        <row r="441">
          <cell r="A441" t="str">
            <v>H</v>
          </cell>
          <cell r="DR441">
            <v>0</v>
          </cell>
        </row>
        <row r="442">
          <cell r="A442" t="str">
            <v>H</v>
          </cell>
          <cell r="DR442">
            <v>0</v>
          </cell>
        </row>
        <row r="443">
          <cell r="A443" t="str">
            <v>H</v>
          </cell>
          <cell r="DR443">
            <v>0</v>
          </cell>
        </row>
        <row r="444">
          <cell r="A444" t="str">
            <v>H</v>
          </cell>
          <cell r="DR444">
            <v>0</v>
          </cell>
        </row>
        <row r="445">
          <cell r="A445" t="str">
            <v>H</v>
          </cell>
          <cell r="DR445">
            <v>0</v>
          </cell>
        </row>
        <row r="446">
          <cell r="A446" t="str">
            <v>H</v>
          </cell>
          <cell r="DR446">
            <v>0</v>
          </cell>
        </row>
        <row r="447">
          <cell r="A447" t="str">
            <v>H</v>
          </cell>
          <cell r="DR447">
            <v>0</v>
          </cell>
        </row>
        <row r="448">
          <cell r="A448" t="str">
            <v>H</v>
          </cell>
          <cell r="DR448" t="str">
            <v/>
          </cell>
        </row>
        <row r="449">
          <cell r="A449" t="str">
            <v>H</v>
          </cell>
          <cell r="DR449">
            <v>0</v>
          </cell>
        </row>
        <row r="450">
          <cell r="A450" t="str">
            <v>H</v>
          </cell>
          <cell r="DR450">
            <v>0</v>
          </cell>
        </row>
        <row r="451">
          <cell r="A451" t="str">
            <v>H</v>
          </cell>
          <cell r="DR451">
            <v>0</v>
          </cell>
        </row>
        <row r="452">
          <cell r="A452" t="str">
            <v>H</v>
          </cell>
          <cell r="DR452">
            <v>0</v>
          </cell>
        </row>
        <row r="453">
          <cell r="A453" t="str">
            <v>H</v>
          </cell>
          <cell r="DR453">
            <v>0</v>
          </cell>
        </row>
        <row r="454">
          <cell r="A454" t="str">
            <v>H</v>
          </cell>
          <cell r="DR454">
            <v>0</v>
          </cell>
        </row>
        <row r="455">
          <cell r="A455" t="str">
            <v>H</v>
          </cell>
          <cell r="DR455">
            <v>0</v>
          </cell>
        </row>
        <row r="456">
          <cell r="A456" t="str">
            <v>H</v>
          </cell>
          <cell r="DR456">
            <v>0</v>
          </cell>
        </row>
        <row r="457">
          <cell r="A457" t="str">
            <v>H</v>
          </cell>
          <cell r="DR457">
            <v>0</v>
          </cell>
        </row>
        <row r="458">
          <cell r="A458" t="str">
            <v>H</v>
          </cell>
          <cell r="DR458">
            <v>0</v>
          </cell>
        </row>
        <row r="459">
          <cell r="A459" t="str">
            <v>H</v>
          </cell>
          <cell r="DR459">
            <v>0</v>
          </cell>
        </row>
        <row r="460">
          <cell r="A460" t="str">
            <v>H</v>
          </cell>
          <cell r="DR460">
            <v>0</v>
          </cell>
        </row>
        <row r="461">
          <cell r="A461" t="str">
            <v>H</v>
          </cell>
          <cell r="DR461">
            <v>0</v>
          </cell>
        </row>
        <row r="462">
          <cell r="A462" t="str">
            <v>H</v>
          </cell>
          <cell r="DR462">
            <v>0</v>
          </cell>
        </row>
        <row r="463">
          <cell r="A463" t="str">
            <v>H</v>
          </cell>
          <cell r="DR463" t="str">
            <v/>
          </cell>
        </row>
        <row r="464">
          <cell r="A464" t="str">
            <v>H</v>
          </cell>
          <cell r="DR464">
            <v>0</v>
          </cell>
        </row>
        <row r="465">
          <cell r="A465" t="str">
            <v>H</v>
          </cell>
          <cell r="DR465">
            <v>0</v>
          </cell>
        </row>
        <row r="466">
          <cell r="A466" t="str">
            <v>H</v>
          </cell>
          <cell r="DR466">
            <v>0</v>
          </cell>
        </row>
        <row r="467">
          <cell r="A467" t="str">
            <v>H</v>
          </cell>
          <cell r="DR467">
            <v>0</v>
          </cell>
        </row>
        <row r="468">
          <cell r="A468" t="str">
            <v>H</v>
          </cell>
          <cell r="DR468">
            <v>0</v>
          </cell>
        </row>
        <row r="469">
          <cell r="A469" t="str">
            <v>H</v>
          </cell>
          <cell r="DR469">
            <v>0</v>
          </cell>
        </row>
        <row r="470">
          <cell r="A470" t="str">
            <v>H</v>
          </cell>
          <cell r="DR470">
            <v>0</v>
          </cell>
        </row>
        <row r="471">
          <cell r="A471" t="str">
            <v>H</v>
          </cell>
          <cell r="DR471">
            <v>0</v>
          </cell>
        </row>
        <row r="472">
          <cell r="A472" t="str">
            <v>H</v>
          </cell>
          <cell r="DR472" t="str">
            <v/>
          </cell>
        </row>
        <row r="473">
          <cell r="A473" t="str">
            <v>H</v>
          </cell>
          <cell r="DR473">
            <v>0</v>
          </cell>
        </row>
        <row r="474">
          <cell r="A474" t="str">
            <v>H</v>
          </cell>
          <cell r="DR474">
            <v>0</v>
          </cell>
        </row>
        <row r="475">
          <cell r="A475" t="str">
            <v>H</v>
          </cell>
          <cell r="DR475">
            <v>0</v>
          </cell>
        </row>
        <row r="476">
          <cell r="A476" t="str">
            <v>H</v>
          </cell>
          <cell r="DR476">
            <v>0</v>
          </cell>
        </row>
        <row r="477">
          <cell r="A477" t="str">
            <v>H</v>
          </cell>
          <cell r="DR477">
            <v>0</v>
          </cell>
        </row>
        <row r="478">
          <cell r="A478" t="str">
            <v>H</v>
          </cell>
          <cell r="DR478" t="str">
            <v/>
          </cell>
        </row>
        <row r="479">
          <cell r="DR479" t="str">
            <v/>
          </cell>
        </row>
        <row r="480">
          <cell r="A480" t="str">
            <v>I</v>
          </cell>
          <cell r="DR480" t="str">
            <v/>
          </cell>
        </row>
        <row r="481">
          <cell r="A481" t="str">
            <v>I</v>
          </cell>
          <cell r="DR481" t="str">
            <v/>
          </cell>
        </row>
        <row r="482">
          <cell r="A482" t="str">
            <v>I</v>
          </cell>
          <cell r="DR482" t="str">
            <v/>
          </cell>
        </row>
        <row r="483">
          <cell r="A483" t="str">
            <v>I</v>
          </cell>
          <cell r="DR483" t="str">
            <v/>
          </cell>
        </row>
        <row r="484">
          <cell r="A484" t="str">
            <v>I</v>
          </cell>
          <cell r="DR484">
            <v>0</v>
          </cell>
        </row>
        <row r="485">
          <cell r="A485" t="str">
            <v>I</v>
          </cell>
          <cell r="DR485">
            <v>0</v>
          </cell>
        </row>
        <row r="486">
          <cell r="A486" t="str">
            <v>I</v>
          </cell>
          <cell r="DR486">
            <v>3820503.9380150954</v>
          </cell>
        </row>
        <row r="487">
          <cell r="A487" t="str">
            <v>I</v>
          </cell>
          <cell r="DR487">
            <v>0</v>
          </cell>
        </row>
        <row r="488">
          <cell r="A488" t="str">
            <v>I</v>
          </cell>
          <cell r="DR488">
            <v>11672118.124268349</v>
          </cell>
        </row>
        <row r="489">
          <cell r="A489" t="str">
            <v>I</v>
          </cell>
          <cell r="DR489">
            <v>0</v>
          </cell>
        </row>
        <row r="490">
          <cell r="A490" t="str">
            <v>I</v>
          </cell>
          <cell r="DR490">
            <v>0</v>
          </cell>
        </row>
        <row r="491">
          <cell r="A491" t="str">
            <v>I</v>
          </cell>
          <cell r="DR491">
            <v>0</v>
          </cell>
        </row>
        <row r="492">
          <cell r="A492" t="str">
            <v>I</v>
          </cell>
          <cell r="DR492" t="str">
            <v/>
          </cell>
        </row>
        <row r="493">
          <cell r="A493" t="str">
            <v>I</v>
          </cell>
          <cell r="DR493" t="str">
            <v/>
          </cell>
        </row>
        <row r="494">
          <cell r="A494" t="str">
            <v>I</v>
          </cell>
          <cell r="DR494" t="str">
            <v/>
          </cell>
        </row>
        <row r="495">
          <cell r="A495" t="str">
            <v>I</v>
          </cell>
          <cell r="DR495" t="str">
            <v/>
          </cell>
        </row>
        <row r="496">
          <cell r="A496" t="str">
            <v>I</v>
          </cell>
          <cell r="DR496">
            <v>0</v>
          </cell>
        </row>
        <row r="497">
          <cell r="A497" t="str">
            <v>I</v>
          </cell>
          <cell r="DR497">
            <v>0</v>
          </cell>
        </row>
        <row r="498">
          <cell r="A498" t="str">
            <v>I</v>
          </cell>
          <cell r="DR498">
            <v>0</v>
          </cell>
        </row>
        <row r="499">
          <cell r="A499" t="str">
            <v>I</v>
          </cell>
          <cell r="DR499">
            <v>0</v>
          </cell>
        </row>
        <row r="500">
          <cell r="A500" t="str">
            <v>I</v>
          </cell>
          <cell r="DR500">
            <v>0</v>
          </cell>
        </row>
        <row r="501">
          <cell r="A501" t="str">
            <v>I</v>
          </cell>
          <cell r="DR501">
            <v>0</v>
          </cell>
        </row>
        <row r="502">
          <cell r="A502" t="str">
            <v>I</v>
          </cell>
          <cell r="DR502" t="str">
            <v/>
          </cell>
        </row>
        <row r="503">
          <cell r="A503" t="str">
            <v>I</v>
          </cell>
          <cell r="DR503" t="str">
            <v/>
          </cell>
        </row>
        <row r="504">
          <cell r="DR504" t="str">
            <v/>
          </cell>
        </row>
      </sheetData>
      <sheetData sheetId="3"/>
      <sheetData sheetId="4"/>
      <sheetData sheetId="5"/>
      <sheetData sheetId="6">
        <row r="14">
          <cell r="A14" t="str">
            <v>A</v>
          </cell>
        </row>
        <row r="15">
          <cell r="A15" t="str">
            <v>A</v>
          </cell>
          <cell r="DR15">
            <v>7073837.4864515197</v>
          </cell>
        </row>
        <row r="16">
          <cell r="A16" t="str">
            <v>A</v>
          </cell>
          <cell r="DR16">
            <v>392944588.67104131</v>
          </cell>
        </row>
        <row r="17">
          <cell r="A17" t="str">
            <v>A</v>
          </cell>
          <cell r="DR17">
            <v>0</v>
          </cell>
        </row>
        <row r="18">
          <cell r="A18" t="str">
            <v>A</v>
          </cell>
          <cell r="DR18">
            <v>0</v>
          </cell>
        </row>
        <row r="19">
          <cell r="A19" t="str">
            <v>A</v>
          </cell>
          <cell r="DR19" t="str">
            <v/>
          </cell>
        </row>
        <row r="20">
          <cell r="A20" t="str">
            <v>A</v>
          </cell>
          <cell r="DR20">
            <v>7147124.9434511662</v>
          </cell>
        </row>
        <row r="21">
          <cell r="A21" t="str">
            <v>A</v>
          </cell>
          <cell r="DR21">
            <v>33566416.158041984</v>
          </cell>
        </row>
        <row r="22">
          <cell r="A22" t="str">
            <v>A</v>
          </cell>
          <cell r="DR22">
            <v>1611895.8273461936</v>
          </cell>
        </row>
        <row r="23">
          <cell r="DR23" t="str">
            <v/>
          </cell>
        </row>
        <row r="24">
          <cell r="A24" t="str">
            <v>B</v>
          </cell>
          <cell r="DR24" t="str">
            <v/>
          </cell>
        </row>
        <row r="25">
          <cell r="A25" t="str">
            <v>B</v>
          </cell>
          <cell r="DR25" t="str">
            <v/>
          </cell>
        </row>
        <row r="26">
          <cell r="A26" t="str">
            <v>B</v>
          </cell>
          <cell r="DR26">
            <v>171145658.89584208</v>
          </cell>
        </row>
        <row r="27">
          <cell r="A27" t="str">
            <v>B</v>
          </cell>
          <cell r="DR27" t="str">
            <v/>
          </cell>
        </row>
        <row r="28">
          <cell r="A28" t="str">
            <v>B</v>
          </cell>
          <cell r="DR28">
            <v>0</v>
          </cell>
        </row>
        <row r="29">
          <cell r="A29" t="str">
            <v>B</v>
          </cell>
          <cell r="DR29">
            <v>49096094.823816702</v>
          </cell>
        </row>
        <row r="30">
          <cell r="A30" t="str">
            <v>B</v>
          </cell>
          <cell r="DR30">
            <v>0</v>
          </cell>
        </row>
        <row r="31">
          <cell r="A31" t="str">
            <v>B</v>
          </cell>
          <cell r="DR31">
            <v>83444182.243504569</v>
          </cell>
        </row>
        <row r="32">
          <cell r="A32" t="str">
            <v>B</v>
          </cell>
          <cell r="DR32">
            <v>0</v>
          </cell>
        </row>
        <row r="33">
          <cell r="A33" t="str">
            <v>B</v>
          </cell>
          <cell r="DR33">
            <v>44797209.684213921</v>
          </cell>
        </row>
        <row r="34">
          <cell r="A34" t="str">
            <v>B</v>
          </cell>
          <cell r="DR34">
            <v>230080647.76457581</v>
          </cell>
        </row>
        <row r="35">
          <cell r="A35" t="str">
            <v>B</v>
          </cell>
          <cell r="DR35">
            <v>0</v>
          </cell>
        </row>
        <row r="36">
          <cell r="A36" t="str">
            <v>B</v>
          </cell>
          <cell r="DR36">
            <v>0</v>
          </cell>
        </row>
        <row r="37">
          <cell r="A37" t="str">
            <v>B</v>
          </cell>
          <cell r="DR37">
            <v>16656867.850673551</v>
          </cell>
        </row>
        <row r="38">
          <cell r="A38" t="str">
            <v>B</v>
          </cell>
          <cell r="DR38">
            <v>0</v>
          </cell>
        </row>
        <row r="39">
          <cell r="A39" t="str">
            <v>B</v>
          </cell>
          <cell r="DR39">
            <v>0</v>
          </cell>
        </row>
        <row r="40">
          <cell r="A40" t="str">
            <v>B</v>
          </cell>
          <cell r="DR40">
            <v>0</v>
          </cell>
        </row>
        <row r="41">
          <cell r="A41" t="str">
            <v>B</v>
          </cell>
          <cell r="DR41">
            <v>0</v>
          </cell>
        </row>
        <row r="42">
          <cell r="A42" t="str">
            <v>B</v>
          </cell>
          <cell r="DR42" t="str">
            <v/>
          </cell>
        </row>
        <row r="43">
          <cell r="A43" t="str">
            <v>B</v>
          </cell>
          <cell r="DR43">
            <v>58082970.644215256</v>
          </cell>
        </row>
        <row r="44">
          <cell r="A44" t="str">
            <v>B</v>
          </cell>
          <cell r="DR44">
            <v>0</v>
          </cell>
        </row>
        <row r="45">
          <cell r="A45" t="str">
            <v>B</v>
          </cell>
          <cell r="DR45">
            <v>31322277.738503456</v>
          </cell>
        </row>
        <row r="46">
          <cell r="A46" t="str">
            <v>B</v>
          </cell>
          <cell r="DR46" t="str">
            <v/>
          </cell>
        </row>
        <row r="47">
          <cell r="A47" t="str">
            <v>B</v>
          </cell>
          <cell r="DR47">
            <v>0</v>
          </cell>
        </row>
        <row r="48">
          <cell r="A48" t="str">
            <v>B</v>
          </cell>
          <cell r="DR48">
            <v>0</v>
          </cell>
        </row>
        <row r="49">
          <cell r="A49" t="str">
            <v>B</v>
          </cell>
          <cell r="DR49">
            <v>0</v>
          </cell>
        </row>
        <row r="50">
          <cell r="A50" t="str">
            <v>B</v>
          </cell>
          <cell r="DR50" t="str">
            <v/>
          </cell>
        </row>
        <row r="51">
          <cell r="A51" t="str">
            <v>B</v>
          </cell>
          <cell r="DR51" t="str">
            <v/>
          </cell>
        </row>
        <row r="52">
          <cell r="A52" t="str">
            <v>B</v>
          </cell>
          <cell r="DR52" t="str">
            <v/>
          </cell>
        </row>
        <row r="53">
          <cell r="A53" t="str">
            <v>B</v>
          </cell>
          <cell r="DR53">
            <v>4319655.5944314068</v>
          </cell>
        </row>
        <row r="54">
          <cell r="DR54" t="str">
            <v/>
          </cell>
        </row>
        <row r="55">
          <cell r="A55" t="str">
            <v>C</v>
          </cell>
          <cell r="DR55" t="str">
            <v/>
          </cell>
        </row>
        <row r="56">
          <cell r="A56" t="str">
            <v>C</v>
          </cell>
          <cell r="DR56" t="str">
            <v/>
          </cell>
        </row>
        <row r="57">
          <cell r="A57" t="str">
            <v>C</v>
          </cell>
          <cell r="DR57">
            <v>0</v>
          </cell>
        </row>
        <row r="58">
          <cell r="A58" t="str">
            <v>C</v>
          </cell>
          <cell r="DR58" t="str">
            <v/>
          </cell>
        </row>
        <row r="59">
          <cell r="A59" t="str">
            <v>C</v>
          </cell>
          <cell r="DR59">
            <v>0</v>
          </cell>
        </row>
        <row r="60">
          <cell r="A60" t="str">
            <v>C</v>
          </cell>
          <cell r="DR60" t="str">
            <v/>
          </cell>
        </row>
        <row r="61">
          <cell r="A61" t="str">
            <v>C</v>
          </cell>
          <cell r="DR61">
            <v>0</v>
          </cell>
        </row>
        <row r="62">
          <cell r="A62" t="str">
            <v>C</v>
          </cell>
          <cell r="DR62">
            <v>0</v>
          </cell>
        </row>
        <row r="63">
          <cell r="A63" t="str">
            <v>C</v>
          </cell>
          <cell r="DR63">
            <v>0</v>
          </cell>
        </row>
        <row r="64">
          <cell r="A64" t="str">
            <v>C</v>
          </cell>
          <cell r="DR64">
            <v>0</v>
          </cell>
        </row>
        <row r="65">
          <cell r="A65" t="str">
            <v>C</v>
          </cell>
          <cell r="DR65">
            <v>0</v>
          </cell>
        </row>
        <row r="66">
          <cell r="A66" t="str">
            <v>C</v>
          </cell>
          <cell r="DR66">
            <v>0</v>
          </cell>
        </row>
        <row r="67">
          <cell r="A67" t="str">
            <v>C</v>
          </cell>
          <cell r="DR67">
            <v>0</v>
          </cell>
        </row>
        <row r="68">
          <cell r="A68" t="str">
            <v>C</v>
          </cell>
          <cell r="DR68">
            <v>0</v>
          </cell>
        </row>
        <row r="69">
          <cell r="A69" t="str">
            <v>C</v>
          </cell>
          <cell r="DR69">
            <v>0</v>
          </cell>
        </row>
        <row r="70">
          <cell r="A70" t="str">
            <v>C</v>
          </cell>
          <cell r="DR70">
            <v>0</v>
          </cell>
        </row>
        <row r="71">
          <cell r="A71" t="str">
            <v>C</v>
          </cell>
          <cell r="DR71">
            <v>0</v>
          </cell>
        </row>
        <row r="72">
          <cell r="A72" t="str">
            <v>C</v>
          </cell>
          <cell r="DR72">
            <v>0</v>
          </cell>
        </row>
        <row r="73">
          <cell r="A73" t="str">
            <v>C</v>
          </cell>
          <cell r="DR73">
            <v>0</v>
          </cell>
        </row>
        <row r="74">
          <cell r="A74" t="str">
            <v>C</v>
          </cell>
          <cell r="DR74" t="str">
            <v/>
          </cell>
        </row>
        <row r="75">
          <cell r="A75" t="str">
            <v>C</v>
          </cell>
          <cell r="DR75">
            <v>0</v>
          </cell>
        </row>
        <row r="76">
          <cell r="A76" t="str">
            <v>C</v>
          </cell>
          <cell r="DR76">
            <v>0</v>
          </cell>
        </row>
        <row r="77">
          <cell r="A77" t="str">
            <v>C</v>
          </cell>
          <cell r="DR77">
            <v>0</v>
          </cell>
        </row>
        <row r="78">
          <cell r="A78" t="str">
            <v>C</v>
          </cell>
          <cell r="DR78" t="str">
            <v/>
          </cell>
        </row>
        <row r="79">
          <cell r="A79" t="str">
            <v>C</v>
          </cell>
          <cell r="DR79">
            <v>0</v>
          </cell>
        </row>
        <row r="80">
          <cell r="A80" t="str">
            <v>C</v>
          </cell>
          <cell r="DR80">
            <v>0</v>
          </cell>
        </row>
        <row r="81">
          <cell r="A81" t="str">
            <v>C</v>
          </cell>
          <cell r="DR81">
            <v>0</v>
          </cell>
        </row>
        <row r="82">
          <cell r="A82" t="str">
            <v>C</v>
          </cell>
          <cell r="DR82">
            <v>0</v>
          </cell>
        </row>
        <row r="83">
          <cell r="A83" t="str">
            <v>C</v>
          </cell>
          <cell r="DR83">
            <v>0</v>
          </cell>
        </row>
        <row r="84">
          <cell r="A84" t="str">
            <v>C</v>
          </cell>
          <cell r="DR84">
            <v>0</v>
          </cell>
        </row>
        <row r="85">
          <cell r="A85" t="str">
            <v>C</v>
          </cell>
          <cell r="DR85" t="str">
            <v/>
          </cell>
        </row>
        <row r="86">
          <cell r="A86" t="str">
            <v>C</v>
          </cell>
          <cell r="DR86" t="str">
            <v/>
          </cell>
        </row>
        <row r="87">
          <cell r="DR87" t="str">
            <v/>
          </cell>
        </row>
        <row r="88">
          <cell r="A88" t="str">
            <v>D</v>
          </cell>
          <cell r="DR88" t="str">
            <v/>
          </cell>
        </row>
        <row r="89">
          <cell r="A89" t="str">
            <v>D</v>
          </cell>
          <cell r="DR89" t="str">
            <v/>
          </cell>
        </row>
        <row r="90">
          <cell r="A90" t="str">
            <v>D</v>
          </cell>
          <cell r="DR90">
            <v>0</v>
          </cell>
        </row>
        <row r="91">
          <cell r="A91" t="str">
            <v>D</v>
          </cell>
          <cell r="DR91">
            <v>0</v>
          </cell>
        </row>
        <row r="92">
          <cell r="A92" t="str">
            <v>D</v>
          </cell>
          <cell r="DR92" t="str">
            <v/>
          </cell>
        </row>
        <row r="93">
          <cell r="A93" t="str">
            <v>D</v>
          </cell>
          <cell r="DR93">
            <v>0</v>
          </cell>
        </row>
        <row r="94">
          <cell r="A94" t="str">
            <v>D</v>
          </cell>
          <cell r="DR94">
            <v>0</v>
          </cell>
        </row>
        <row r="95">
          <cell r="A95" t="str">
            <v>D</v>
          </cell>
          <cell r="DR95">
            <v>0</v>
          </cell>
        </row>
        <row r="96">
          <cell r="A96" t="str">
            <v>D</v>
          </cell>
          <cell r="DR96">
            <v>0</v>
          </cell>
        </row>
        <row r="97">
          <cell r="A97" t="str">
            <v>D</v>
          </cell>
          <cell r="DR97">
            <v>0</v>
          </cell>
        </row>
        <row r="98">
          <cell r="A98" t="str">
            <v>D</v>
          </cell>
          <cell r="DR98">
            <v>0</v>
          </cell>
        </row>
        <row r="99">
          <cell r="A99" t="str">
            <v>D</v>
          </cell>
          <cell r="DR99">
            <v>0</v>
          </cell>
        </row>
        <row r="100">
          <cell r="A100" t="str">
            <v>D</v>
          </cell>
          <cell r="DR100">
            <v>0</v>
          </cell>
        </row>
        <row r="101">
          <cell r="A101" t="str">
            <v>D</v>
          </cell>
          <cell r="DR101">
            <v>0</v>
          </cell>
        </row>
        <row r="102">
          <cell r="A102" t="str">
            <v>D</v>
          </cell>
          <cell r="DR102">
            <v>0</v>
          </cell>
        </row>
        <row r="103">
          <cell r="A103" t="str">
            <v>D</v>
          </cell>
          <cell r="DR103" t="str">
            <v/>
          </cell>
        </row>
        <row r="104">
          <cell r="A104" t="str">
            <v>D</v>
          </cell>
          <cell r="DR104" t="str">
            <v/>
          </cell>
        </row>
        <row r="105">
          <cell r="A105" t="str">
            <v>D</v>
          </cell>
          <cell r="DR105">
            <v>0</v>
          </cell>
        </row>
        <row r="106">
          <cell r="A106" t="str">
            <v>D</v>
          </cell>
          <cell r="DR106">
            <v>0</v>
          </cell>
        </row>
        <row r="107">
          <cell r="A107" t="str">
            <v>D</v>
          </cell>
          <cell r="DR107">
            <v>0</v>
          </cell>
        </row>
        <row r="108">
          <cell r="A108" t="str">
            <v>D</v>
          </cell>
          <cell r="DR108">
            <v>0</v>
          </cell>
        </row>
        <row r="109">
          <cell r="A109" t="str">
            <v>D</v>
          </cell>
          <cell r="DR109">
            <v>0</v>
          </cell>
        </row>
        <row r="110">
          <cell r="A110" t="str">
            <v>D</v>
          </cell>
          <cell r="DR110">
            <v>0</v>
          </cell>
        </row>
        <row r="111">
          <cell r="A111" t="str">
            <v>D</v>
          </cell>
          <cell r="DR111">
            <v>0</v>
          </cell>
        </row>
        <row r="112">
          <cell r="A112" t="str">
            <v>D</v>
          </cell>
          <cell r="DR112">
            <v>0</v>
          </cell>
        </row>
        <row r="113">
          <cell r="A113" t="str">
            <v>D</v>
          </cell>
          <cell r="DR113">
            <v>0</v>
          </cell>
        </row>
        <row r="114">
          <cell r="A114" t="str">
            <v>D</v>
          </cell>
          <cell r="DR114">
            <v>0</v>
          </cell>
        </row>
        <row r="115">
          <cell r="A115" t="str">
            <v>D</v>
          </cell>
          <cell r="DR115">
            <v>0</v>
          </cell>
        </row>
        <row r="116">
          <cell r="A116" t="str">
            <v>D</v>
          </cell>
          <cell r="DR116">
            <v>0</v>
          </cell>
        </row>
        <row r="117">
          <cell r="A117" t="str">
            <v>D</v>
          </cell>
          <cell r="DR117">
            <v>0</v>
          </cell>
        </row>
        <row r="118">
          <cell r="A118" t="str">
            <v>D</v>
          </cell>
          <cell r="DR118">
            <v>0</v>
          </cell>
        </row>
        <row r="119">
          <cell r="A119" t="str">
            <v>D</v>
          </cell>
          <cell r="DR119">
            <v>0</v>
          </cell>
        </row>
        <row r="120">
          <cell r="A120" t="str">
            <v>D</v>
          </cell>
          <cell r="DR120">
            <v>0</v>
          </cell>
        </row>
        <row r="121">
          <cell r="A121" t="str">
            <v>D</v>
          </cell>
          <cell r="DR121" t="str">
            <v/>
          </cell>
        </row>
        <row r="122">
          <cell r="A122" t="str">
            <v>D</v>
          </cell>
          <cell r="DR122">
            <v>0</v>
          </cell>
        </row>
        <row r="123">
          <cell r="A123" t="str">
            <v>D</v>
          </cell>
          <cell r="DR123">
            <v>0</v>
          </cell>
        </row>
        <row r="124">
          <cell r="A124" t="str">
            <v>D</v>
          </cell>
          <cell r="DR124">
            <v>0</v>
          </cell>
        </row>
        <row r="125">
          <cell r="A125" t="str">
            <v>D</v>
          </cell>
          <cell r="DR125">
            <v>0</v>
          </cell>
        </row>
        <row r="126">
          <cell r="A126" t="str">
            <v>D</v>
          </cell>
          <cell r="DR126">
            <v>0</v>
          </cell>
        </row>
        <row r="127">
          <cell r="A127" t="str">
            <v>D</v>
          </cell>
          <cell r="DR127">
            <v>0</v>
          </cell>
        </row>
        <row r="128">
          <cell r="A128" t="str">
            <v>D</v>
          </cell>
          <cell r="DR128" t="str">
            <v/>
          </cell>
        </row>
        <row r="129">
          <cell r="A129" t="str">
            <v>E</v>
          </cell>
          <cell r="DR129" t="str">
            <v/>
          </cell>
        </row>
        <row r="130">
          <cell r="A130" t="str">
            <v>E</v>
          </cell>
          <cell r="DR130" t="str">
            <v/>
          </cell>
        </row>
        <row r="131">
          <cell r="A131" t="str">
            <v>E</v>
          </cell>
          <cell r="DR131">
            <v>0</v>
          </cell>
        </row>
        <row r="132">
          <cell r="A132" t="str">
            <v>E</v>
          </cell>
          <cell r="DR132">
            <v>0</v>
          </cell>
        </row>
        <row r="133">
          <cell r="A133" t="str">
            <v>E</v>
          </cell>
          <cell r="DR133" t="str">
            <v/>
          </cell>
        </row>
        <row r="134">
          <cell r="A134" t="str">
            <v>E</v>
          </cell>
          <cell r="DR134">
            <v>0</v>
          </cell>
        </row>
        <row r="135">
          <cell r="A135" t="str">
            <v>E</v>
          </cell>
          <cell r="DR135">
            <v>0</v>
          </cell>
        </row>
        <row r="136">
          <cell r="A136" t="str">
            <v>E</v>
          </cell>
          <cell r="DR136">
            <v>0</v>
          </cell>
        </row>
        <row r="137">
          <cell r="A137" t="str">
            <v>E</v>
          </cell>
          <cell r="DR137">
            <v>0</v>
          </cell>
        </row>
        <row r="138">
          <cell r="A138" t="str">
            <v>E</v>
          </cell>
          <cell r="DR138">
            <v>0</v>
          </cell>
        </row>
        <row r="139">
          <cell r="A139" t="str">
            <v>E</v>
          </cell>
          <cell r="DR139">
            <v>0</v>
          </cell>
        </row>
        <row r="140">
          <cell r="A140" t="str">
            <v>E</v>
          </cell>
          <cell r="DR140">
            <v>0</v>
          </cell>
        </row>
        <row r="141">
          <cell r="A141" t="str">
            <v>E</v>
          </cell>
          <cell r="DR141">
            <v>0</v>
          </cell>
        </row>
        <row r="142">
          <cell r="A142" t="str">
            <v>E</v>
          </cell>
          <cell r="DR142">
            <v>0</v>
          </cell>
        </row>
        <row r="143">
          <cell r="A143" t="str">
            <v>E</v>
          </cell>
          <cell r="DR143">
            <v>0</v>
          </cell>
        </row>
        <row r="144">
          <cell r="A144" t="str">
            <v>E</v>
          </cell>
          <cell r="DR144">
            <v>0</v>
          </cell>
        </row>
        <row r="145">
          <cell r="A145" t="str">
            <v>E</v>
          </cell>
          <cell r="DR145">
            <v>0</v>
          </cell>
        </row>
        <row r="146">
          <cell r="A146" t="str">
            <v>E</v>
          </cell>
          <cell r="DR146">
            <v>0</v>
          </cell>
        </row>
        <row r="147">
          <cell r="A147" t="str">
            <v>E</v>
          </cell>
          <cell r="DR147">
            <v>0</v>
          </cell>
        </row>
        <row r="148">
          <cell r="A148" t="str">
            <v>E</v>
          </cell>
          <cell r="DR148">
            <v>0</v>
          </cell>
        </row>
        <row r="149">
          <cell r="A149" t="str">
            <v>E</v>
          </cell>
          <cell r="DR149">
            <v>0</v>
          </cell>
        </row>
        <row r="150">
          <cell r="A150" t="str">
            <v>E</v>
          </cell>
          <cell r="DR150">
            <v>0</v>
          </cell>
        </row>
        <row r="151">
          <cell r="A151" t="str">
            <v>E</v>
          </cell>
          <cell r="DR151">
            <v>0</v>
          </cell>
        </row>
        <row r="152">
          <cell r="A152" t="str">
            <v>E</v>
          </cell>
          <cell r="DR152" t="str">
            <v/>
          </cell>
        </row>
        <row r="153">
          <cell r="A153" t="str">
            <v>E</v>
          </cell>
          <cell r="DR153">
            <v>0</v>
          </cell>
        </row>
        <row r="154">
          <cell r="A154" t="str">
            <v>E</v>
          </cell>
          <cell r="DR154">
            <v>0</v>
          </cell>
        </row>
        <row r="155">
          <cell r="A155" t="str">
            <v>E</v>
          </cell>
          <cell r="DR155">
            <v>0</v>
          </cell>
        </row>
        <row r="156">
          <cell r="A156" t="str">
            <v>E</v>
          </cell>
          <cell r="DR156">
            <v>0</v>
          </cell>
        </row>
        <row r="157">
          <cell r="A157" t="str">
            <v>E</v>
          </cell>
          <cell r="DR157">
            <v>0</v>
          </cell>
        </row>
        <row r="158">
          <cell r="A158" t="str">
            <v>E</v>
          </cell>
          <cell r="DR158">
            <v>0</v>
          </cell>
        </row>
        <row r="159">
          <cell r="A159" t="str">
            <v>E</v>
          </cell>
          <cell r="DR159">
            <v>0</v>
          </cell>
        </row>
        <row r="160">
          <cell r="A160" t="str">
            <v>E</v>
          </cell>
          <cell r="DR160">
            <v>0</v>
          </cell>
        </row>
        <row r="161">
          <cell r="A161" t="str">
            <v>E</v>
          </cell>
          <cell r="DR161">
            <v>0</v>
          </cell>
        </row>
        <row r="162">
          <cell r="A162" t="str">
            <v>E</v>
          </cell>
          <cell r="DR162">
            <v>0</v>
          </cell>
        </row>
        <row r="163">
          <cell r="A163" t="str">
            <v>E</v>
          </cell>
          <cell r="DR163">
            <v>0</v>
          </cell>
        </row>
        <row r="164">
          <cell r="A164" t="str">
            <v>E</v>
          </cell>
          <cell r="DR164">
            <v>0</v>
          </cell>
        </row>
        <row r="165">
          <cell r="A165" t="str">
            <v>E</v>
          </cell>
          <cell r="DR165">
            <v>0</v>
          </cell>
        </row>
        <row r="166">
          <cell r="A166" t="str">
            <v>E</v>
          </cell>
          <cell r="DR166">
            <v>0</v>
          </cell>
        </row>
        <row r="167">
          <cell r="A167" t="str">
            <v>E</v>
          </cell>
          <cell r="DR167">
            <v>0</v>
          </cell>
        </row>
        <row r="168">
          <cell r="A168" t="str">
            <v>E</v>
          </cell>
          <cell r="DR168">
            <v>0</v>
          </cell>
        </row>
        <row r="169">
          <cell r="A169" t="str">
            <v>E</v>
          </cell>
          <cell r="DR169">
            <v>0</v>
          </cell>
        </row>
        <row r="170">
          <cell r="A170" t="str">
            <v>E</v>
          </cell>
          <cell r="DR170">
            <v>0</v>
          </cell>
        </row>
        <row r="171">
          <cell r="A171" t="str">
            <v>E</v>
          </cell>
          <cell r="DR171">
            <v>0</v>
          </cell>
        </row>
        <row r="172">
          <cell r="A172" t="str">
            <v>E</v>
          </cell>
          <cell r="DR172">
            <v>0</v>
          </cell>
        </row>
        <row r="173">
          <cell r="A173" t="str">
            <v>E</v>
          </cell>
          <cell r="DR173" t="str">
            <v/>
          </cell>
        </row>
        <row r="174">
          <cell r="A174" t="str">
            <v>E</v>
          </cell>
          <cell r="DR174" t="str">
            <v/>
          </cell>
        </row>
        <row r="175">
          <cell r="A175" t="str">
            <v>E</v>
          </cell>
          <cell r="DR175" t="str">
            <v/>
          </cell>
        </row>
        <row r="176">
          <cell r="A176" t="str">
            <v>E</v>
          </cell>
          <cell r="DR176" t="str">
            <v/>
          </cell>
        </row>
        <row r="177">
          <cell r="A177" t="str">
            <v>E</v>
          </cell>
          <cell r="DR177">
            <v>0</v>
          </cell>
        </row>
        <row r="178">
          <cell r="A178" t="str">
            <v>E</v>
          </cell>
          <cell r="DR178">
            <v>0</v>
          </cell>
        </row>
        <row r="179">
          <cell r="A179" t="str">
            <v>E</v>
          </cell>
          <cell r="DR179">
            <v>0</v>
          </cell>
        </row>
        <row r="180">
          <cell r="A180" t="str">
            <v>E</v>
          </cell>
          <cell r="DR180">
            <v>0</v>
          </cell>
        </row>
        <row r="181">
          <cell r="A181" t="str">
            <v>E</v>
          </cell>
          <cell r="DR181">
            <v>0</v>
          </cell>
        </row>
        <row r="182">
          <cell r="A182" t="str">
            <v>E</v>
          </cell>
          <cell r="DR182">
            <v>0</v>
          </cell>
        </row>
        <row r="183">
          <cell r="A183" t="str">
            <v>E</v>
          </cell>
          <cell r="DR183">
            <v>0</v>
          </cell>
        </row>
        <row r="184">
          <cell r="A184" t="str">
            <v>E</v>
          </cell>
          <cell r="DR184">
            <v>0</v>
          </cell>
        </row>
        <row r="185">
          <cell r="A185" t="str">
            <v>E</v>
          </cell>
          <cell r="DR185" t="str">
            <v/>
          </cell>
        </row>
        <row r="186">
          <cell r="A186" t="str">
            <v>E</v>
          </cell>
          <cell r="DR186" t="str">
            <v/>
          </cell>
        </row>
        <row r="187">
          <cell r="DR187" t="str">
            <v/>
          </cell>
        </row>
        <row r="188">
          <cell r="A188" t="str">
            <v>F</v>
          </cell>
          <cell r="DR188" t="str">
            <v/>
          </cell>
        </row>
        <row r="189">
          <cell r="A189" t="str">
            <v>F</v>
          </cell>
          <cell r="DR189" t="str">
            <v/>
          </cell>
        </row>
        <row r="190">
          <cell r="A190" t="str">
            <v>F</v>
          </cell>
          <cell r="DR190">
            <v>1644068.3512807554</v>
          </cell>
        </row>
        <row r="191">
          <cell r="A191" t="str">
            <v>F</v>
          </cell>
          <cell r="DR191">
            <v>0</v>
          </cell>
        </row>
        <row r="192">
          <cell r="A192" t="str">
            <v>F</v>
          </cell>
          <cell r="DR192">
            <v>0</v>
          </cell>
        </row>
        <row r="193">
          <cell r="A193" t="str">
            <v>F</v>
          </cell>
          <cell r="DR193" t="str">
            <v/>
          </cell>
        </row>
        <row r="194">
          <cell r="A194" t="str">
            <v>F</v>
          </cell>
          <cell r="DR194" t="str">
            <v/>
          </cell>
        </row>
        <row r="195">
          <cell r="A195" t="str">
            <v>F</v>
          </cell>
          <cell r="DR195">
            <v>0</v>
          </cell>
        </row>
        <row r="196">
          <cell r="A196" t="str">
            <v>F</v>
          </cell>
          <cell r="DR196">
            <v>0</v>
          </cell>
        </row>
        <row r="197">
          <cell r="A197" t="str">
            <v>F</v>
          </cell>
          <cell r="DR197" t="str">
            <v/>
          </cell>
        </row>
        <row r="198">
          <cell r="A198" t="str">
            <v>F</v>
          </cell>
          <cell r="DR198">
            <v>0</v>
          </cell>
        </row>
        <row r="199">
          <cell r="A199" t="str">
            <v>F</v>
          </cell>
          <cell r="DR199">
            <v>0</v>
          </cell>
        </row>
        <row r="200">
          <cell r="A200" t="str">
            <v>F</v>
          </cell>
          <cell r="DR200">
            <v>0</v>
          </cell>
        </row>
        <row r="201">
          <cell r="A201" t="str">
            <v>F</v>
          </cell>
          <cell r="DR201">
            <v>0</v>
          </cell>
        </row>
        <row r="202">
          <cell r="A202" t="str">
            <v>F</v>
          </cell>
          <cell r="DR202">
            <v>0</v>
          </cell>
        </row>
        <row r="203">
          <cell r="A203" t="str">
            <v>F</v>
          </cell>
          <cell r="DR203">
            <v>0</v>
          </cell>
        </row>
        <row r="204">
          <cell r="A204" t="str">
            <v>F</v>
          </cell>
          <cell r="DR204">
            <v>0</v>
          </cell>
        </row>
        <row r="205">
          <cell r="A205" t="str">
            <v>F</v>
          </cell>
          <cell r="DR205">
            <v>0</v>
          </cell>
        </row>
        <row r="206">
          <cell r="A206" t="str">
            <v>F</v>
          </cell>
          <cell r="DR206">
            <v>0</v>
          </cell>
        </row>
        <row r="207">
          <cell r="A207" t="str">
            <v>F</v>
          </cell>
          <cell r="DR207" t="str">
            <v/>
          </cell>
        </row>
        <row r="208">
          <cell r="A208" t="str">
            <v>F</v>
          </cell>
          <cell r="DR208">
            <v>0</v>
          </cell>
        </row>
        <row r="209">
          <cell r="A209" t="str">
            <v>F</v>
          </cell>
          <cell r="DR209">
            <v>0</v>
          </cell>
        </row>
        <row r="210">
          <cell r="A210" t="str">
            <v>F</v>
          </cell>
          <cell r="DR210">
            <v>0</v>
          </cell>
        </row>
        <row r="211">
          <cell r="A211" t="str">
            <v>F</v>
          </cell>
          <cell r="DR211">
            <v>0</v>
          </cell>
        </row>
        <row r="212">
          <cell r="A212" t="str">
            <v>F</v>
          </cell>
          <cell r="DR212">
            <v>0</v>
          </cell>
        </row>
        <row r="213">
          <cell r="A213" t="str">
            <v>F</v>
          </cell>
          <cell r="DR213">
            <v>0</v>
          </cell>
        </row>
        <row r="214">
          <cell r="A214" t="str">
            <v>F</v>
          </cell>
          <cell r="DR214" t="str">
            <v/>
          </cell>
        </row>
        <row r="215">
          <cell r="A215" t="str">
            <v>F</v>
          </cell>
          <cell r="DR215">
            <v>0</v>
          </cell>
        </row>
        <row r="216">
          <cell r="A216" t="str">
            <v>F</v>
          </cell>
          <cell r="DR216" t="str">
            <v/>
          </cell>
        </row>
        <row r="217">
          <cell r="A217" t="str">
            <v>F</v>
          </cell>
          <cell r="DR217" t="str">
            <v/>
          </cell>
        </row>
        <row r="218">
          <cell r="A218" t="str">
            <v>F</v>
          </cell>
          <cell r="DR218" t="str">
            <v/>
          </cell>
        </row>
        <row r="219">
          <cell r="A219" t="str">
            <v>F</v>
          </cell>
          <cell r="DR219">
            <v>0</v>
          </cell>
        </row>
        <row r="220">
          <cell r="A220" t="str">
            <v>F</v>
          </cell>
          <cell r="DR220">
            <v>0</v>
          </cell>
        </row>
        <row r="221">
          <cell r="A221" t="str">
            <v>F</v>
          </cell>
          <cell r="DR221" t="str">
            <v/>
          </cell>
        </row>
        <row r="222">
          <cell r="A222" t="str">
            <v>F</v>
          </cell>
          <cell r="DR222">
            <v>0</v>
          </cell>
        </row>
        <row r="223">
          <cell r="A223" t="str">
            <v>F</v>
          </cell>
          <cell r="DR223">
            <v>0</v>
          </cell>
        </row>
        <row r="224">
          <cell r="A224" t="str">
            <v>F</v>
          </cell>
          <cell r="DR224">
            <v>0</v>
          </cell>
        </row>
        <row r="225">
          <cell r="A225" t="str">
            <v>F</v>
          </cell>
          <cell r="DR225">
            <v>0</v>
          </cell>
        </row>
        <row r="226">
          <cell r="A226" t="str">
            <v>F</v>
          </cell>
          <cell r="DR226">
            <v>0</v>
          </cell>
        </row>
        <row r="227">
          <cell r="A227" t="str">
            <v>F</v>
          </cell>
          <cell r="DR227">
            <v>0</v>
          </cell>
        </row>
        <row r="228">
          <cell r="A228" t="str">
            <v>F</v>
          </cell>
          <cell r="DR228">
            <v>0</v>
          </cell>
        </row>
        <row r="229">
          <cell r="A229" t="str">
            <v>F</v>
          </cell>
          <cell r="DR229">
            <v>0</v>
          </cell>
        </row>
        <row r="230">
          <cell r="A230" t="str">
            <v>F</v>
          </cell>
          <cell r="DR230">
            <v>0</v>
          </cell>
        </row>
        <row r="231">
          <cell r="A231" t="str">
            <v>F</v>
          </cell>
          <cell r="DR231">
            <v>0</v>
          </cell>
        </row>
        <row r="232">
          <cell r="A232" t="str">
            <v>F</v>
          </cell>
          <cell r="DR232" t="str">
            <v/>
          </cell>
        </row>
        <row r="233">
          <cell r="A233" t="str">
            <v>F</v>
          </cell>
          <cell r="DR233">
            <v>0</v>
          </cell>
        </row>
        <row r="234">
          <cell r="A234" t="str">
            <v>F</v>
          </cell>
          <cell r="DR234">
            <v>0</v>
          </cell>
        </row>
        <row r="235">
          <cell r="A235" t="str">
            <v>F</v>
          </cell>
          <cell r="DR235">
            <v>0</v>
          </cell>
        </row>
        <row r="236">
          <cell r="A236" t="str">
            <v>F</v>
          </cell>
          <cell r="DR236" t="str">
            <v/>
          </cell>
        </row>
        <row r="237">
          <cell r="A237" t="str">
            <v>F</v>
          </cell>
          <cell r="DR237">
            <v>0</v>
          </cell>
        </row>
        <row r="238">
          <cell r="A238" t="str">
            <v>F</v>
          </cell>
          <cell r="DR238">
            <v>0</v>
          </cell>
        </row>
        <row r="239">
          <cell r="A239" t="str">
            <v>F</v>
          </cell>
          <cell r="DR239" t="str">
            <v/>
          </cell>
        </row>
        <row r="240">
          <cell r="A240" t="str">
            <v>F</v>
          </cell>
          <cell r="DR240">
            <v>0</v>
          </cell>
        </row>
        <row r="241">
          <cell r="A241" t="str">
            <v>F</v>
          </cell>
          <cell r="DR241">
            <v>0</v>
          </cell>
        </row>
        <row r="242">
          <cell r="A242" t="str">
            <v>F</v>
          </cell>
          <cell r="DR242">
            <v>0</v>
          </cell>
        </row>
        <row r="243">
          <cell r="A243" t="str">
            <v>F</v>
          </cell>
          <cell r="DR243">
            <v>0</v>
          </cell>
        </row>
        <row r="244">
          <cell r="A244" t="str">
            <v>F</v>
          </cell>
          <cell r="DR244">
            <v>0</v>
          </cell>
        </row>
        <row r="245">
          <cell r="A245" t="str">
            <v>F</v>
          </cell>
          <cell r="DR245">
            <v>0</v>
          </cell>
        </row>
        <row r="246">
          <cell r="A246" t="str">
            <v>F</v>
          </cell>
          <cell r="DR246">
            <v>0</v>
          </cell>
        </row>
        <row r="247">
          <cell r="A247" t="str">
            <v>F</v>
          </cell>
          <cell r="DR247">
            <v>0</v>
          </cell>
        </row>
        <row r="248">
          <cell r="A248" t="str">
            <v>F</v>
          </cell>
          <cell r="DR248">
            <v>0</v>
          </cell>
        </row>
        <row r="249">
          <cell r="A249" t="str">
            <v>F</v>
          </cell>
          <cell r="DR249" t="str">
            <v/>
          </cell>
        </row>
        <row r="250">
          <cell r="A250" t="str">
            <v>F</v>
          </cell>
          <cell r="DR250">
            <v>0</v>
          </cell>
        </row>
        <row r="251">
          <cell r="A251" t="str">
            <v>F</v>
          </cell>
          <cell r="DR251">
            <v>0</v>
          </cell>
        </row>
        <row r="252">
          <cell r="A252" t="str">
            <v>F</v>
          </cell>
          <cell r="DR252">
            <v>0</v>
          </cell>
        </row>
        <row r="253">
          <cell r="A253" t="str">
            <v>F</v>
          </cell>
          <cell r="DR253" t="str">
            <v/>
          </cell>
        </row>
        <row r="254">
          <cell r="A254" t="str">
            <v>F</v>
          </cell>
          <cell r="DR254" t="str">
            <v/>
          </cell>
        </row>
        <row r="255">
          <cell r="A255" t="str">
            <v>F</v>
          </cell>
          <cell r="DR255">
            <v>0</v>
          </cell>
        </row>
        <row r="256">
          <cell r="A256" t="str">
            <v>F</v>
          </cell>
          <cell r="DR256">
            <v>0</v>
          </cell>
        </row>
        <row r="257">
          <cell r="A257" t="str">
            <v>F</v>
          </cell>
          <cell r="DR257">
            <v>0</v>
          </cell>
        </row>
        <row r="258">
          <cell r="A258" t="str">
            <v>F</v>
          </cell>
          <cell r="DR258">
            <v>0</v>
          </cell>
        </row>
        <row r="259">
          <cell r="A259" t="str">
            <v>F</v>
          </cell>
          <cell r="DR259">
            <v>0</v>
          </cell>
        </row>
        <row r="260">
          <cell r="A260" t="str">
            <v>F</v>
          </cell>
          <cell r="DR260">
            <v>0</v>
          </cell>
        </row>
        <row r="261">
          <cell r="A261" t="str">
            <v>F</v>
          </cell>
          <cell r="DR261">
            <v>0</v>
          </cell>
        </row>
        <row r="262">
          <cell r="A262" t="str">
            <v>F</v>
          </cell>
          <cell r="DR262">
            <v>0</v>
          </cell>
        </row>
        <row r="263">
          <cell r="A263" t="str">
            <v>F</v>
          </cell>
          <cell r="DR263">
            <v>0</v>
          </cell>
        </row>
        <row r="264">
          <cell r="A264" t="str">
            <v>F</v>
          </cell>
          <cell r="DR264">
            <v>0</v>
          </cell>
        </row>
        <row r="265">
          <cell r="A265" t="str">
            <v>F</v>
          </cell>
          <cell r="DR265" t="str">
            <v/>
          </cell>
        </row>
        <row r="266">
          <cell r="A266" t="str">
            <v>F</v>
          </cell>
          <cell r="DR266">
            <v>0</v>
          </cell>
        </row>
        <row r="267">
          <cell r="DR267" t="str">
            <v/>
          </cell>
        </row>
        <row r="268">
          <cell r="DR268" t="str">
            <v/>
          </cell>
        </row>
        <row r="269">
          <cell r="DR269" t="str">
            <v/>
          </cell>
        </row>
        <row r="270">
          <cell r="A270" t="str">
            <v>H</v>
          </cell>
          <cell r="DR270" t="str">
            <v/>
          </cell>
        </row>
        <row r="271">
          <cell r="A271" t="str">
            <v>H</v>
          </cell>
          <cell r="DR271" t="str">
            <v/>
          </cell>
        </row>
        <row r="272">
          <cell r="A272" t="str">
            <v>H</v>
          </cell>
          <cell r="DR272">
            <v>0</v>
          </cell>
        </row>
        <row r="273">
          <cell r="A273" t="str">
            <v>H</v>
          </cell>
          <cell r="DR273">
            <v>0</v>
          </cell>
        </row>
        <row r="274">
          <cell r="A274" t="str">
            <v>H</v>
          </cell>
          <cell r="DR274" t="str">
            <v/>
          </cell>
        </row>
        <row r="275">
          <cell r="A275" t="str">
            <v>H</v>
          </cell>
          <cell r="DR275" t="str">
            <v/>
          </cell>
        </row>
        <row r="276">
          <cell r="A276" t="str">
            <v>H</v>
          </cell>
          <cell r="DR276">
            <v>0</v>
          </cell>
        </row>
        <row r="277">
          <cell r="A277" t="str">
            <v>H</v>
          </cell>
          <cell r="DR277">
            <v>0</v>
          </cell>
        </row>
        <row r="278">
          <cell r="A278" t="str">
            <v>H</v>
          </cell>
          <cell r="DR278">
            <v>0</v>
          </cell>
        </row>
        <row r="279">
          <cell r="A279" t="str">
            <v>H</v>
          </cell>
          <cell r="DR279">
            <v>0</v>
          </cell>
        </row>
        <row r="280">
          <cell r="A280" t="str">
            <v>H</v>
          </cell>
          <cell r="DR280">
            <v>0</v>
          </cell>
        </row>
        <row r="281">
          <cell r="A281" t="str">
            <v>H</v>
          </cell>
          <cell r="DR281" t="str">
            <v/>
          </cell>
        </row>
        <row r="282">
          <cell r="A282" t="str">
            <v>H</v>
          </cell>
          <cell r="DR282">
            <v>0</v>
          </cell>
        </row>
        <row r="283">
          <cell r="A283" t="str">
            <v>H</v>
          </cell>
          <cell r="DR283">
            <v>0</v>
          </cell>
        </row>
        <row r="284">
          <cell r="A284" t="str">
            <v>H</v>
          </cell>
          <cell r="DR284">
            <v>0</v>
          </cell>
        </row>
        <row r="285">
          <cell r="A285" t="str">
            <v>H</v>
          </cell>
          <cell r="DR285">
            <v>0</v>
          </cell>
        </row>
        <row r="286">
          <cell r="A286" t="str">
            <v>H</v>
          </cell>
          <cell r="DR286">
            <v>0</v>
          </cell>
        </row>
        <row r="287">
          <cell r="A287" t="str">
            <v>H</v>
          </cell>
          <cell r="DR287">
            <v>0</v>
          </cell>
        </row>
        <row r="288">
          <cell r="A288" t="str">
            <v>H</v>
          </cell>
          <cell r="DR288">
            <v>0</v>
          </cell>
        </row>
        <row r="289">
          <cell r="A289" t="str">
            <v>H</v>
          </cell>
          <cell r="DR289">
            <v>0</v>
          </cell>
        </row>
        <row r="290">
          <cell r="A290" t="str">
            <v>H</v>
          </cell>
          <cell r="DR290">
            <v>0</v>
          </cell>
        </row>
        <row r="291">
          <cell r="A291" t="str">
            <v>H</v>
          </cell>
          <cell r="DR291">
            <v>0</v>
          </cell>
        </row>
        <row r="292">
          <cell r="A292" t="str">
            <v>H</v>
          </cell>
          <cell r="DR292">
            <v>0</v>
          </cell>
        </row>
        <row r="293">
          <cell r="A293" t="str">
            <v>H</v>
          </cell>
          <cell r="DR293" t="str">
            <v/>
          </cell>
        </row>
        <row r="294">
          <cell r="A294" t="str">
            <v>H</v>
          </cell>
          <cell r="DR294">
            <v>0</v>
          </cell>
        </row>
        <row r="295">
          <cell r="A295" t="str">
            <v>H</v>
          </cell>
          <cell r="DR295">
            <v>0</v>
          </cell>
        </row>
        <row r="296">
          <cell r="A296" t="str">
            <v>H</v>
          </cell>
          <cell r="DR296">
            <v>0</v>
          </cell>
        </row>
        <row r="297">
          <cell r="A297" t="str">
            <v>H</v>
          </cell>
          <cell r="DR297">
            <v>0</v>
          </cell>
        </row>
        <row r="298">
          <cell r="A298" t="str">
            <v>H</v>
          </cell>
          <cell r="DR298">
            <v>0</v>
          </cell>
        </row>
        <row r="299">
          <cell r="A299" t="str">
            <v>H</v>
          </cell>
          <cell r="DR299">
            <v>0</v>
          </cell>
        </row>
        <row r="300">
          <cell r="A300" t="str">
            <v>H</v>
          </cell>
          <cell r="DR300">
            <v>0</v>
          </cell>
        </row>
        <row r="301">
          <cell r="A301" t="str">
            <v>H</v>
          </cell>
          <cell r="DR301">
            <v>0</v>
          </cell>
        </row>
        <row r="302">
          <cell r="A302" t="str">
            <v>H</v>
          </cell>
          <cell r="DR302" t="str">
            <v/>
          </cell>
        </row>
        <row r="303">
          <cell r="A303" t="str">
            <v>H</v>
          </cell>
          <cell r="DR303">
            <v>0</v>
          </cell>
        </row>
        <row r="304">
          <cell r="A304" t="str">
            <v>H</v>
          </cell>
          <cell r="DR304">
            <v>0</v>
          </cell>
        </row>
        <row r="305">
          <cell r="A305" t="str">
            <v>H</v>
          </cell>
          <cell r="DR305">
            <v>0</v>
          </cell>
        </row>
        <row r="306">
          <cell r="A306" t="str">
            <v>H</v>
          </cell>
          <cell r="DR306">
            <v>0</v>
          </cell>
        </row>
        <row r="307">
          <cell r="A307" t="str">
            <v>H</v>
          </cell>
          <cell r="DR307">
            <v>0</v>
          </cell>
        </row>
        <row r="308">
          <cell r="A308" t="str">
            <v>H</v>
          </cell>
          <cell r="DR308">
            <v>0</v>
          </cell>
        </row>
        <row r="309">
          <cell r="A309" t="str">
            <v>H</v>
          </cell>
          <cell r="DR309">
            <v>0</v>
          </cell>
        </row>
        <row r="310">
          <cell r="A310" t="str">
            <v>H</v>
          </cell>
          <cell r="DR310">
            <v>0</v>
          </cell>
        </row>
        <row r="311">
          <cell r="A311" t="str">
            <v>H</v>
          </cell>
          <cell r="DR311">
            <v>0</v>
          </cell>
        </row>
        <row r="312">
          <cell r="A312" t="str">
            <v>H</v>
          </cell>
          <cell r="DR312" t="str">
            <v/>
          </cell>
        </row>
        <row r="313">
          <cell r="A313" t="str">
            <v>H</v>
          </cell>
          <cell r="DR313">
            <v>0</v>
          </cell>
        </row>
        <row r="314">
          <cell r="A314" t="str">
            <v>H</v>
          </cell>
          <cell r="DR314">
            <v>0</v>
          </cell>
        </row>
        <row r="315">
          <cell r="A315" t="str">
            <v>H</v>
          </cell>
          <cell r="DR315">
            <v>0</v>
          </cell>
        </row>
        <row r="316">
          <cell r="A316" t="str">
            <v>H</v>
          </cell>
          <cell r="DR316">
            <v>0</v>
          </cell>
        </row>
        <row r="317">
          <cell r="A317" t="str">
            <v>H</v>
          </cell>
          <cell r="DR317">
            <v>0</v>
          </cell>
        </row>
        <row r="318">
          <cell r="A318" t="str">
            <v>H</v>
          </cell>
          <cell r="DR318">
            <v>0</v>
          </cell>
        </row>
        <row r="319">
          <cell r="A319" t="str">
            <v>H</v>
          </cell>
          <cell r="DR319">
            <v>0</v>
          </cell>
        </row>
        <row r="320">
          <cell r="A320" t="str">
            <v>H</v>
          </cell>
          <cell r="DR320">
            <v>0</v>
          </cell>
        </row>
        <row r="321">
          <cell r="A321" t="str">
            <v>H</v>
          </cell>
          <cell r="DR321">
            <v>0</v>
          </cell>
        </row>
        <row r="322">
          <cell r="A322" t="str">
            <v>H</v>
          </cell>
          <cell r="DR322">
            <v>0</v>
          </cell>
        </row>
        <row r="323">
          <cell r="A323" t="str">
            <v>H</v>
          </cell>
          <cell r="DR323">
            <v>0</v>
          </cell>
        </row>
        <row r="324">
          <cell r="A324" t="str">
            <v>H</v>
          </cell>
          <cell r="DR324">
            <v>0</v>
          </cell>
        </row>
        <row r="325">
          <cell r="A325" t="str">
            <v>H</v>
          </cell>
          <cell r="DR325">
            <v>0</v>
          </cell>
        </row>
        <row r="326">
          <cell r="A326" t="str">
            <v>H</v>
          </cell>
          <cell r="DR326">
            <v>0</v>
          </cell>
        </row>
        <row r="327">
          <cell r="A327" t="str">
            <v>H</v>
          </cell>
          <cell r="DR327" t="str">
            <v/>
          </cell>
        </row>
        <row r="328">
          <cell r="A328" t="str">
            <v>H</v>
          </cell>
          <cell r="DR328">
            <v>0</v>
          </cell>
        </row>
        <row r="329">
          <cell r="A329" t="str">
            <v>H</v>
          </cell>
          <cell r="DR329">
            <v>0</v>
          </cell>
        </row>
        <row r="330">
          <cell r="A330" t="str">
            <v>H</v>
          </cell>
          <cell r="DR330">
            <v>0</v>
          </cell>
        </row>
        <row r="331">
          <cell r="A331" t="str">
            <v>H</v>
          </cell>
          <cell r="DR331">
            <v>0</v>
          </cell>
        </row>
        <row r="332">
          <cell r="A332" t="str">
            <v>H</v>
          </cell>
          <cell r="DR332">
            <v>0</v>
          </cell>
        </row>
        <row r="333">
          <cell r="A333" t="str">
            <v>H</v>
          </cell>
          <cell r="DR333">
            <v>0</v>
          </cell>
        </row>
        <row r="334">
          <cell r="A334" t="str">
            <v>H</v>
          </cell>
          <cell r="DR334">
            <v>0</v>
          </cell>
        </row>
        <row r="335">
          <cell r="A335" t="str">
            <v>H</v>
          </cell>
          <cell r="DR335">
            <v>0</v>
          </cell>
        </row>
        <row r="336">
          <cell r="A336" t="str">
            <v>H</v>
          </cell>
          <cell r="DR336" t="str">
            <v/>
          </cell>
        </row>
        <row r="337">
          <cell r="A337" t="str">
            <v>H</v>
          </cell>
          <cell r="DR337">
            <v>0</v>
          </cell>
        </row>
        <row r="338">
          <cell r="A338" t="str">
            <v>H</v>
          </cell>
          <cell r="DR338">
            <v>0</v>
          </cell>
        </row>
        <row r="339">
          <cell r="A339" t="str">
            <v>H</v>
          </cell>
          <cell r="DR339">
            <v>0</v>
          </cell>
        </row>
        <row r="340">
          <cell r="A340" t="str">
            <v>H</v>
          </cell>
          <cell r="DR340">
            <v>0</v>
          </cell>
        </row>
        <row r="341">
          <cell r="A341" t="str">
            <v>H</v>
          </cell>
          <cell r="DR341">
            <v>0</v>
          </cell>
        </row>
        <row r="342">
          <cell r="A342" t="str">
            <v>H</v>
          </cell>
          <cell r="DR342" t="str">
            <v/>
          </cell>
        </row>
        <row r="343">
          <cell r="A343" t="str">
            <v>H</v>
          </cell>
          <cell r="DR343">
            <v>0</v>
          </cell>
        </row>
        <row r="344">
          <cell r="A344" t="str">
            <v>H</v>
          </cell>
          <cell r="DR344">
            <v>0</v>
          </cell>
        </row>
        <row r="345">
          <cell r="A345" t="str">
            <v>H</v>
          </cell>
          <cell r="DR345" t="str">
            <v/>
          </cell>
        </row>
        <row r="346">
          <cell r="A346" t="str">
            <v>H</v>
          </cell>
          <cell r="DR346" t="str">
            <v/>
          </cell>
        </row>
        <row r="347">
          <cell r="A347" t="str">
            <v>H</v>
          </cell>
          <cell r="DR347">
            <v>0</v>
          </cell>
        </row>
        <row r="348">
          <cell r="A348" t="str">
            <v>H</v>
          </cell>
          <cell r="DR348">
            <v>0</v>
          </cell>
        </row>
        <row r="349">
          <cell r="A349" t="str">
            <v>H</v>
          </cell>
          <cell r="DR349">
            <v>0</v>
          </cell>
        </row>
        <row r="350">
          <cell r="A350" t="str">
            <v>H</v>
          </cell>
          <cell r="DR350">
            <v>0</v>
          </cell>
        </row>
        <row r="351">
          <cell r="A351" t="str">
            <v>H</v>
          </cell>
          <cell r="DR351">
            <v>0</v>
          </cell>
        </row>
        <row r="352">
          <cell r="A352" t="str">
            <v>H</v>
          </cell>
          <cell r="DR352" t="str">
            <v/>
          </cell>
        </row>
        <row r="353">
          <cell r="A353" t="str">
            <v>H</v>
          </cell>
          <cell r="DR353">
            <v>0</v>
          </cell>
        </row>
        <row r="354">
          <cell r="A354" t="str">
            <v>H</v>
          </cell>
          <cell r="DR354">
            <v>0</v>
          </cell>
        </row>
        <row r="355">
          <cell r="A355" t="str">
            <v>H</v>
          </cell>
          <cell r="DR355">
            <v>0</v>
          </cell>
        </row>
        <row r="356">
          <cell r="A356" t="str">
            <v>H</v>
          </cell>
          <cell r="DR356">
            <v>2426121.3689968698</v>
          </cell>
        </row>
        <row r="357">
          <cell r="A357" t="str">
            <v>H</v>
          </cell>
          <cell r="DR357">
            <v>0</v>
          </cell>
        </row>
        <row r="358">
          <cell r="A358" t="str">
            <v>H</v>
          </cell>
          <cell r="DR358">
            <v>38799706.312690876</v>
          </cell>
        </row>
        <row r="359">
          <cell r="A359" t="str">
            <v>H</v>
          </cell>
          <cell r="DR359">
            <v>0</v>
          </cell>
        </row>
        <row r="360">
          <cell r="A360" t="str">
            <v>H</v>
          </cell>
          <cell r="DR360">
            <v>4218330.5714127617</v>
          </cell>
        </row>
        <row r="361">
          <cell r="A361" t="str">
            <v>H</v>
          </cell>
          <cell r="DR361">
            <v>444540.22666089085</v>
          </cell>
        </row>
        <row r="362">
          <cell r="A362" t="str">
            <v>H</v>
          </cell>
          <cell r="DR362">
            <v>0</v>
          </cell>
        </row>
        <row r="363">
          <cell r="A363" t="str">
            <v>H</v>
          </cell>
          <cell r="DR363">
            <v>0</v>
          </cell>
        </row>
        <row r="364">
          <cell r="A364" t="str">
            <v>H</v>
          </cell>
          <cell r="DR364" t="str">
            <v/>
          </cell>
        </row>
        <row r="365">
          <cell r="A365" t="str">
            <v>H</v>
          </cell>
          <cell r="DR365">
            <v>42143442.332349062</v>
          </cell>
        </row>
        <row r="366">
          <cell r="A366" t="str">
            <v>H</v>
          </cell>
          <cell r="DR366">
            <v>1279828.174027896</v>
          </cell>
        </row>
        <row r="367">
          <cell r="A367" t="str">
            <v>H</v>
          </cell>
          <cell r="DR367">
            <v>31190515.718856461</v>
          </cell>
        </row>
        <row r="368">
          <cell r="A368" t="str">
            <v>H</v>
          </cell>
          <cell r="DR368">
            <v>6310927.9389129002</v>
          </cell>
        </row>
        <row r="369">
          <cell r="A369" t="str">
            <v>H</v>
          </cell>
          <cell r="DR369">
            <v>11040375.00892755</v>
          </cell>
        </row>
        <row r="370">
          <cell r="A370" t="str">
            <v>H</v>
          </cell>
          <cell r="DR370">
            <v>1402253.544297342</v>
          </cell>
        </row>
        <row r="371">
          <cell r="A371" t="str">
            <v>H</v>
          </cell>
          <cell r="DR371">
            <v>0</v>
          </cell>
        </row>
        <row r="372">
          <cell r="A372" t="str">
            <v>H</v>
          </cell>
          <cell r="DR372">
            <v>0</v>
          </cell>
        </row>
        <row r="373">
          <cell r="A373" t="str">
            <v>H</v>
          </cell>
          <cell r="DR373" t="str">
            <v/>
          </cell>
        </row>
        <row r="374">
          <cell r="A374" t="str">
            <v>H</v>
          </cell>
          <cell r="DR374">
            <v>0</v>
          </cell>
        </row>
        <row r="375">
          <cell r="A375" t="str">
            <v>H</v>
          </cell>
          <cell r="DR375">
            <v>0</v>
          </cell>
        </row>
        <row r="376">
          <cell r="A376" t="str">
            <v>H</v>
          </cell>
          <cell r="DR376">
            <v>0</v>
          </cell>
        </row>
        <row r="377">
          <cell r="A377" t="str">
            <v>H</v>
          </cell>
          <cell r="DR377">
            <v>0</v>
          </cell>
        </row>
        <row r="378">
          <cell r="A378" t="str">
            <v>H</v>
          </cell>
          <cell r="DR378">
            <v>0</v>
          </cell>
        </row>
        <row r="379">
          <cell r="A379" t="str">
            <v>H</v>
          </cell>
          <cell r="DR379">
            <v>0</v>
          </cell>
        </row>
        <row r="380">
          <cell r="A380" t="str">
            <v>H</v>
          </cell>
          <cell r="DR380">
            <v>0</v>
          </cell>
        </row>
        <row r="381">
          <cell r="A381" t="str">
            <v>H</v>
          </cell>
          <cell r="DR381">
            <v>0</v>
          </cell>
        </row>
        <row r="382">
          <cell r="A382" t="str">
            <v>H</v>
          </cell>
          <cell r="DR382">
            <v>0</v>
          </cell>
        </row>
        <row r="383">
          <cell r="A383" t="str">
            <v>H</v>
          </cell>
          <cell r="DR383" t="str">
            <v/>
          </cell>
        </row>
        <row r="384">
          <cell r="A384" t="str">
            <v>H</v>
          </cell>
          <cell r="DR384">
            <v>0</v>
          </cell>
        </row>
        <row r="385">
          <cell r="A385" t="str">
            <v>H</v>
          </cell>
          <cell r="DR385">
            <v>0</v>
          </cell>
        </row>
        <row r="386">
          <cell r="A386" t="str">
            <v>H</v>
          </cell>
          <cell r="DR386">
            <v>0</v>
          </cell>
        </row>
        <row r="387">
          <cell r="A387" t="str">
            <v>H</v>
          </cell>
          <cell r="DR387">
            <v>0</v>
          </cell>
        </row>
        <row r="388">
          <cell r="A388" t="str">
            <v>H</v>
          </cell>
          <cell r="DR388">
            <v>0</v>
          </cell>
        </row>
        <row r="389">
          <cell r="A389" t="str">
            <v>H</v>
          </cell>
          <cell r="DR389">
            <v>0</v>
          </cell>
        </row>
        <row r="390">
          <cell r="A390" t="str">
            <v>H</v>
          </cell>
          <cell r="DR390">
            <v>0</v>
          </cell>
        </row>
        <row r="391">
          <cell r="A391" t="str">
            <v>H</v>
          </cell>
          <cell r="DR391">
            <v>0</v>
          </cell>
        </row>
        <row r="392">
          <cell r="A392" t="str">
            <v>H</v>
          </cell>
          <cell r="DR392">
            <v>0</v>
          </cell>
        </row>
        <row r="393">
          <cell r="A393" t="str">
            <v>H</v>
          </cell>
          <cell r="DR393">
            <v>0</v>
          </cell>
        </row>
        <row r="394">
          <cell r="A394" t="str">
            <v>H</v>
          </cell>
          <cell r="DR394">
            <v>0</v>
          </cell>
        </row>
        <row r="395">
          <cell r="A395" t="str">
            <v>H</v>
          </cell>
          <cell r="DR395">
            <v>0</v>
          </cell>
        </row>
        <row r="396">
          <cell r="A396" t="str">
            <v>H</v>
          </cell>
          <cell r="DR396">
            <v>0</v>
          </cell>
        </row>
        <row r="397">
          <cell r="A397" t="str">
            <v>H</v>
          </cell>
          <cell r="DR397" t="str">
            <v/>
          </cell>
        </row>
        <row r="398">
          <cell r="A398" t="str">
            <v>H</v>
          </cell>
          <cell r="DR398">
            <v>0</v>
          </cell>
        </row>
        <row r="399">
          <cell r="A399" t="str">
            <v>H</v>
          </cell>
          <cell r="DR399">
            <v>0</v>
          </cell>
        </row>
        <row r="400">
          <cell r="A400" t="str">
            <v>H</v>
          </cell>
          <cell r="DR400">
            <v>0</v>
          </cell>
        </row>
        <row r="401">
          <cell r="A401" t="str">
            <v>H</v>
          </cell>
          <cell r="DR401">
            <v>0</v>
          </cell>
        </row>
        <row r="402">
          <cell r="A402" t="str">
            <v>H</v>
          </cell>
          <cell r="DR402">
            <v>0</v>
          </cell>
        </row>
        <row r="403">
          <cell r="A403" t="str">
            <v>H</v>
          </cell>
          <cell r="DR403">
            <v>0</v>
          </cell>
        </row>
        <row r="404">
          <cell r="A404" t="str">
            <v>H</v>
          </cell>
          <cell r="DR404">
            <v>0</v>
          </cell>
        </row>
        <row r="405">
          <cell r="A405" t="str">
            <v>H</v>
          </cell>
          <cell r="DR405">
            <v>0</v>
          </cell>
        </row>
        <row r="406">
          <cell r="A406" t="str">
            <v>H</v>
          </cell>
          <cell r="DR406" t="str">
            <v/>
          </cell>
        </row>
        <row r="407">
          <cell r="A407" t="str">
            <v>H</v>
          </cell>
          <cell r="DR407">
            <v>0</v>
          </cell>
        </row>
        <row r="408">
          <cell r="A408" t="str">
            <v>H</v>
          </cell>
          <cell r="DR408">
            <v>0</v>
          </cell>
        </row>
        <row r="409">
          <cell r="A409" t="str">
            <v>H</v>
          </cell>
          <cell r="DR409">
            <v>0</v>
          </cell>
        </row>
        <row r="410">
          <cell r="A410" t="str">
            <v>H</v>
          </cell>
          <cell r="DR410">
            <v>0</v>
          </cell>
        </row>
        <row r="411">
          <cell r="A411" t="str">
            <v>H</v>
          </cell>
          <cell r="DR411">
            <v>0</v>
          </cell>
        </row>
        <row r="412">
          <cell r="A412" t="str">
            <v>H</v>
          </cell>
          <cell r="DR412" t="str">
            <v/>
          </cell>
        </row>
        <row r="413">
          <cell r="A413" t="str">
            <v>H</v>
          </cell>
          <cell r="DR413" t="str">
            <v/>
          </cell>
        </row>
        <row r="414">
          <cell r="A414" t="str">
            <v>H</v>
          </cell>
          <cell r="DR414">
            <v>612395.50057880615</v>
          </cell>
        </row>
        <row r="415">
          <cell r="A415" t="str">
            <v>H</v>
          </cell>
          <cell r="DR415">
            <v>0</v>
          </cell>
        </row>
        <row r="416">
          <cell r="A416" t="str">
            <v>H</v>
          </cell>
          <cell r="DR416">
            <v>0</v>
          </cell>
        </row>
        <row r="417">
          <cell r="A417" t="str">
            <v>H</v>
          </cell>
          <cell r="DR417">
            <v>0</v>
          </cell>
        </row>
        <row r="418">
          <cell r="A418" t="str">
            <v>H</v>
          </cell>
          <cell r="DR418">
            <v>0</v>
          </cell>
        </row>
        <row r="419">
          <cell r="A419" t="str">
            <v>H</v>
          </cell>
          <cell r="DR419" t="str">
            <v/>
          </cell>
        </row>
        <row r="420">
          <cell r="A420" t="str">
            <v>H</v>
          </cell>
          <cell r="DR420">
            <v>0</v>
          </cell>
        </row>
        <row r="421">
          <cell r="A421" t="str">
            <v>H</v>
          </cell>
          <cell r="DR421">
            <v>0</v>
          </cell>
        </row>
        <row r="422">
          <cell r="A422" t="str">
            <v>H</v>
          </cell>
          <cell r="DR422">
            <v>2426121.3689968698</v>
          </cell>
        </row>
        <row r="423">
          <cell r="A423" t="str">
            <v>H</v>
          </cell>
          <cell r="DR423">
            <v>0</v>
          </cell>
        </row>
        <row r="424">
          <cell r="A424" t="str">
            <v>H</v>
          </cell>
          <cell r="DR424">
            <v>0</v>
          </cell>
        </row>
        <row r="425">
          <cell r="A425" t="str">
            <v>H</v>
          </cell>
          <cell r="DR425">
            <v>0</v>
          </cell>
        </row>
        <row r="426">
          <cell r="A426" t="str">
            <v>H</v>
          </cell>
          <cell r="DR426">
            <v>0</v>
          </cell>
        </row>
        <row r="427">
          <cell r="A427" t="str">
            <v>H</v>
          </cell>
          <cell r="DR427">
            <v>0</v>
          </cell>
        </row>
        <row r="428">
          <cell r="A428" t="str">
            <v>H</v>
          </cell>
          <cell r="DR428">
            <v>0</v>
          </cell>
        </row>
        <row r="429">
          <cell r="A429" t="str">
            <v>H</v>
          </cell>
          <cell r="DR429" t="str">
            <v/>
          </cell>
        </row>
        <row r="430">
          <cell r="A430" t="str">
            <v>H</v>
          </cell>
          <cell r="DR430">
            <v>0</v>
          </cell>
        </row>
        <row r="431">
          <cell r="A431" t="str">
            <v>H</v>
          </cell>
          <cell r="DR431">
            <v>639659.33735778625</v>
          </cell>
        </row>
        <row r="432">
          <cell r="A432" t="str">
            <v>H</v>
          </cell>
          <cell r="DR432">
            <v>0</v>
          </cell>
        </row>
        <row r="433">
          <cell r="A433" t="str">
            <v>H</v>
          </cell>
          <cell r="DR433">
            <v>0</v>
          </cell>
        </row>
        <row r="434">
          <cell r="A434" t="str">
            <v>H</v>
          </cell>
          <cell r="DR434">
            <v>0</v>
          </cell>
        </row>
        <row r="435">
          <cell r="A435" t="str">
            <v>H</v>
          </cell>
          <cell r="DR435">
            <v>634164.0233221472</v>
          </cell>
        </row>
        <row r="436">
          <cell r="A436" t="str">
            <v>H</v>
          </cell>
          <cell r="DR436">
            <v>0</v>
          </cell>
        </row>
        <row r="437">
          <cell r="A437" t="str">
            <v>H</v>
          </cell>
          <cell r="DR437">
            <v>0</v>
          </cell>
        </row>
        <row r="438">
          <cell r="A438" t="str">
            <v>H</v>
          </cell>
          <cell r="DR438" t="str">
            <v/>
          </cell>
        </row>
        <row r="439">
          <cell r="A439" t="str">
            <v>H</v>
          </cell>
          <cell r="DR439">
            <v>0</v>
          </cell>
        </row>
        <row r="440">
          <cell r="A440" t="str">
            <v>H</v>
          </cell>
          <cell r="DR440">
            <v>0</v>
          </cell>
        </row>
        <row r="441">
          <cell r="A441" t="str">
            <v>H</v>
          </cell>
          <cell r="DR441">
            <v>0</v>
          </cell>
        </row>
        <row r="442">
          <cell r="A442" t="str">
            <v>H</v>
          </cell>
          <cell r="DR442">
            <v>0</v>
          </cell>
        </row>
        <row r="443">
          <cell r="A443" t="str">
            <v>H</v>
          </cell>
          <cell r="DR443">
            <v>0</v>
          </cell>
        </row>
        <row r="444">
          <cell r="A444" t="str">
            <v>H</v>
          </cell>
          <cell r="DR444">
            <v>0</v>
          </cell>
        </row>
        <row r="445">
          <cell r="A445" t="str">
            <v>H</v>
          </cell>
          <cell r="DR445">
            <v>0</v>
          </cell>
        </row>
        <row r="446">
          <cell r="A446" t="str">
            <v>H</v>
          </cell>
          <cell r="DR446">
            <v>0</v>
          </cell>
        </row>
        <row r="447">
          <cell r="A447" t="str">
            <v>H</v>
          </cell>
          <cell r="DR447">
            <v>0</v>
          </cell>
        </row>
        <row r="448">
          <cell r="A448" t="str">
            <v>H</v>
          </cell>
          <cell r="DR448" t="str">
            <v/>
          </cell>
        </row>
        <row r="449">
          <cell r="A449" t="str">
            <v>H</v>
          </cell>
          <cell r="DR449">
            <v>0</v>
          </cell>
        </row>
        <row r="450">
          <cell r="A450" t="str">
            <v>H</v>
          </cell>
          <cell r="DR450">
            <v>0</v>
          </cell>
        </row>
        <row r="451">
          <cell r="A451" t="str">
            <v>H</v>
          </cell>
          <cell r="DR451">
            <v>0</v>
          </cell>
        </row>
        <row r="452">
          <cell r="A452" t="str">
            <v>H</v>
          </cell>
          <cell r="DR452">
            <v>0</v>
          </cell>
        </row>
        <row r="453">
          <cell r="A453" t="str">
            <v>H</v>
          </cell>
          <cell r="DR453">
            <v>0</v>
          </cell>
        </row>
        <row r="454">
          <cell r="A454" t="str">
            <v>H</v>
          </cell>
          <cell r="DR454">
            <v>0</v>
          </cell>
        </row>
        <row r="455">
          <cell r="A455" t="str">
            <v>H</v>
          </cell>
          <cell r="DR455">
            <v>0</v>
          </cell>
        </row>
        <row r="456">
          <cell r="A456" t="str">
            <v>H</v>
          </cell>
          <cell r="DR456">
            <v>0</v>
          </cell>
        </row>
        <row r="457">
          <cell r="A457" t="str">
            <v>H</v>
          </cell>
          <cell r="DR457">
            <v>0</v>
          </cell>
        </row>
        <row r="458">
          <cell r="A458" t="str">
            <v>H</v>
          </cell>
          <cell r="DR458">
            <v>0</v>
          </cell>
        </row>
        <row r="459">
          <cell r="A459" t="str">
            <v>H</v>
          </cell>
          <cell r="DR459">
            <v>0</v>
          </cell>
        </row>
        <row r="460">
          <cell r="A460" t="str">
            <v>H</v>
          </cell>
          <cell r="DR460">
            <v>0</v>
          </cell>
        </row>
        <row r="461">
          <cell r="A461" t="str">
            <v>H</v>
          </cell>
          <cell r="DR461">
            <v>0</v>
          </cell>
        </row>
        <row r="462">
          <cell r="A462" t="str">
            <v>H</v>
          </cell>
          <cell r="DR462">
            <v>0</v>
          </cell>
        </row>
        <row r="463">
          <cell r="A463" t="str">
            <v>H</v>
          </cell>
          <cell r="DR463" t="str">
            <v/>
          </cell>
        </row>
        <row r="464">
          <cell r="A464" t="str">
            <v>H</v>
          </cell>
          <cell r="DR464">
            <v>0</v>
          </cell>
        </row>
        <row r="465">
          <cell r="A465" t="str">
            <v>H</v>
          </cell>
          <cell r="DR465">
            <v>0</v>
          </cell>
        </row>
        <row r="466">
          <cell r="A466" t="str">
            <v>H</v>
          </cell>
          <cell r="DR466">
            <v>0</v>
          </cell>
        </row>
        <row r="467">
          <cell r="A467" t="str">
            <v>H</v>
          </cell>
          <cell r="DR467">
            <v>0</v>
          </cell>
        </row>
        <row r="468">
          <cell r="A468" t="str">
            <v>H</v>
          </cell>
          <cell r="DR468">
            <v>0</v>
          </cell>
        </row>
        <row r="469">
          <cell r="A469" t="str">
            <v>H</v>
          </cell>
          <cell r="DR469">
            <v>0</v>
          </cell>
        </row>
        <row r="470">
          <cell r="A470" t="str">
            <v>H</v>
          </cell>
          <cell r="DR470">
            <v>0</v>
          </cell>
        </row>
        <row r="471">
          <cell r="A471" t="str">
            <v>H</v>
          </cell>
          <cell r="DR471">
            <v>0</v>
          </cell>
        </row>
        <row r="472">
          <cell r="A472" t="str">
            <v>H</v>
          </cell>
          <cell r="DR472" t="str">
            <v/>
          </cell>
        </row>
        <row r="473">
          <cell r="A473" t="str">
            <v>H</v>
          </cell>
          <cell r="DR473">
            <v>0</v>
          </cell>
        </row>
        <row r="474">
          <cell r="A474" t="str">
            <v>H</v>
          </cell>
          <cell r="DR474">
            <v>0</v>
          </cell>
        </row>
        <row r="475">
          <cell r="A475" t="str">
            <v>H</v>
          </cell>
          <cell r="DR475">
            <v>0</v>
          </cell>
        </row>
        <row r="476">
          <cell r="A476" t="str">
            <v>H</v>
          </cell>
          <cell r="DR476">
            <v>0</v>
          </cell>
        </row>
        <row r="477">
          <cell r="A477" t="str">
            <v>H</v>
          </cell>
          <cell r="DR477">
            <v>0</v>
          </cell>
        </row>
        <row r="478">
          <cell r="A478" t="str">
            <v>H</v>
          </cell>
          <cell r="DR478" t="str">
            <v/>
          </cell>
        </row>
        <row r="479">
          <cell r="DR479" t="str">
            <v/>
          </cell>
        </row>
        <row r="480">
          <cell r="A480" t="str">
            <v>I</v>
          </cell>
          <cell r="DR480" t="str">
            <v/>
          </cell>
        </row>
        <row r="481">
          <cell r="A481" t="str">
            <v>I</v>
          </cell>
          <cell r="DR481" t="str">
            <v/>
          </cell>
        </row>
        <row r="482">
          <cell r="A482" t="str">
            <v>I</v>
          </cell>
          <cell r="DR482" t="str">
            <v/>
          </cell>
        </row>
        <row r="483">
          <cell r="A483" t="str">
            <v>I</v>
          </cell>
          <cell r="DR483" t="str">
            <v/>
          </cell>
        </row>
        <row r="484">
          <cell r="A484" t="str">
            <v>I</v>
          </cell>
          <cell r="DR484">
            <v>0</v>
          </cell>
        </row>
        <row r="485">
          <cell r="A485" t="str">
            <v>I</v>
          </cell>
          <cell r="DR485">
            <v>0</v>
          </cell>
        </row>
        <row r="486">
          <cell r="A486" t="str">
            <v>I</v>
          </cell>
          <cell r="DR486">
            <v>3820503.9380150954</v>
          </cell>
        </row>
        <row r="487">
          <cell r="A487" t="str">
            <v>I</v>
          </cell>
          <cell r="DR487">
            <v>0</v>
          </cell>
        </row>
        <row r="488">
          <cell r="A488" t="str">
            <v>I</v>
          </cell>
          <cell r="DR488">
            <v>11672118.124268349</v>
          </cell>
        </row>
        <row r="489">
          <cell r="A489" t="str">
            <v>I</v>
          </cell>
          <cell r="DR489">
            <v>0</v>
          </cell>
        </row>
        <row r="490">
          <cell r="A490" t="str">
            <v>I</v>
          </cell>
          <cell r="DR490">
            <v>0</v>
          </cell>
        </row>
        <row r="491">
          <cell r="A491" t="str">
            <v>I</v>
          </cell>
          <cell r="DR491">
            <v>0</v>
          </cell>
        </row>
        <row r="492">
          <cell r="A492" t="str">
            <v>I</v>
          </cell>
          <cell r="DR492" t="str">
            <v/>
          </cell>
        </row>
        <row r="493">
          <cell r="A493" t="str">
            <v>I</v>
          </cell>
          <cell r="DR493" t="str">
            <v/>
          </cell>
        </row>
        <row r="494">
          <cell r="A494" t="str">
            <v>I</v>
          </cell>
          <cell r="DR494" t="str">
            <v/>
          </cell>
        </row>
        <row r="495">
          <cell r="A495" t="str">
            <v>I</v>
          </cell>
          <cell r="DR495" t="str">
            <v/>
          </cell>
        </row>
        <row r="496">
          <cell r="A496" t="str">
            <v>I</v>
          </cell>
          <cell r="DR496">
            <v>0</v>
          </cell>
        </row>
        <row r="497">
          <cell r="A497" t="str">
            <v>I</v>
          </cell>
          <cell r="DR497">
            <v>0</v>
          </cell>
        </row>
        <row r="498">
          <cell r="A498" t="str">
            <v>I</v>
          </cell>
          <cell r="DR498">
            <v>0</v>
          </cell>
        </row>
        <row r="499">
          <cell r="A499" t="str">
            <v>I</v>
          </cell>
          <cell r="DR499">
            <v>0</v>
          </cell>
        </row>
        <row r="500">
          <cell r="A500" t="str">
            <v>I</v>
          </cell>
          <cell r="DR500">
            <v>0</v>
          </cell>
        </row>
        <row r="501">
          <cell r="A501" t="str">
            <v>I</v>
          </cell>
          <cell r="DR501">
            <v>0</v>
          </cell>
        </row>
        <row r="502">
          <cell r="A502" t="str">
            <v>I</v>
          </cell>
          <cell r="DR502" t="str">
            <v/>
          </cell>
        </row>
        <row r="503">
          <cell r="A503" t="str">
            <v>I</v>
          </cell>
          <cell r="DR503" t="str">
            <v/>
          </cell>
        </row>
        <row r="504">
          <cell r="DR504" t="str">
            <v/>
          </cell>
        </row>
      </sheetData>
      <sheetData sheetId="7"/>
      <sheetData sheetId="8">
        <row r="14">
          <cell r="A14" t="str">
            <v>A</v>
          </cell>
        </row>
        <row r="15">
          <cell r="A15" t="str">
            <v>A</v>
          </cell>
          <cell r="DR15">
            <v>7073837.4864515197</v>
          </cell>
        </row>
        <row r="16">
          <cell r="A16" t="str">
            <v>A</v>
          </cell>
          <cell r="DR16">
            <v>392944588.67104131</v>
          </cell>
        </row>
        <row r="17">
          <cell r="A17" t="str">
            <v>A</v>
          </cell>
          <cell r="DR17">
            <v>0</v>
          </cell>
        </row>
        <row r="18">
          <cell r="A18" t="str">
            <v>A</v>
          </cell>
          <cell r="DR18">
            <v>0</v>
          </cell>
        </row>
        <row r="19">
          <cell r="A19" t="str">
            <v>A</v>
          </cell>
          <cell r="DR19" t="str">
            <v/>
          </cell>
        </row>
        <row r="20">
          <cell r="A20" t="str">
            <v>A</v>
          </cell>
          <cell r="DR20">
            <v>7147124.9434511662</v>
          </cell>
        </row>
        <row r="21">
          <cell r="A21" t="str">
            <v>A</v>
          </cell>
          <cell r="DR21">
            <v>33566416.158041984</v>
          </cell>
        </row>
        <row r="22">
          <cell r="A22" t="str">
            <v>A</v>
          </cell>
          <cell r="DR22">
            <v>1611895.8273461936</v>
          </cell>
        </row>
        <row r="23">
          <cell r="DR23" t="str">
            <v/>
          </cell>
        </row>
        <row r="24">
          <cell r="A24" t="str">
            <v>B</v>
          </cell>
          <cell r="DR24" t="str">
            <v/>
          </cell>
        </row>
        <row r="25">
          <cell r="A25" t="str">
            <v>B</v>
          </cell>
          <cell r="DR25" t="str">
            <v/>
          </cell>
        </row>
        <row r="26">
          <cell r="A26" t="str">
            <v>B</v>
          </cell>
          <cell r="DR26">
            <v>171145658.89584208</v>
          </cell>
        </row>
        <row r="27">
          <cell r="A27" t="str">
            <v>B</v>
          </cell>
          <cell r="DR27" t="str">
            <v/>
          </cell>
        </row>
        <row r="28">
          <cell r="A28" t="str">
            <v>B</v>
          </cell>
          <cell r="DR28">
            <v>0</v>
          </cell>
        </row>
        <row r="29">
          <cell r="A29" t="str">
            <v>B</v>
          </cell>
          <cell r="DR29">
            <v>49096094.823816702</v>
          </cell>
        </row>
        <row r="30">
          <cell r="A30" t="str">
            <v>B</v>
          </cell>
          <cell r="DR30">
            <v>0</v>
          </cell>
        </row>
        <row r="31">
          <cell r="A31" t="str">
            <v>B</v>
          </cell>
          <cell r="DR31">
            <v>83444182.243504569</v>
          </cell>
        </row>
        <row r="32">
          <cell r="A32" t="str">
            <v>B</v>
          </cell>
          <cell r="DR32">
            <v>0</v>
          </cell>
        </row>
        <row r="33">
          <cell r="A33" t="str">
            <v>B</v>
          </cell>
          <cell r="DR33">
            <v>44797209.684213921</v>
          </cell>
        </row>
        <row r="34">
          <cell r="A34" t="str">
            <v>B</v>
          </cell>
          <cell r="DR34">
            <v>230080647.76457581</v>
          </cell>
        </row>
        <row r="35">
          <cell r="A35" t="str">
            <v>B</v>
          </cell>
          <cell r="DR35">
            <v>0</v>
          </cell>
        </row>
        <row r="36">
          <cell r="A36" t="str">
            <v>B</v>
          </cell>
          <cell r="DR36">
            <v>0</v>
          </cell>
        </row>
        <row r="37">
          <cell r="A37" t="str">
            <v>B</v>
          </cell>
          <cell r="DR37">
            <v>16656867.850673551</v>
          </cell>
        </row>
        <row r="38">
          <cell r="A38" t="str">
            <v>B</v>
          </cell>
          <cell r="DR38">
            <v>0</v>
          </cell>
        </row>
        <row r="39">
          <cell r="A39" t="str">
            <v>B</v>
          </cell>
          <cell r="DR39">
            <v>0</v>
          </cell>
        </row>
        <row r="40">
          <cell r="A40" t="str">
            <v>B</v>
          </cell>
          <cell r="DR40">
            <v>0</v>
          </cell>
        </row>
        <row r="41">
          <cell r="A41" t="str">
            <v>B</v>
          </cell>
          <cell r="DR41">
            <v>0</v>
          </cell>
        </row>
        <row r="42">
          <cell r="A42" t="str">
            <v>B</v>
          </cell>
          <cell r="DR42" t="str">
            <v/>
          </cell>
        </row>
        <row r="43">
          <cell r="A43" t="str">
            <v>B</v>
          </cell>
          <cell r="DR43">
            <v>58082970.644215256</v>
          </cell>
        </row>
        <row r="44">
          <cell r="A44" t="str">
            <v>B</v>
          </cell>
          <cell r="DR44">
            <v>0</v>
          </cell>
        </row>
        <row r="45">
          <cell r="A45" t="str">
            <v>B</v>
          </cell>
          <cell r="DR45">
            <v>31322277.738503456</v>
          </cell>
        </row>
        <row r="46">
          <cell r="A46" t="str">
            <v>B</v>
          </cell>
          <cell r="DR46" t="str">
            <v/>
          </cell>
        </row>
        <row r="47">
          <cell r="A47" t="str">
            <v>B</v>
          </cell>
          <cell r="DR47">
            <v>0</v>
          </cell>
        </row>
        <row r="48">
          <cell r="A48" t="str">
            <v>B</v>
          </cell>
          <cell r="DR48">
            <v>0</v>
          </cell>
        </row>
        <row r="49">
          <cell r="A49" t="str">
            <v>B</v>
          </cell>
          <cell r="DR49">
            <v>0</v>
          </cell>
        </row>
        <row r="50">
          <cell r="A50" t="str">
            <v>B</v>
          </cell>
          <cell r="DR50" t="str">
            <v/>
          </cell>
        </row>
        <row r="51">
          <cell r="A51" t="str">
            <v>B</v>
          </cell>
          <cell r="DR51" t="str">
            <v/>
          </cell>
        </row>
        <row r="52">
          <cell r="A52" t="str">
            <v>B</v>
          </cell>
          <cell r="DR52" t="str">
            <v/>
          </cell>
        </row>
        <row r="53">
          <cell r="A53" t="str">
            <v>B</v>
          </cell>
          <cell r="DR53">
            <v>4319655.5944314068</v>
          </cell>
        </row>
        <row r="54">
          <cell r="DR54" t="str">
            <v/>
          </cell>
        </row>
        <row r="55">
          <cell r="A55" t="str">
            <v>C</v>
          </cell>
          <cell r="DR55" t="str">
            <v/>
          </cell>
        </row>
        <row r="56">
          <cell r="A56" t="str">
            <v>C</v>
          </cell>
          <cell r="DR56" t="str">
            <v/>
          </cell>
        </row>
        <row r="57">
          <cell r="A57" t="str">
            <v>C</v>
          </cell>
          <cell r="DR57">
            <v>0</v>
          </cell>
        </row>
        <row r="58">
          <cell r="A58" t="str">
            <v>C</v>
          </cell>
          <cell r="DR58" t="str">
            <v/>
          </cell>
        </row>
        <row r="59">
          <cell r="A59" t="str">
            <v>C</v>
          </cell>
          <cell r="DR59">
            <v>0</v>
          </cell>
        </row>
        <row r="60">
          <cell r="A60" t="str">
            <v>C</v>
          </cell>
          <cell r="DR60" t="str">
            <v/>
          </cell>
        </row>
        <row r="61">
          <cell r="A61" t="str">
            <v>C</v>
          </cell>
          <cell r="DR61">
            <v>0</v>
          </cell>
        </row>
        <row r="62">
          <cell r="A62" t="str">
            <v>C</v>
          </cell>
          <cell r="DR62">
            <v>0</v>
          </cell>
        </row>
        <row r="63">
          <cell r="A63" t="str">
            <v>C</v>
          </cell>
          <cell r="DR63">
            <v>0</v>
          </cell>
        </row>
        <row r="64">
          <cell r="A64" t="str">
            <v>C</v>
          </cell>
          <cell r="DR64">
            <v>0</v>
          </cell>
        </row>
        <row r="65">
          <cell r="A65" t="str">
            <v>C</v>
          </cell>
          <cell r="DR65">
            <v>0</v>
          </cell>
        </row>
        <row r="66">
          <cell r="A66" t="str">
            <v>C</v>
          </cell>
          <cell r="DR66">
            <v>0</v>
          </cell>
        </row>
        <row r="67">
          <cell r="A67" t="str">
            <v>C</v>
          </cell>
          <cell r="DR67">
            <v>0</v>
          </cell>
        </row>
        <row r="68">
          <cell r="A68" t="str">
            <v>C</v>
          </cell>
          <cell r="DR68">
            <v>0</v>
          </cell>
        </row>
        <row r="69">
          <cell r="A69" t="str">
            <v>C</v>
          </cell>
          <cell r="DR69">
            <v>0</v>
          </cell>
        </row>
        <row r="70">
          <cell r="A70" t="str">
            <v>C</v>
          </cell>
          <cell r="DR70">
            <v>0</v>
          </cell>
        </row>
        <row r="71">
          <cell r="A71" t="str">
            <v>C</v>
          </cell>
          <cell r="DR71">
            <v>0</v>
          </cell>
        </row>
        <row r="72">
          <cell r="A72" t="str">
            <v>C</v>
          </cell>
          <cell r="DR72">
            <v>0</v>
          </cell>
        </row>
        <row r="73">
          <cell r="A73" t="str">
            <v>C</v>
          </cell>
          <cell r="DR73">
            <v>0</v>
          </cell>
        </row>
        <row r="74">
          <cell r="A74" t="str">
            <v>C</v>
          </cell>
          <cell r="DR74" t="str">
            <v/>
          </cell>
        </row>
        <row r="75">
          <cell r="A75" t="str">
            <v>C</v>
          </cell>
          <cell r="DR75">
            <v>0</v>
          </cell>
        </row>
        <row r="76">
          <cell r="A76" t="str">
            <v>C</v>
          </cell>
          <cell r="DR76">
            <v>0</v>
          </cell>
        </row>
        <row r="77">
          <cell r="A77" t="str">
            <v>C</v>
          </cell>
          <cell r="DR77">
            <v>0</v>
          </cell>
        </row>
        <row r="78">
          <cell r="A78" t="str">
            <v>C</v>
          </cell>
          <cell r="DR78" t="str">
            <v/>
          </cell>
        </row>
        <row r="79">
          <cell r="A79" t="str">
            <v>C</v>
          </cell>
          <cell r="DR79">
            <v>0</v>
          </cell>
        </row>
        <row r="80">
          <cell r="A80" t="str">
            <v>C</v>
          </cell>
          <cell r="DR80">
            <v>0</v>
          </cell>
        </row>
        <row r="81">
          <cell r="A81" t="str">
            <v>C</v>
          </cell>
          <cell r="DR81">
            <v>0</v>
          </cell>
        </row>
        <row r="82">
          <cell r="A82" t="str">
            <v>C</v>
          </cell>
          <cell r="DR82">
            <v>0</v>
          </cell>
        </row>
        <row r="83">
          <cell r="A83" t="str">
            <v>C</v>
          </cell>
          <cell r="DR83">
            <v>0</v>
          </cell>
        </row>
        <row r="84">
          <cell r="A84" t="str">
            <v>C</v>
          </cell>
          <cell r="DR84">
            <v>0</v>
          </cell>
        </row>
        <row r="85">
          <cell r="A85" t="str">
            <v>C</v>
          </cell>
          <cell r="DR85" t="str">
            <v/>
          </cell>
        </row>
        <row r="86">
          <cell r="A86" t="str">
            <v>C</v>
          </cell>
          <cell r="DR86" t="str">
            <v/>
          </cell>
        </row>
        <row r="87">
          <cell r="DR87" t="str">
            <v/>
          </cell>
        </row>
        <row r="88">
          <cell r="A88" t="str">
            <v>D</v>
          </cell>
          <cell r="DR88" t="str">
            <v/>
          </cell>
        </row>
        <row r="89">
          <cell r="A89" t="str">
            <v>D</v>
          </cell>
          <cell r="DR89" t="str">
            <v/>
          </cell>
        </row>
        <row r="90">
          <cell r="A90" t="str">
            <v>D</v>
          </cell>
          <cell r="DR90">
            <v>0</v>
          </cell>
        </row>
        <row r="91">
          <cell r="A91" t="str">
            <v>D</v>
          </cell>
          <cell r="DR91">
            <v>0</v>
          </cell>
        </row>
        <row r="92">
          <cell r="A92" t="str">
            <v>D</v>
          </cell>
          <cell r="DR92" t="str">
            <v/>
          </cell>
        </row>
        <row r="93">
          <cell r="A93" t="str">
            <v>D</v>
          </cell>
          <cell r="DR93">
            <v>0</v>
          </cell>
        </row>
        <row r="94">
          <cell r="A94" t="str">
            <v>D</v>
          </cell>
          <cell r="DR94">
            <v>0</v>
          </cell>
        </row>
        <row r="95">
          <cell r="A95" t="str">
            <v>D</v>
          </cell>
          <cell r="DR95">
            <v>0</v>
          </cell>
        </row>
        <row r="96">
          <cell r="A96" t="str">
            <v>D</v>
          </cell>
          <cell r="DR96">
            <v>0</v>
          </cell>
        </row>
        <row r="97">
          <cell r="A97" t="str">
            <v>D</v>
          </cell>
          <cell r="DR97">
            <v>0</v>
          </cell>
        </row>
        <row r="98">
          <cell r="A98" t="str">
            <v>D</v>
          </cell>
          <cell r="DR98">
            <v>0</v>
          </cell>
        </row>
        <row r="99">
          <cell r="A99" t="str">
            <v>D</v>
          </cell>
          <cell r="DR99">
            <v>0</v>
          </cell>
        </row>
        <row r="100">
          <cell r="A100" t="str">
            <v>D</v>
          </cell>
          <cell r="DR100">
            <v>0</v>
          </cell>
        </row>
        <row r="101">
          <cell r="A101" t="str">
            <v>D</v>
          </cell>
          <cell r="DR101">
            <v>0</v>
          </cell>
        </row>
        <row r="102">
          <cell r="A102" t="str">
            <v>D</v>
          </cell>
          <cell r="DR102">
            <v>0</v>
          </cell>
        </row>
        <row r="103">
          <cell r="A103" t="str">
            <v>D</v>
          </cell>
          <cell r="DR103" t="str">
            <v/>
          </cell>
        </row>
        <row r="104">
          <cell r="A104" t="str">
            <v>D</v>
          </cell>
          <cell r="DR104" t="str">
            <v/>
          </cell>
        </row>
        <row r="105">
          <cell r="A105" t="str">
            <v>D</v>
          </cell>
          <cell r="DR105">
            <v>0</v>
          </cell>
        </row>
        <row r="106">
          <cell r="A106" t="str">
            <v>D</v>
          </cell>
          <cell r="DR106">
            <v>0</v>
          </cell>
        </row>
        <row r="107">
          <cell r="A107" t="str">
            <v>D</v>
          </cell>
          <cell r="DR107">
            <v>0</v>
          </cell>
        </row>
        <row r="108">
          <cell r="A108" t="str">
            <v>D</v>
          </cell>
          <cell r="DR108">
            <v>0</v>
          </cell>
        </row>
        <row r="109">
          <cell r="A109" t="str">
            <v>D</v>
          </cell>
          <cell r="DR109">
            <v>0</v>
          </cell>
        </row>
        <row r="110">
          <cell r="A110" t="str">
            <v>D</v>
          </cell>
          <cell r="DR110">
            <v>0</v>
          </cell>
        </row>
        <row r="111">
          <cell r="A111" t="str">
            <v>D</v>
          </cell>
          <cell r="DR111">
            <v>0</v>
          </cell>
        </row>
        <row r="112">
          <cell r="A112" t="str">
            <v>D</v>
          </cell>
          <cell r="DR112">
            <v>0</v>
          </cell>
        </row>
        <row r="113">
          <cell r="A113" t="str">
            <v>D</v>
          </cell>
          <cell r="DR113">
            <v>0</v>
          </cell>
        </row>
        <row r="114">
          <cell r="A114" t="str">
            <v>D</v>
          </cell>
          <cell r="DR114">
            <v>0</v>
          </cell>
        </row>
        <row r="115">
          <cell r="A115" t="str">
            <v>D</v>
          </cell>
          <cell r="DR115">
            <v>0</v>
          </cell>
        </row>
        <row r="116">
          <cell r="A116" t="str">
            <v>D</v>
          </cell>
          <cell r="DR116">
            <v>0</v>
          </cell>
        </row>
        <row r="117">
          <cell r="A117" t="str">
            <v>D</v>
          </cell>
          <cell r="DR117">
            <v>0</v>
          </cell>
        </row>
        <row r="118">
          <cell r="A118" t="str">
            <v>D</v>
          </cell>
          <cell r="DR118">
            <v>0</v>
          </cell>
        </row>
        <row r="119">
          <cell r="A119" t="str">
            <v>D</v>
          </cell>
          <cell r="DR119">
            <v>0</v>
          </cell>
        </row>
        <row r="120">
          <cell r="A120" t="str">
            <v>D</v>
          </cell>
          <cell r="DR120">
            <v>0</v>
          </cell>
        </row>
        <row r="121">
          <cell r="A121" t="str">
            <v>D</v>
          </cell>
          <cell r="DR121" t="str">
            <v/>
          </cell>
        </row>
        <row r="122">
          <cell r="A122" t="str">
            <v>D</v>
          </cell>
          <cell r="DR122">
            <v>0</v>
          </cell>
        </row>
        <row r="123">
          <cell r="A123" t="str">
            <v>D</v>
          </cell>
          <cell r="DR123">
            <v>0</v>
          </cell>
        </row>
        <row r="124">
          <cell r="A124" t="str">
            <v>D</v>
          </cell>
          <cell r="DR124">
            <v>0</v>
          </cell>
        </row>
        <row r="125">
          <cell r="A125" t="str">
            <v>D</v>
          </cell>
          <cell r="DR125">
            <v>0</v>
          </cell>
        </row>
        <row r="126">
          <cell r="A126" t="str">
            <v>D</v>
          </cell>
          <cell r="DR126">
            <v>0</v>
          </cell>
        </row>
        <row r="127">
          <cell r="A127" t="str">
            <v>D</v>
          </cell>
          <cell r="DR127">
            <v>0</v>
          </cell>
        </row>
        <row r="128">
          <cell r="A128" t="str">
            <v>D</v>
          </cell>
          <cell r="DR128" t="str">
            <v/>
          </cell>
        </row>
        <row r="129">
          <cell r="A129" t="str">
            <v>E</v>
          </cell>
          <cell r="DR129" t="str">
            <v/>
          </cell>
        </row>
        <row r="130">
          <cell r="A130" t="str">
            <v>E</v>
          </cell>
          <cell r="DR130" t="str">
            <v/>
          </cell>
        </row>
        <row r="131">
          <cell r="A131" t="str">
            <v>E</v>
          </cell>
          <cell r="DR131">
            <v>0</v>
          </cell>
        </row>
        <row r="132">
          <cell r="A132" t="str">
            <v>E</v>
          </cell>
          <cell r="DR132">
            <v>0</v>
          </cell>
        </row>
        <row r="133">
          <cell r="A133" t="str">
            <v>E</v>
          </cell>
          <cell r="DR133" t="str">
            <v/>
          </cell>
        </row>
        <row r="134">
          <cell r="A134" t="str">
            <v>E</v>
          </cell>
          <cell r="DR134">
            <v>0</v>
          </cell>
        </row>
        <row r="135">
          <cell r="A135" t="str">
            <v>E</v>
          </cell>
          <cell r="DR135">
            <v>0</v>
          </cell>
        </row>
        <row r="136">
          <cell r="A136" t="str">
            <v>E</v>
          </cell>
          <cell r="DR136">
            <v>0</v>
          </cell>
        </row>
        <row r="137">
          <cell r="A137" t="str">
            <v>E</v>
          </cell>
          <cell r="DR137">
            <v>0</v>
          </cell>
        </row>
        <row r="138">
          <cell r="A138" t="str">
            <v>E</v>
          </cell>
          <cell r="DR138">
            <v>0</v>
          </cell>
        </row>
        <row r="139">
          <cell r="A139" t="str">
            <v>E</v>
          </cell>
          <cell r="DR139">
            <v>0</v>
          </cell>
        </row>
        <row r="140">
          <cell r="A140" t="str">
            <v>E</v>
          </cell>
          <cell r="DR140">
            <v>0</v>
          </cell>
        </row>
        <row r="141">
          <cell r="A141" t="str">
            <v>E</v>
          </cell>
          <cell r="DR141">
            <v>0</v>
          </cell>
        </row>
        <row r="142">
          <cell r="A142" t="str">
            <v>E</v>
          </cell>
          <cell r="DR142">
            <v>0</v>
          </cell>
        </row>
        <row r="143">
          <cell r="A143" t="str">
            <v>E</v>
          </cell>
          <cell r="DR143">
            <v>0</v>
          </cell>
        </row>
        <row r="144">
          <cell r="A144" t="str">
            <v>E</v>
          </cell>
          <cell r="DR144">
            <v>0</v>
          </cell>
        </row>
        <row r="145">
          <cell r="A145" t="str">
            <v>E</v>
          </cell>
          <cell r="DR145">
            <v>0</v>
          </cell>
        </row>
        <row r="146">
          <cell r="A146" t="str">
            <v>E</v>
          </cell>
          <cell r="DR146">
            <v>0</v>
          </cell>
        </row>
        <row r="147">
          <cell r="A147" t="str">
            <v>E</v>
          </cell>
          <cell r="DR147">
            <v>0</v>
          </cell>
        </row>
        <row r="148">
          <cell r="A148" t="str">
            <v>E</v>
          </cell>
          <cell r="DR148">
            <v>0</v>
          </cell>
        </row>
        <row r="149">
          <cell r="A149" t="str">
            <v>E</v>
          </cell>
          <cell r="DR149">
            <v>0</v>
          </cell>
        </row>
        <row r="150">
          <cell r="A150" t="str">
            <v>E</v>
          </cell>
          <cell r="DR150">
            <v>0</v>
          </cell>
        </row>
        <row r="151">
          <cell r="A151" t="str">
            <v>E</v>
          </cell>
          <cell r="DR151">
            <v>0</v>
          </cell>
        </row>
        <row r="152">
          <cell r="A152" t="str">
            <v>E</v>
          </cell>
          <cell r="DR152" t="str">
            <v/>
          </cell>
        </row>
        <row r="153">
          <cell r="A153" t="str">
            <v>E</v>
          </cell>
          <cell r="DR153">
            <v>0</v>
          </cell>
        </row>
        <row r="154">
          <cell r="A154" t="str">
            <v>E</v>
          </cell>
          <cell r="DR154">
            <v>0</v>
          </cell>
        </row>
        <row r="155">
          <cell r="A155" t="str">
            <v>E</v>
          </cell>
          <cell r="DR155">
            <v>0</v>
          </cell>
        </row>
        <row r="156">
          <cell r="A156" t="str">
            <v>E</v>
          </cell>
          <cell r="DR156">
            <v>0</v>
          </cell>
        </row>
        <row r="157">
          <cell r="A157" t="str">
            <v>E</v>
          </cell>
          <cell r="DR157">
            <v>0</v>
          </cell>
        </row>
        <row r="158">
          <cell r="A158" t="str">
            <v>E</v>
          </cell>
          <cell r="DR158">
            <v>0</v>
          </cell>
        </row>
        <row r="159">
          <cell r="A159" t="str">
            <v>E</v>
          </cell>
          <cell r="DR159">
            <v>0</v>
          </cell>
        </row>
        <row r="160">
          <cell r="A160" t="str">
            <v>E</v>
          </cell>
          <cell r="DR160">
            <v>0</v>
          </cell>
        </row>
        <row r="161">
          <cell r="A161" t="str">
            <v>E</v>
          </cell>
          <cell r="DR161">
            <v>0</v>
          </cell>
        </row>
        <row r="162">
          <cell r="A162" t="str">
            <v>E</v>
          </cell>
          <cell r="DR162">
            <v>0</v>
          </cell>
        </row>
        <row r="163">
          <cell r="A163" t="str">
            <v>E</v>
          </cell>
          <cell r="DR163">
            <v>0</v>
          </cell>
        </row>
        <row r="164">
          <cell r="A164" t="str">
            <v>E</v>
          </cell>
          <cell r="DR164">
            <v>0</v>
          </cell>
        </row>
        <row r="165">
          <cell r="A165" t="str">
            <v>E</v>
          </cell>
          <cell r="DR165">
            <v>0</v>
          </cell>
        </row>
        <row r="166">
          <cell r="A166" t="str">
            <v>E</v>
          </cell>
          <cell r="DR166">
            <v>0</v>
          </cell>
        </row>
        <row r="167">
          <cell r="A167" t="str">
            <v>E</v>
          </cell>
          <cell r="DR167">
            <v>0</v>
          </cell>
        </row>
        <row r="168">
          <cell r="A168" t="str">
            <v>E</v>
          </cell>
          <cell r="DR168">
            <v>0</v>
          </cell>
        </row>
        <row r="169">
          <cell r="A169" t="str">
            <v>E</v>
          </cell>
          <cell r="DR169">
            <v>0</v>
          </cell>
        </row>
        <row r="170">
          <cell r="A170" t="str">
            <v>E</v>
          </cell>
          <cell r="DR170">
            <v>0</v>
          </cell>
        </row>
        <row r="171">
          <cell r="A171" t="str">
            <v>E</v>
          </cell>
          <cell r="DR171">
            <v>0</v>
          </cell>
        </row>
        <row r="172">
          <cell r="A172" t="str">
            <v>E</v>
          </cell>
          <cell r="DR172">
            <v>0</v>
          </cell>
        </row>
        <row r="173">
          <cell r="A173" t="str">
            <v>E</v>
          </cell>
          <cell r="DR173" t="str">
            <v/>
          </cell>
        </row>
        <row r="174">
          <cell r="A174" t="str">
            <v>E</v>
          </cell>
          <cell r="DR174" t="str">
            <v/>
          </cell>
        </row>
        <row r="175">
          <cell r="A175" t="str">
            <v>E</v>
          </cell>
          <cell r="DR175" t="str">
            <v/>
          </cell>
        </row>
        <row r="176">
          <cell r="A176" t="str">
            <v>E</v>
          </cell>
          <cell r="DR176" t="str">
            <v/>
          </cell>
        </row>
        <row r="177">
          <cell r="A177" t="str">
            <v>E</v>
          </cell>
          <cell r="DR177">
            <v>0</v>
          </cell>
        </row>
        <row r="178">
          <cell r="A178" t="str">
            <v>E</v>
          </cell>
          <cell r="DR178">
            <v>0</v>
          </cell>
        </row>
        <row r="179">
          <cell r="A179" t="str">
            <v>E</v>
          </cell>
          <cell r="DR179">
            <v>0</v>
          </cell>
        </row>
        <row r="180">
          <cell r="A180" t="str">
            <v>E</v>
          </cell>
          <cell r="DR180">
            <v>0</v>
          </cell>
        </row>
        <row r="181">
          <cell r="A181" t="str">
            <v>E</v>
          </cell>
          <cell r="DR181">
            <v>0</v>
          </cell>
        </row>
        <row r="182">
          <cell r="A182" t="str">
            <v>E</v>
          </cell>
          <cell r="DR182">
            <v>0</v>
          </cell>
        </row>
        <row r="183">
          <cell r="A183" t="str">
            <v>E</v>
          </cell>
          <cell r="DR183">
            <v>0</v>
          </cell>
        </row>
        <row r="184">
          <cell r="A184" t="str">
            <v>E</v>
          </cell>
          <cell r="DR184">
            <v>0</v>
          </cell>
        </row>
        <row r="185">
          <cell r="A185" t="str">
            <v>E</v>
          </cell>
          <cell r="DR185" t="str">
            <v/>
          </cell>
        </row>
        <row r="186">
          <cell r="A186" t="str">
            <v>E</v>
          </cell>
          <cell r="DR186" t="str">
            <v/>
          </cell>
        </row>
        <row r="187">
          <cell r="DR187" t="str">
            <v/>
          </cell>
        </row>
        <row r="188">
          <cell r="A188" t="str">
            <v>F</v>
          </cell>
          <cell r="DR188" t="str">
            <v/>
          </cell>
        </row>
        <row r="189">
          <cell r="A189" t="str">
            <v>F</v>
          </cell>
          <cell r="DR189" t="str">
            <v/>
          </cell>
        </row>
        <row r="190">
          <cell r="A190" t="str">
            <v>F</v>
          </cell>
          <cell r="DR190">
            <v>1644068.3512807554</v>
          </cell>
        </row>
        <row r="191">
          <cell r="A191" t="str">
            <v>F</v>
          </cell>
          <cell r="DR191">
            <v>0</v>
          </cell>
        </row>
        <row r="192">
          <cell r="A192" t="str">
            <v>F</v>
          </cell>
          <cell r="DR192">
            <v>0</v>
          </cell>
        </row>
        <row r="193">
          <cell r="A193" t="str">
            <v>F</v>
          </cell>
          <cell r="DR193" t="str">
            <v/>
          </cell>
        </row>
        <row r="194">
          <cell r="A194" t="str">
            <v>F</v>
          </cell>
          <cell r="DR194" t="str">
            <v/>
          </cell>
        </row>
        <row r="195">
          <cell r="A195" t="str">
            <v>F</v>
          </cell>
          <cell r="DR195">
            <v>0</v>
          </cell>
        </row>
        <row r="196">
          <cell r="A196" t="str">
            <v>F</v>
          </cell>
          <cell r="DR196">
            <v>0</v>
          </cell>
        </row>
        <row r="197">
          <cell r="A197" t="str">
            <v>F</v>
          </cell>
          <cell r="DR197" t="str">
            <v/>
          </cell>
        </row>
        <row r="198">
          <cell r="A198" t="str">
            <v>F</v>
          </cell>
          <cell r="DR198">
            <v>0</v>
          </cell>
        </row>
        <row r="199">
          <cell r="A199" t="str">
            <v>F</v>
          </cell>
          <cell r="DR199">
            <v>0</v>
          </cell>
        </row>
        <row r="200">
          <cell r="A200" t="str">
            <v>F</v>
          </cell>
          <cell r="DR200">
            <v>0</v>
          </cell>
        </row>
        <row r="201">
          <cell r="A201" t="str">
            <v>F</v>
          </cell>
          <cell r="DR201">
            <v>0</v>
          </cell>
        </row>
        <row r="202">
          <cell r="A202" t="str">
            <v>F</v>
          </cell>
          <cell r="DR202">
            <v>0</v>
          </cell>
        </row>
        <row r="203">
          <cell r="A203" t="str">
            <v>F</v>
          </cell>
          <cell r="DR203">
            <v>0</v>
          </cell>
        </row>
        <row r="204">
          <cell r="A204" t="str">
            <v>F</v>
          </cell>
          <cell r="DR204">
            <v>0</v>
          </cell>
        </row>
        <row r="205">
          <cell r="A205" t="str">
            <v>F</v>
          </cell>
          <cell r="DR205">
            <v>0</v>
          </cell>
        </row>
        <row r="206">
          <cell r="A206" t="str">
            <v>F</v>
          </cell>
          <cell r="DR206">
            <v>0</v>
          </cell>
        </row>
        <row r="207">
          <cell r="A207" t="str">
            <v>F</v>
          </cell>
          <cell r="DR207" t="str">
            <v/>
          </cell>
        </row>
        <row r="208">
          <cell r="A208" t="str">
            <v>F</v>
          </cell>
          <cell r="DR208">
            <v>0</v>
          </cell>
        </row>
        <row r="209">
          <cell r="A209" t="str">
            <v>F</v>
          </cell>
          <cell r="DR209">
            <v>0</v>
          </cell>
        </row>
        <row r="210">
          <cell r="A210" t="str">
            <v>F</v>
          </cell>
          <cell r="DR210">
            <v>0</v>
          </cell>
        </row>
        <row r="211">
          <cell r="A211" t="str">
            <v>F</v>
          </cell>
          <cell r="DR211">
            <v>0</v>
          </cell>
        </row>
        <row r="212">
          <cell r="A212" t="str">
            <v>F</v>
          </cell>
          <cell r="DR212">
            <v>0</v>
          </cell>
        </row>
        <row r="213">
          <cell r="A213" t="str">
            <v>F</v>
          </cell>
          <cell r="DR213">
            <v>0</v>
          </cell>
        </row>
        <row r="214">
          <cell r="A214" t="str">
            <v>F</v>
          </cell>
          <cell r="DR214" t="str">
            <v/>
          </cell>
        </row>
        <row r="215">
          <cell r="A215" t="str">
            <v>F</v>
          </cell>
          <cell r="DR215">
            <v>0</v>
          </cell>
        </row>
        <row r="216">
          <cell r="A216" t="str">
            <v>F</v>
          </cell>
          <cell r="DR216" t="str">
            <v/>
          </cell>
        </row>
        <row r="217">
          <cell r="A217" t="str">
            <v>F</v>
          </cell>
          <cell r="DR217" t="str">
            <v/>
          </cell>
        </row>
        <row r="218">
          <cell r="A218" t="str">
            <v>F</v>
          </cell>
          <cell r="DR218" t="str">
            <v/>
          </cell>
        </row>
        <row r="219">
          <cell r="A219" t="str">
            <v>F</v>
          </cell>
          <cell r="DR219">
            <v>0</v>
          </cell>
        </row>
        <row r="220">
          <cell r="A220" t="str">
            <v>F</v>
          </cell>
          <cell r="DR220">
            <v>0</v>
          </cell>
        </row>
        <row r="221">
          <cell r="A221" t="str">
            <v>F</v>
          </cell>
          <cell r="DR221" t="str">
            <v/>
          </cell>
        </row>
        <row r="222">
          <cell r="A222" t="str">
            <v>F</v>
          </cell>
          <cell r="DR222">
            <v>0</v>
          </cell>
        </row>
        <row r="223">
          <cell r="A223" t="str">
            <v>F</v>
          </cell>
          <cell r="DR223">
            <v>0</v>
          </cell>
        </row>
        <row r="224">
          <cell r="A224" t="str">
            <v>F</v>
          </cell>
          <cell r="DR224">
            <v>0</v>
          </cell>
        </row>
        <row r="225">
          <cell r="A225" t="str">
            <v>F</v>
          </cell>
          <cell r="DR225">
            <v>0</v>
          </cell>
        </row>
        <row r="226">
          <cell r="A226" t="str">
            <v>F</v>
          </cell>
          <cell r="DR226">
            <v>0</v>
          </cell>
        </row>
        <row r="227">
          <cell r="A227" t="str">
            <v>F</v>
          </cell>
          <cell r="DR227">
            <v>0</v>
          </cell>
        </row>
        <row r="228">
          <cell r="A228" t="str">
            <v>F</v>
          </cell>
          <cell r="DR228">
            <v>0</v>
          </cell>
        </row>
        <row r="229">
          <cell r="A229" t="str">
            <v>F</v>
          </cell>
          <cell r="DR229">
            <v>0</v>
          </cell>
        </row>
        <row r="230">
          <cell r="A230" t="str">
            <v>F</v>
          </cell>
          <cell r="DR230">
            <v>0</v>
          </cell>
        </row>
        <row r="231">
          <cell r="A231" t="str">
            <v>F</v>
          </cell>
          <cell r="DR231">
            <v>0</v>
          </cell>
        </row>
        <row r="232">
          <cell r="A232" t="str">
            <v>F</v>
          </cell>
          <cell r="DR232" t="str">
            <v/>
          </cell>
        </row>
        <row r="233">
          <cell r="A233" t="str">
            <v>F</v>
          </cell>
          <cell r="DR233">
            <v>0</v>
          </cell>
        </row>
        <row r="234">
          <cell r="A234" t="str">
            <v>F</v>
          </cell>
          <cell r="DR234">
            <v>0</v>
          </cell>
        </row>
        <row r="235">
          <cell r="A235" t="str">
            <v>F</v>
          </cell>
          <cell r="DR235">
            <v>0</v>
          </cell>
        </row>
        <row r="236">
          <cell r="A236" t="str">
            <v>F</v>
          </cell>
          <cell r="DR236" t="str">
            <v/>
          </cell>
        </row>
        <row r="237">
          <cell r="A237" t="str">
            <v>F</v>
          </cell>
          <cell r="DR237">
            <v>0</v>
          </cell>
        </row>
        <row r="238">
          <cell r="A238" t="str">
            <v>F</v>
          </cell>
          <cell r="DR238">
            <v>0</v>
          </cell>
        </row>
        <row r="239">
          <cell r="A239" t="str">
            <v>F</v>
          </cell>
          <cell r="DR239" t="str">
            <v/>
          </cell>
        </row>
        <row r="240">
          <cell r="A240" t="str">
            <v>F</v>
          </cell>
          <cell r="DR240">
            <v>0</v>
          </cell>
        </row>
        <row r="241">
          <cell r="A241" t="str">
            <v>F</v>
          </cell>
          <cell r="DR241">
            <v>0</v>
          </cell>
        </row>
        <row r="242">
          <cell r="A242" t="str">
            <v>F</v>
          </cell>
          <cell r="DR242">
            <v>0</v>
          </cell>
        </row>
        <row r="243">
          <cell r="A243" t="str">
            <v>F</v>
          </cell>
          <cell r="DR243">
            <v>0</v>
          </cell>
        </row>
        <row r="244">
          <cell r="A244" t="str">
            <v>F</v>
          </cell>
          <cell r="DR244">
            <v>0</v>
          </cell>
        </row>
        <row r="245">
          <cell r="A245" t="str">
            <v>F</v>
          </cell>
          <cell r="DR245">
            <v>0</v>
          </cell>
        </row>
        <row r="246">
          <cell r="A246" t="str">
            <v>F</v>
          </cell>
          <cell r="DR246">
            <v>0</v>
          </cell>
        </row>
        <row r="247">
          <cell r="A247" t="str">
            <v>F</v>
          </cell>
          <cell r="DR247">
            <v>0</v>
          </cell>
        </row>
        <row r="248">
          <cell r="A248" t="str">
            <v>F</v>
          </cell>
          <cell r="DR248">
            <v>0</v>
          </cell>
        </row>
        <row r="249">
          <cell r="A249" t="str">
            <v>F</v>
          </cell>
          <cell r="DR249" t="str">
            <v/>
          </cell>
        </row>
        <row r="250">
          <cell r="A250" t="str">
            <v>F</v>
          </cell>
          <cell r="DR250">
            <v>0</v>
          </cell>
        </row>
        <row r="251">
          <cell r="A251" t="str">
            <v>F</v>
          </cell>
          <cell r="DR251">
            <v>0</v>
          </cell>
        </row>
        <row r="252">
          <cell r="A252" t="str">
            <v>F</v>
          </cell>
          <cell r="DR252">
            <v>0</v>
          </cell>
        </row>
        <row r="253">
          <cell r="A253" t="str">
            <v>F</v>
          </cell>
          <cell r="DR253" t="str">
            <v/>
          </cell>
        </row>
        <row r="254">
          <cell r="A254" t="str">
            <v>F</v>
          </cell>
          <cell r="DR254" t="str">
            <v/>
          </cell>
        </row>
        <row r="255">
          <cell r="A255" t="str">
            <v>F</v>
          </cell>
          <cell r="DR255">
            <v>0</v>
          </cell>
        </row>
        <row r="256">
          <cell r="A256" t="str">
            <v>F</v>
          </cell>
          <cell r="DR256">
            <v>0</v>
          </cell>
        </row>
        <row r="257">
          <cell r="A257" t="str">
            <v>F</v>
          </cell>
          <cell r="DR257">
            <v>0</v>
          </cell>
        </row>
        <row r="258">
          <cell r="A258" t="str">
            <v>F</v>
          </cell>
          <cell r="DR258">
            <v>0</v>
          </cell>
        </row>
        <row r="259">
          <cell r="A259" t="str">
            <v>F</v>
          </cell>
          <cell r="DR259">
            <v>0</v>
          </cell>
        </row>
        <row r="260">
          <cell r="A260" t="str">
            <v>F</v>
          </cell>
          <cell r="DR260">
            <v>0</v>
          </cell>
        </row>
        <row r="261">
          <cell r="A261" t="str">
            <v>F</v>
          </cell>
          <cell r="DR261">
            <v>0</v>
          </cell>
        </row>
        <row r="262">
          <cell r="A262" t="str">
            <v>F</v>
          </cell>
          <cell r="DR262">
            <v>0</v>
          </cell>
        </row>
        <row r="263">
          <cell r="A263" t="str">
            <v>F</v>
          </cell>
          <cell r="DR263">
            <v>0</v>
          </cell>
        </row>
        <row r="264">
          <cell r="A264" t="str">
            <v>F</v>
          </cell>
          <cell r="DR264">
            <v>0</v>
          </cell>
        </row>
        <row r="265">
          <cell r="A265" t="str">
            <v>F</v>
          </cell>
          <cell r="DR265" t="str">
            <v/>
          </cell>
        </row>
        <row r="266">
          <cell r="A266" t="str">
            <v>F</v>
          </cell>
          <cell r="DR266">
            <v>0</v>
          </cell>
        </row>
        <row r="267">
          <cell r="DR267" t="str">
            <v/>
          </cell>
        </row>
        <row r="268">
          <cell r="DR268" t="str">
            <v/>
          </cell>
        </row>
        <row r="269">
          <cell r="DR269" t="str">
            <v/>
          </cell>
        </row>
        <row r="270">
          <cell r="A270" t="str">
            <v>H</v>
          </cell>
          <cell r="DR270" t="str">
            <v/>
          </cell>
        </row>
        <row r="271">
          <cell r="A271" t="str">
            <v>H</v>
          </cell>
          <cell r="DR271" t="str">
            <v/>
          </cell>
        </row>
        <row r="272">
          <cell r="A272" t="str">
            <v>H</v>
          </cell>
          <cell r="DR272">
            <v>0</v>
          </cell>
        </row>
        <row r="273">
          <cell r="A273" t="str">
            <v>H</v>
          </cell>
          <cell r="DR273">
            <v>0</v>
          </cell>
        </row>
        <row r="274">
          <cell r="A274" t="str">
            <v>H</v>
          </cell>
          <cell r="DR274" t="str">
            <v/>
          </cell>
        </row>
        <row r="275">
          <cell r="A275" t="str">
            <v>H</v>
          </cell>
          <cell r="DR275" t="str">
            <v/>
          </cell>
        </row>
        <row r="276">
          <cell r="A276" t="str">
            <v>H</v>
          </cell>
          <cell r="DR276">
            <v>0</v>
          </cell>
        </row>
        <row r="277">
          <cell r="A277" t="str">
            <v>H</v>
          </cell>
          <cell r="DR277">
            <v>0</v>
          </cell>
        </row>
        <row r="278">
          <cell r="A278" t="str">
            <v>H</v>
          </cell>
          <cell r="DR278">
            <v>0</v>
          </cell>
        </row>
        <row r="279">
          <cell r="A279" t="str">
            <v>H</v>
          </cell>
          <cell r="DR279">
            <v>0</v>
          </cell>
        </row>
        <row r="280">
          <cell r="A280" t="str">
            <v>H</v>
          </cell>
          <cell r="DR280">
            <v>0</v>
          </cell>
        </row>
        <row r="281">
          <cell r="A281" t="str">
            <v>H</v>
          </cell>
          <cell r="DR281" t="str">
            <v/>
          </cell>
        </row>
        <row r="282">
          <cell r="A282" t="str">
            <v>H</v>
          </cell>
          <cell r="DR282">
            <v>0</v>
          </cell>
        </row>
        <row r="283">
          <cell r="A283" t="str">
            <v>H</v>
          </cell>
          <cell r="DR283">
            <v>0</v>
          </cell>
        </row>
        <row r="284">
          <cell r="A284" t="str">
            <v>H</v>
          </cell>
          <cell r="DR284">
            <v>0</v>
          </cell>
        </row>
        <row r="285">
          <cell r="A285" t="str">
            <v>H</v>
          </cell>
          <cell r="DR285">
            <v>0</v>
          </cell>
        </row>
        <row r="286">
          <cell r="A286" t="str">
            <v>H</v>
          </cell>
          <cell r="DR286">
            <v>0</v>
          </cell>
        </row>
        <row r="287">
          <cell r="A287" t="str">
            <v>H</v>
          </cell>
          <cell r="DR287">
            <v>0</v>
          </cell>
        </row>
        <row r="288">
          <cell r="A288" t="str">
            <v>H</v>
          </cell>
          <cell r="DR288">
            <v>0</v>
          </cell>
        </row>
        <row r="289">
          <cell r="A289" t="str">
            <v>H</v>
          </cell>
          <cell r="DR289">
            <v>0</v>
          </cell>
        </row>
        <row r="290">
          <cell r="A290" t="str">
            <v>H</v>
          </cell>
          <cell r="DR290">
            <v>0</v>
          </cell>
        </row>
        <row r="291">
          <cell r="A291" t="str">
            <v>H</v>
          </cell>
          <cell r="DR291">
            <v>0</v>
          </cell>
        </row>
        <row r="292">
          <cell r="A292" t="str">
            <v>H</v>
          </cell>
          <cell r="DR292">
            <v>0</v>
          </cell>
        </row>
        <row r="293">
          <cell r="A293" t="str">
            <v>H</v>
          </cell>
          <cell r="DR293" t="str">
            <v/>
          </cell>
        </row>
        <row r="294">
          <cell r="A294" t="str">
            <v>H</v>
          </cell>
          <cell r="DR294">
            <v>0</v>
          </cell>
        </row>
        <row r="295">
          <cell r="A295" t="str">
            <v>H</v>
          </cell>
          <cell r="DR295">
            <v>0</v>
          </cell>
        </row>
        <row r="296">
          <cell r="A296" t="str">
            <v>H</v>
          </cell>
          <cell r="DR296">
            <v>0</v>
          </cell>
        </row>
        <row r="297">
          <cell r="A297" t="str">
            <v>H</v>
          </cell>
          <cell r="DR297">
            <v>0</v>
          </cell>
        </row>
        <row r="298">
          <cell r="A298" t="str">
            <v>H</v>
          </cell>
          <cell r="DR298">
            <v>0</v>
          </cell>
        </row>
        <row r="299">
          <cell r="A299" t="str">
            <v>H</v>
          </cell>
          <cell r="DR299">
            <v>0</v>
          </cell>
        </row>
        <row r="300">
          <cell r="A300" t="str">
            <v>H</v>
          </cell>
          <cell r="DR300">
            <v>0</v>
          </cell>
        </row>
        <row r="301">
          <cell r="A301" t="str">
            <v>H</v>
          </cell>
          <cell r="DR301">
            <v>0</v>
          </cell>
        </row>
        <row r="302">
          <cell r="A302" t="str">
            <v>H</v>
          </cell>
          <cell r="DR302" t="str">
            <v/>
          </cell>
        </row>
        <row r="303">
          <cell r="A303" t="str">
            <v>H</v>
          </cell>
          <cell r="DR303">
            <v>0</v>
          </cell>
        </row>
        <row r="304">
          <cell r="A304" t="str">
            <v>H</v>
          </cell>
          <cell r="DR304">
            <v>0</v>
          </cell>
        </row>
        <row r="305">
          <cell r="A305" t="str">
            <v>H</v>
          </cell>
          <cell r="DR305">
            <v>0</v>
          </cell>
        </row>
        <row r="306">
          <cell r="A306" t="str">
            <v>H</v>
          </cell>
          <cell r="DR306">
            <v>0</v>
          </cell>
        </row>
        <row r="307">
          <cell r="A307" t="str">
            <v>H</v>
          </cell>
          <cell r="DR307">
            <v>0</v>
          </cell>
        </row>
        <row r="308">
          <cell r="A308" t="str">
            <v>H</v>
          </cell>
          <cell r="DR308">
            <v>0</v>
          </cell>
        </row>
        <row r="309">
          <cell r="A309" t="str">
            <v>H</v>
          </cell>
          <cell r="DR309">
            <v>0</v>
          </cell>
        </row>
        <row r="310">
          <cell r="A310" t="str">
            <v>H</v>
          </cell>
          <cell r="DR310">
            <v>0</v>
          </cell>
        </row>
        <row r="311">
          <cell r="A311" t="str">
            <v>H</v>
          </cell>
          <cell r="DR311">
            <v>0</v>
          </cell>
        </row>
        <row r="312">
          <cell r="A312" t="str">
            <v>H</v>
          </cell>
          <cell r="DR312" t="str">
            <v/>
          </cell>
        </row>
        <row r="313">
          <cell r="A313" t="str">
            <v>H</v>
          </cell>
          <cell r="DR313">
            <v>0</v>
          </cell>
        </row>
        <row r="314">
          <cell r="A314" t="str">
            <v>H</v>
          </cell>
          <cell r="DR314">
            <v>0</v>
          </cell>
        </row>
        <row r="315">
          <cell r="A315" t="str">
            <v>H</v>
          </cell>
          <cell r="DR315">
            <v>0</v>
          </cell>
        </row>
        <row r="316">
          <cell r="A316" t="str">
            <v>H</v>
          </cell>
          <cell r="DR316">
            <v>0</v>
          </cell>
        </row>
        <row r="317">
          <cell r="A317" t="str">
            <v>H</v>
          </cell>
          <cell r="DR317">
            <v>0</v>
          </cell>
        </row>
        <row r="318">
          <cell r="A318" t="str">
            <v>H</v>
          </cell>
          <cell r="DR318">
            <v>0</v>
          </cell>
        </row>
        <row r="319">
          <cell r="A319" t="str">
            <v>H</v>
          </cell>
          <cell r="DR319">
            <v>0</v>
          </cell>
        </row>
        <row r="320">
          <cell r="A320" t="str">
            <v>H</v>
          </cell>
          <cell r="DR320">
            <v>0</v>
          </cell>
        </row>
        <row r="321">
          <cell r="A321" t="str">
            <v>H</v>
          </cell>
          <cell r="DR321">
            <v>0</v>
          </cell>
        </row>
        <row r="322">
          <cell r="A322" t="str">
            <v>H</v>
          </cell>
          <cell r="DR322">
            <v>0</v>
          </cell>
        </row>
        <row r="323">
          <cell r="A323" t="str">
            <v>H</v>
          </cell>
          <cell r="DR323">
            <v>0</v>
          </cell>
        </row>
        <row r="324">
          <cell r="A324" t="str">
            <v>H</v>
          </cell>
          <cell r="DR324">
            <v>0</v>
          </cell>
        </row>
        <row r="325">
          <cell r="A325" t="str">
            <v>H</v>
          </cell>
          <cell r="DR325">
            <v>0</v>
          </cell>
        </row>
        <row r="326">
          <cell r="A326" t="str">
            <v>H</v>
          </cell>
          <cell r="DR326">
            <v>0</v>
          </cell>
        </row>
        <row r="327">
          <cell r="A327" t="str">
            <v>H</v>
          </cell>
          <cell r="DR327" t="str">
            <v/>
          </cell>
        </row>
        <row r="328">
          <cell r="A328" t="str">
            <v>H</v>
          </cell>
          <cell r="DR328">
            <v>0</v>
          </cell>
        </row>
        <row r="329">
          <cell r="A329" t="str">
            <v>H</v>
          </cell>
          <cell r="DR329">
            <v>0</v>
          </cell>
        </row>
        <row r="330">
          <cell r="A330" t="str">
            <v>H</v>
          </cell>
          <cell r="DR330">
            <v>0</v>
          </cell>
        </row>
        <row r="331">
          <cell r="A331" t="str">
            <v>H</v>
          </cell>
          <cell r="DR331">
            <v>0</v>
          </cell>
        </row>
        <row r="332">
          <cell r="A332" t="str">
            <v>H</v>
          </cell>
          <cell r="DR332">
            <v>0</v>
          </cell>
        </row>
        <row r="333">
          <cell r="A333" t="str">
            <v>H</v>
          </cell>
          <cell r="DR333">
            <v>0</v>
          </cell>
        </row>
        <row r="334">
          <cell r="A334" t="str">
            <v>H</v>
          </cell>
          <cell r="DR334">
            <v>0</v>
          </cell>
        </row>
        <row r="335">
          <cell r="A335" t="str">
            <v>H</v>
          </cell>
          <cell r="DR335">
            <v>0</v>
          </cell>
        </row>
        <row r="336">
          <cell r="A336" t="str">
            <v>H</v>
          </cell>
          <cell r="DR336" t="str">
            <v/>
          </cell>
        </row>
        <row r="337">
          <cell r="A337" t="str">
            <v>H</v>
          </cell>
          <cell r="DR337">
            <v>0</v>
          </cell>
        </row>
        <row r="338">
          <cell r="A338" t="str">
            <v>H</v>
          </cell>
          <cell r="DR338">
            <v>0</v>
          </cell>
        </row>
        <row r="339">
          <cell r="A339" t="str">
            <v>H</v>
          </cell>
          <cell r="DR339">
            <v>0</v>
          </cell>
        </row>
        <row r="340">
          <cell r="A340" t="str">
            <v>H</v>
          </cell>
          <cell r="DR340">
            <v>0</v>
          </cell>
        </row>
        <row r="341">
          <cell r="A341" t="str">
            <v>H</v>
          </cell>
          <cell r="DR341">
            <v>0</v>
          </cell>
        </row>
        <row r="342">
          <cell r="A342" t="str">
            <v>H</v>
          </cell>
          <cell r="DR342" t="str">
            <v/>
          </cell>
        </row>
        <row r="343">
          <cell r="A343" t="str">
            <v>H</v>
          </cell>
          <cell r="DR343">
            <v>0</v>
          </cell>
        </row>
        <row r="344">
          <cell r="A344" t="str">
            <v>H</v>
          </cell>
          <cell r="DR344">
            <v>0</v>
          </cell>
        </row>
        <row r="345">
          <cell r="A345" t="str">
            <v>H</v>
          </cell>
          <cell r="DR345" t="str">
            <v/>
          </cell>
        </row>
        <row r="346">
          <cell r="A346" t="str">
            <v>H</v>
          </cell>
          <cell r="DR346" t="str">
            <v/>
          </cell>
        </row>
        <row r="347">
          <cell r="A347" t="str">
            <v>H</v>
          </cell>
          <cell r="DR347">
            <v>0</v>
          </cell>
        </row>
        <row r="348">
          <cell r="A348" t="str">
            <v>H</v>
          </cell>
          <cell r="DR348">
            <v>0</v>
          </cell>
        </row>
        <row r="349">
          <cell r="A349" t="str">
            <v>H</v>
          </cell>
          <cell r="DR349">
            <v>0</v>
          </cell>
        </row>
        <row r="350">
          <cell r="A350" t="str">
            <v>H</v>
          </cell>
          <cell r="DR350">
            <v>0</v>
          </cell>
        </row>
        <row r="351">
          <cell r="A351" t="str">
            <v>H</v>
          </cell>
          <cell r="DR351">
            <v>0</v>
          </cell>
        </row>
        <row r="352">
          <cell r="A352" t="str">
            <v>H</v>
          </cell>
          <cell r="DR352" t="str">
            <v/>
          </cell>
        </row>
        <row r="353">
          <cell r="A353" t="str">
            <v>H</v>
          </cell>
          <cell r="DR353">
            <v>0</v>
          </cell>
        </row>
        <row r="354">
          <cell r="A354" t="str">
            <v>H</v>
          </cell>
          <cell r="DR354">
            <v>0</v>
          </cell>
        </row>
        <row r="355">
          <cell r="A355" t="str">
            <v>H</v>
          </cell>
          <cell r="DR355">
            <v>0</v>
          </cell>
        </row>
        <row r="356">
          <cell r="A356" t="str">
            <v>H</v>
          </cell>
          <cell r="DR356">
            <v>2426121.3689968698</v>
          </cell>
        </row>
        <row r="357">
          <cell r="A357" t="str">
            <v>H</v>
          </cell>
          <cell r="DR357">
            <v>0</v>
          </cell>
        </row>
        <row r="358">
          <cell r="A358" t="str">
            <v>H</v>
          </cell>
          <cell r="DR358">
            <v>38799706.312690876</v>
          </cell>
        </row>
        <row r="359">
          <cell r="A359" t="str">
            <v>H</v>
          </cell>
          <cell r="DR359">
            <v>0</v>
          </cell>
        </row>
        <row r="360">
          <cell r="A360" t="str">
            <v>H</v>
          </cell>
          <cell r="DR360">
            <v>4218330.5714127617</v>
          </cell>
        </row>
        <row r="361">
          <cell r="A361" t="str">
            <v>H</v>
          </cell>
          <cell r="DR361">
            <v>444540.22666089085</v>
          </cell>
        </row>
        <row r="362">
          <cell r="A362" t="str">
            <v>H</v>
          </cell>
          <cell r="DR362">
            <v>0</v>
          </cell>
        </row>
        <row r="363">
          <cell r="A363" t="str">
            <v>H</v>
          </cell>
          <cell r="DR363">
            <v>0</v>
          </cell>
        </row>
        <row r="364">
          <cell r="A364" t="str">
            <v>H</v>
          </cell>
          <cell r="DR364" t="str">
            <v/>
          </cell>
        </row>
        <row r="365">
          <cell r="A365" t="str">
            <v>H</v>
          </cell>
          <cell r="DR365">
            <v>42143442.332349062</v>
          </cell>
        </row>
        <row r="366">
          <cell r="A366" t="str">
            <v>H</v>
          </cell>
          <cell r="DR366">
            <v>1279828.174027896</v>
          </cell>
        </row>
        <row r="367">
          <cell r="A367" t="str">
            <v>H</v>
          </cell>
          <cell r="DR367">
            <v>31190515.718856461</v>
          </cell>
        </row>
        <row r="368">
          <cell r="A368" t="str">
            <v>H</v>
          </cell>
          <cell r="DR368">
            <v>6310927.9389129002</v>
          </cell>
        </row>
        <row r="369">
          <cell r="A369" t="str">
            <v>H</v>
          </cell>
          <cell r="DR369">
            <v>11040375.00892755</v>
          </cell>
        </row>
        <row r="370">
          <cell r="A370" t="str">
            <v>H</v>
          </cell>
          <cell r="DR370">
            <v>1402253.544297342</v>
          </cell>
        </row>
        <row r="371">
          <cell r="A371" t="str">
            <v>H</v>
          </cell>
          <cell r="DR371">
            <v>0</v>
          </cell>
        </row>
        <row r="372">
          <cell r="A372" t="str">
            <v>H</v>
          </cell>
          <cell r="DR372">
            <v>0</v>
          </cell>
        </row>
        <row r="373">
          <cell r="A373" t="str">
            <v>H</v>
          </cell>
          <cell r="DR373" t="str">
            <v/>
          </cell>
        </row>
        <row r="374">
          <cell r="A374" t="str">
            <v>H</v>
          </cell>
          <cell r="DR374">
            <v>0</v>
          </cell>
        </row>
        <row r="375">
          <cell r="A375" t="str">
            <v>H</v>
          </cell>
          <cell r="DR375">
            <v>0</v>
          </cell>
        </row>
        <row r="376">
          <cell r="A376" t="str">
            <v>H</v>
          </cell>
          <cell r="DR376">
            <v>0</v>
          </cell>
        </row>
        <row r="377">
          <cell r="A377" t="str">
            <v>H</v>
          </cell>
          <cell r="DR377">
            <v>0</v>
          </cell>
        </row>
        <row r="378">
          <cell r="A378" t="str">
            <v>H</v>
          </cell>
          <cell r="DR378">
            <v>0</v>
          </cell>
        </row>
        <row r="379">
          <cell r="A379" t="str">
            <v>H</v>
          </cell>
          <cell r="DR379">
            <v>0</v>
          </cell>
        </row>
        <row r="380">
          <cell r="A380" t="str">
            <v>H</v>
          </cell>
          <cell r="DR380">
            <v>0</v>
          </cell>
        </row>
        <row r="381">
          <cell r="A381" t="str">
            <v>H</v>
          </cell>
          <cell r="DR381">
            <v>0</v>
          </cell>
        </row>
        <row r="382">
          <cell r="A382" t="str">
            <v>H</v>
          </cell>
          <cell r="DR382">
            <v>0</v>
          </cell>
        </row>
        <row r="383">
          <cell r="A383" t="str">
            <v>H</v>
          </cell>
          <cell r="DR383" t="str">
            <v/>
          </cell>
        </row>
        <row r="384">
          <cell r="A384" t="str">
            <v>H</v>
          </cell>
          <cell r="DR384">
            <v>0</v>
          </cell>
        </row>
        <row r="385">
          <cell r="A385" t="str">
            <v>H</v>
          </cell>
          <cell r="DR385">
            <v>0</v>
          </cell>
        </row>
        <row r="386">
          <cell r="A386" t="str">
            <v>H</v>
          </cell>
          <cell r="DR386">
            <v>0</v>
          </cell>
        </row>
        <row r="387">
          <cell r="A387" t="str">
            <v>H</v>
          </cell>
          <cell r="DR387">
            <v>0</v>
          </cell>
        </row>
        <row r="388">
          <cell r="A388" t="str">
            <v>H</v>
          </cell>
          <cell r="DR388">
            <v>0</v>
          </cell>
        </row>
        <row r="389">
          <cell r="A389" t="str">
            <v>H</v>
          </cell>
          <cell r="DR389">
            <v>0</v>
          </cell>
        </row>
        <row r="390">
          <cell r="A390" t="str">
            <v>H</v>
          </cell>
          <cell r="DR390">
            <v>0</v>
          </cell>
        </row>
        <row r="391">
          <cell r="A391" t="str">
            <v>H</v>
          </cell>
          <cell r="DR391">
            <v>0</v>
          </cell>
        </row>
        <row r="392">
          <cell r="A392" t="str">
            <v>H</v>
          </cell>
          <cell r="DR392">
            <v>0</v>
          </cell>
        </row>
        <row r="393">
          <cell r="A393" t="str">
            <v>H</v>
          </cell>
          <cell r="DR393">
            <v>0</v>
          </cell>
        </row>
        <row r="394">
          <cell r="A394" t="str">
            <v>H</v>
          </cell>
          <cell r="DR394">
            <v>0</v>
          </cell>
        </row>
        <row r="395">
          <cell r="A395" t="str">
            <v>H</v>
          </cell>
          <cell r="DR395">
            <v>0</v>
          </cell>
        </row>
        <row r="396">
          <cell r="A396" t="str">
            <v>H</v>
          </cell>
          <cell r="DR396">
            <v>0</v>
          </cell>
        </row>
        <row r="397">
          <cell r="A397" t="str">
            <v>H</v>
          </cell>
          <cell r="DR397" t="str">
            <v/>
          </cell>
        </row>
        <row r="398">
          <cell r="A398" t="str">
            <v>H</v>
          </cell>
          <cell r="DR398">
            <v>0</v>
          </cell>
        </row>
        <row r="399">
          <cell r="A399" t="str">
            <v>H</v>
          </cell>
          <cell r="DR399">
            <v>0</v>
          </cell>
        </row>
        <row r="400">
          <cell r="A400" t="str">
            <v>H</v>
          </cell>
          <cell r="DR400">
            <v>0</v>
          </cell>
        </row>
        <row r="401">
          <cell r="A401" t="str">
            <v>H</v>
          </cell>
          <cell r="DR401">
            <v>0</v>
          </cell>
        </row>
        <row r="402">
          <cell r="A402" t="str">
            <v>H</v>
          </cell>
          <cell r="DR402">
            <v>0</v>
          </cell>
        </row>
        <row r="403">
          <cell r="A403" t="str">
            <v>H</v>
          </cell>
          <cell r="DR403">
            <v>0</v>
          </cell>
        </row>
        <row r="404">
          <cell r="A404" t="str">
            <v>H</v>
          </cell>
          <cell r="DR404">
            <v>0</v>
          </cell>
        </row>
        <row r="405">
          <cell r="A405" t="str">
            <v>H</v>
          </cell>
          <cell r="DR405">
            <v>0</v>
          </cell>
        </row>
        <row r="406">
          <cell r="A406" t="str">
            <v>H</v>
          </cell>
          <cell r="DR406" t="str">
            <v/>
          </cell>
        </row>
        <row r="407">
          <cell r="A407" t="str">
            <v>H</v>
          </cell>
          <cell r="DR407">
            <v>0</v>
          </cell>
        </row>
        <row r="408">
          <cell r="A408" t="str">
            <v>H</v>
          </cell>
          <cell r="DR408">
            <v>0</v>
          </cell>
        </row>
        <row r="409">
          <cell r="A409" t="str">
            <v>H</v>
          </cell>
          <cell r="DR409">
            <v>0</v>
          </cell>
        </row>
        <row r="410">
          <cell r="A410" t="str">
            <v>H</v>
          </cell>
          <cell r="DR410">
            <v>0</v>
          </cell>
        </row>
        <row r="411">
          <cell r="A411" t="str">
            <v>H</v>
          </cell>
          <cell r="DR411">
            <v>0</v>
          </cell>
        </row>
        <row r="412">
          <cell r="A412" t="str">
            <v>H</v>
          </cell>
          <cell r="DR412" t="str">
            <v/>
          </cell>
        </row>
        <row r="413">
          <cell r="A413" t="str">
            <v>H</v>
          </cell>
          <cell r="DR413" t="str">
            <v/>
          </cell>
        </row>
        <row r="414">
          <cell r="A414" t="str">
            <v>H</v>
          </cell>
          <cell r="DR414">
            <v>612395.50057880615</v>
          </cell>
        </row>
        <row r="415">
          <cell r="A415" t="str">
            <v>H</v>
          </cell>
          <cell r="DR415">
            <v>0</v>
          </cell>
        </row>
        <row r="416">
          <cell r="A416" t="str">
            <v>H</v>
          </cell>
          <cell r="DR416">
            <v>0</v>
          </cell>
        </row>
        <row r="417">
          <cell r="A417" t="str">
            <v>H</v>
          </cell>
          <cell r="DR417">
            <v>0</v>
          </cell>
        </row>
        <row r="418">
          <cell r="A418" t="str">
            <v>H</v>
          </cell>
          <cell r="DR418">
            <v>0</v>
          </cell>
        </row>
        <row r="419">
          <cell r="A419" t="str">
            <v>H</v>
          </cell>
          <cell r="DR419" t="str">
            <v/>
          </cell>
        </row>
        <row r="420">
          <cell r="A420" t="str">
            <v>H</v>
          </cell>
          <cell r="DR420">
            <v>0</v>
          </cell>
        </row>
        <row r="421">
          <cell r="A421" t="str">
            <v>H</v>
          </cell>
          <cell r="DR421">
            <v>0</v>
          </cell>
        </row>
        <row r="422">
          <cell r="A422" t="str">
            <v>H</v>
          </cell>
          <cell r="DR422">
            <v>2426121.3689968698</v>
          </cell>
        </row>
        <row r="423">
          <cell r="A423" t="str">
            <v>H</v>
          </cell>
          <cell r="DR423">
            <v>0</v>
          </cell>
        </row>
        <row r="424">
          <cell r="A424" t="str">
            <v>H</v>
          </cell>
          <cell r="DR424">
            <v>0</v>
          </cell>
        </row>
        <row r="425">
          <cell r="A425" t="str">
            <v>H</v>
          </cell>
          <cell r="DR425">
            <v>0</v>
          </cell>
        </row>
        <row r="426">
          <cell r="A426" t="str">
            <v>H</v>
          </cell>
          <cell r="DR426">
            <v>0</v>
          </cell>
        </row>
        <row r="427">
          <cell r="A427" t="str">
            <v>H</v>
          </cell>
          <cell r="DR427">
            <v>0</v>
          </cell>
        </row>
        <row r="428">
          <cell r="A428" t="str">
            <v>H</v>
          </cell>
          <cell r="DR428">
            <v>0</v>
          </cell>
        </row>
        <row r="429">
          <cell r="A429" t="str">
            <v>H</v>
          </cell>
          <cell r="DR429" t="str">
            <v/>
          </cell>
        </row>
        <row r="430">
          <cell r="A430" t="str">
            <v>H</v>
          </cell>
          <cell r="DR430">
            <v>0</v>
          </cell>
        </row>
        <row r="431">
          <cell r="A431" t="str">
            <v>H</v>
          </cell>
          <cell r="DR431">
            <v>639659.33735778625</v>
          </cell>
        </row>
        <row r="432">
          <cell r="A432" t="str">
            <v>H</v>
          </cell>
          <cell r="DR432">
            <v>0</v>
          </cell>
        </row>
        <row r="433">
          <cell r="A433" t="str">
            <v>H</v>
          </cell>
          <cell r="DR433">
            <v>0</v>
          </cell>
        </row>
        <row r="434">
          <cell r="A434" t="str">
            <v>H</v>
          </cell>
          <cell r="DR434">
            <v>0</v>
          </cell>
        </row>
        <row r="435">
          <cell r="A435" t="str">
            <v>H</v>
          </cell>
          <cell r="DR435">
            <v>634164.0233221472</v>
          </cell>
        </row>
        <row r="436">
          <cell r="A436" t="str">
            <v>H</v>
          </cell>
          <cell r="DR436">
            <v>0</v>
          </cell>
        </row>
        <row r="437">
          <cell r="A437" t="str">
            <v>H</v>
          </cell>
          <cell r="DR437">
            <v>0</v>
          </cell>
        </row>
        <row r="438">
          <cell r="A438" t="str">
            <v>H</v>
          </cell>
          <cell r="DR438" t="str">
            <v/>
          </cell>
        </row>
        <row r="439">
          <cell r="A439" t="str">
            <v>H</v>
          </cell>
          <cell r="DR439">
            <v>0</v>
          </cell>
        </row>
        <row r="440">
          <cell r="A440" t="str">
            <v>H</v>
          </cell>
          <cell r="DR440">
            <v>0</v>
          </cell>
        </row>
        <row r="441">
          <cell r="A441" t="str">
            <v>H</v>
          </cell>
          <cell r="DR441">
            <v>0</v>
          </cell>
        </row>
        <row r="442">
          <cell r="A442" t="str">
            <v>H</v>
          </cell>
          <cell r="DR442">
            <v>0</v>
          </cell>
        </row>
        <row r="443">
          <cell r="A443" t="str">
            <v>H</v>
          </cell>
          <cell r="DR443">
            <v>0</v>
          </cell>
        </row>
        <row r="444">
          <cell r="A444" t="str">
            <v>H</v>
          </cell>
          <cell r="DR444">
            <v>0</v>
          </cell>
        </row>
        <row r="445">
          <cell r="A445" t="str">
            <v>H</v>
          </cell>
          <cell r="DR445">
            <v>0</v>
          </cell>
        </row>
        <row r="446">
          <cell r="A446" t="str">
            <v>H</v>
          </cell>
          <cell r="DR446">
            <v>0</v>
          </cell>
        </row>
        <row r="447">
          <cell r="A447" t="str">
            <v>H</v>
          </cell>
          <cell r="DR447">
            <v>0</v>
          </cell>
        </row>
        <row r="448">
          <cell r="A448" t="str">
            <v>H</v>
          </cell>
          <cell r="DR448" t="str">
            <v/>
          </cell>
        </row>
        <row r="449">
          <cell r="A449" t="str">
            <v>H</v>
          </cell>
          <cell r="DR449">
            <v>0</v>
          </cell>
        </row>
        <row r="450">
          <cell r="A450" t="str">
            <v>H</v>
          </cell>
          <cell r="DR450">
            <v>0</v>
          </cell>
        </row>
        <row r="451">
          <cell r="A451" t="str">
            <v>H</v>
          </cell>
          <cell r="DR451">
            <v>0</v>
          </cell>
        </row>
        <row r="452">
          <cell r="A452" t="str">
            <v>H</v>
          </cell>
          <cell r="DR452">
            <v>0</v>
          </cell>
        </row>
        <row r="453">
          <cell r="A453" t="str">
            <v>H</v>
          </cell>
          <cell r="DR453">
            <v>0</v>
          </cell>
        </row>
        <row r="454">
          <cell r="A454" t="str">
            <v>H</v>
          </cell>
          <cell r="DR454">
            <v>0</v>
          </cell>
        </row>
        <row r="455">
          <cell r="A455" t="str">
            <v>H</v>
          </cell>
          <cell r="DR455">
            <v>0</v>
          </cell>
        </row>
        <row r="456">
          <cell r="A456" t="str">
            <v>H</v>
          </cell>
          <cell r="DR456">
            <v>0</v>
          </cell>
        </row>
        <row r="457">
          <cell r="A457" t="str">
            <v>H</v>
          </cell>
          <cell r="DR457">
            <v>0</v>
          </cell>
        </row>
        <row r="458">
          <cell r="A458" t="str">
            <v>H</v>
          </cell>
          <cell r="DR458">
            <v>0</v>
          </cell>
        </row>
        <row r="459">
          <cell r="A459" t="str">
            <v>H</v>
          </cell>
          <cell r="DR459">
            <v>0</v>
          </cell>
        </row>
        <row r="460">
          <cell r="A460" t="str">
            <v>H</v>
          </cell>
          <cell r="DR460">
            <v>0</v>
          </cell>
        </row>
        <row r="461">
          <cell r="A461" t="str">
            <v>H</v>
          </cell>
          <cell r="DR461">
            <v>0</v>
          </cell>
        </row>
        <row r="462">
          <cell r="A462" t="str">
            <v>H</v>
          </cell>
          <cell r="DR462">
            <v>0</v>
          </cell>
        </row>
        <row r="463">
          <cell r="A463" t="str">
            <v>H</v>
          </cell>
          <cell r="DR463" t="str">
            <v/>
          </cell>
        </row>
        <row r="464">
          <cell r="A464" t="str">
            <v>H</v>
          </cell>
          <cell r="DR464">
            <v>0</v>
          </cell>
        </row>
        <row r="465">
          <cell r="A465" t="str">
            <v>H</v>
          </cell>
          <cell r="DR465">
            <v>0</v>
          </cell>
        </row>
        <row r="466">
          <cell r="A466" t="str">
            <v>H</v>
          </cell>
          <cell r="DR466">
            <v>0</v>
          </cell>
        </row>
        <row r="467">
          <cell r="A467" t="str">
            <v>H</v>
          </cell>
          <cell r="DR467">
            <v>0</v>
          </cell>
        </row>
        <row r="468">
          <cell r="A468" t="str">
            <v>H</v>
          </cell>
          <cell r="DR468">
            <v>0</v>
          </cell>
        </row>
        <row r="469">
          <cell r="A469" t="str">
            <v>H</v>
          </cell>
          <cell r="DR469">
            <v>0</v>
          </cell>
        </row>
        <row r="470">
          <cell r="A470" t="str">
            <v>H</v>
          </cell>
          <cell r="DR470">
            <v>0</v>
          </cell>
        </row>
        <row r="471">
          <cell r="A471" t="str">
            <v>H</v>
          </cell>
          <cell r="DR471">
            <v>0</v>
          </cell>
        </row>
        <row r="472">
          <cell r="A472" t="str">
            <v>H</v>
          </cell>
          <cell r="DR472" t="str">
            <v/>
          </cell>
        </row>
        <row r="473">
          <cell r="A473" t="str">
            <v>H</v>
          </cell>
          <cell r="DR473">
            <v>0</v>
          </cell>
        </row>
        <row r="474">
          <cell r="A474" t="str">
            <v>H</v>
          </cell>
          <cell r="DR474">
            <v>0</v>
          </cell>
        </row>
        <row r="475">
          <cell r="A475" t="str">
            <v>H</v>
          </cell>
          <cell r="DR475">
            <v>0</v>
          </cell>
        </row>
        <row r="476">
          <cell r="A476" t="str">
            <v>H</v>
          </cell>
          <cell r="DR476">
            <v>0</v>
          </cell>
        </row>
        <row r="477">
          <cell r="A477" t="str">
            <v>H</v>
          </cell>
          <cell r="DR477">
            <v>0</v>
          </cell>
        </row>
        <row r="478">
          <cell r="A478" t="str">
            <v>H</v>
          </cell>
          <cell r="DR478" t="str">
            <v/>
          </cell>
        </row>
        <row r="479">
          <cell r="DR479" t="str">
            <v/>
          </cell>
        </row>
        <row r="480">
          <cell r="A480" t="str">
            <v>I</v>
          </cell>
          <cell r="DR480" t="str">
            <v/>
          </cell>
        </row>
        <row r="481">
          <cell r="A481" t="str">
            <v>I</v>
          </cell>
          <cell r="DR481" t="str">
            <v/>
          </cell>
        </row>
        <row r="482">
          <cell r="A482" t="str">
            <v>I</v>
          </cell>
          <cell r="DR482" t="str">
            <v/>
          </cell>
        </row>
        <row r="483">
          <cell r="A483" t="str">
            <v>I</v>
          </cell>
          <cell r="DR483" t="str">
            <v/>
          </cell>
        </row>
        <row r="484">
          <cell r="A484" t="str">
            <v>I</v>
          </cell>
          <cell r="DR484">
            <v>0</v>
          </cell>
        </row>
        <row r="485">
          <cell r="A485" t="str">
            <v>I</v>
          </cell>
          <cell r="DR485">
            <v>0</v>
          </cell>
        </row>
        <row r="486">
          <cell r="A486" t="str">
            <v>I</v>
          </cell>
          <cell r="DR486">
            <v>3820503.9380150954</v>
          </cell>
        </row>
        <row r="487">
          <cell r="A487" t="str">
            <v>I</v>
          </cell>
          <cell r="DR487">
            <v>0</v>
          </cell>
        </row>
        <row r="488">
          <cell r="A488" t="str">
            <v>I</v>
          </cell>
          <cell r="DR488">
            <v>11672118.124268349</v>
          </cell>
        </row>
        <row r="489">
          <cell r="A489" t="str">
            <v>I</v>
          </cell>
          <cell r="DR489">
            <v>0</v>
          </cell>
        </row>
        <row r="490">
          <cell r="A490" t="str">
            <v>I</v>
          </cell>
          <cell r="DR490">
            <v>0</v>
          </cell>
        </row>
        <row r="491">
          <cell r="A491" t="str">
            <v>I</v>
          </cell>
          <cell r="DR491">
            <v>0</v>
          </cell>
        </row>
        <row r="492">
          <cell r="A492" t="str">
            <v>I</v>
          </cell>
          <cell r="DR492" t="str">
            <v/>
          </cell>
        </row>
        <row r="493">
          <cell r="A493" t="str">
            <v>I</v>
          </cell>
          <cell r="DR493" t="str">
            <v/>
          </cell>
        </row>
        <row r="494">
          <cell r="A494" t="str">
            <v>I</v>
          </cell>
          <cell r="DR494" t="str">
            <v/>
          </cell>
        </row>
        <row r="495">
          <cell r="A495" t="str">
            <v>I</v>
          </cell>
          <cell r="DR495" t="str">
            <v/>
          </cell>
        </row>
        <row r="496">
          <cell r="A496" t="str">
            <v>I</v>
          </cell>
          <cell r="DR496">
            <v>0</v>
          </cell>
        </row>
        <row r="497">
          <cell r="A497" t="str">
            <v>I</v>
          </cell>
          <cell r="DR497">
            <v>0</v>
          </cell>
        </row>
        <row r="498">
          <cell r="A498" t="str">
            <v>I</v>
          </cell>
          <cell r="DR498">
            <v>0</v>
          </cell>
        </row>
        <row r="499">
          <cell r="A499" t="str">
            <v>I</v>
          </cell>
          <cell r="DR499">
            <v>0</v>
          </cell>
        </row>
        <row r="500">
          <cell r="A500" t="str">
            <v>I</v>
          </cell>
          <cell r="DR500">
            <v>0</v>
          </cell>
        </row>
        <row r="501">
          <cell r="A501" t="str">
            <v>I</v>
          </cell>
          <cell r="DR501">
            <v>0</v>
          </cell>
        </row>
        <row r="502">
          <cell r="A502" t="str">
            <v>I</v>
          </cell>
          <cell r="DR502" t="str">
            <v/>
          </cell>
        </row>
        <row r="503">
          <cell r="A503" t="str">
            <v>I</v>
          </cell>
          <cell r="DR503" t="str">
            <v/>
          </cell>
        </row>
        <row r="504">
          <cell r="DR504" t="str">
            <v/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rry"/>
      <sheetName val="HARGA"/>
      <sheetName val="Agregat ABC"/>
      <sheetName val="4"/>
      <sheetName val="5"/>
      <sheetName val="6"/>
      <sheetName val="H Print"/>
      <sheetName val="alat"/>
      <sheetName val="Print Hrg"/>
      <sheetName val="Mob"/>
      <sheetName val="Trkm-BOW"/>
      <sheetName val="RAB EE"/>
      <sheetName val="RKP EE"/>
      <sheetName val="RKP BQ"/>
      <sheetName val="RAB BQ"/>
      <sheetName val="M.BQ"/>
      <sheetName val="Alt.BQ"/>
      <sheetName val="4a"/>
      <sheetName val="6a"/>
      <sheetName val="Anl.BQ"/>
      <sheetName val="Hrg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antitas &amp; Harga (2)"/>
      <sheetName val="Rekap Biaya (2)"/>
      <sheetName val="Rekap Biaya"/>
      <sheetName val="Kuantitas &amp; Harga"/>
      <sheetName val="Pekerjaan Utama"/>
      <sheetName val="%"/>
    </sheetNames>
    <sheetDataSet>
      <sheetData sheetId="0" refreshError="1"/>
      <sheetData sheetId="1" refreshError="1"/>
      <sheetData sheetId="2"/>
      <sheetData sheetId="3">
        <row r="26">
          <cell r="G26">
            <v>215250000</v>
          </cell>
        </row>
        <row r="50">
          <cell r="G50">
            <v>76522255.210000008</v>
          </cell>
        </row>
        <row r="84">
          <cell r="G84">
            <v>93057891.650000006</v>
          </cell>
        </row>
        <row r="99">
          <cell r="G99">
            <v>117067958.64</v>
          </cell>
        </row>
        <row r="119">
          <cell r="G119">
            <v>899550957.625</v>
          </cell>
        </row>
        <row r="155">
          <cell r="G155">
            <v>1393070824.3599999</v>
          </cell>
        </row>
        <row r="319">
          <cell r="G319">
            <v>23501785.603283949</v>
          </cell>
        </row>
        <row r="377">
          <cell r="G377">
            <v>0</v>
          </cell>
        </row>
        <row r="405">
          <cell r="G405">
            <v>0</v>
          </cell>
        </row>
        <row r="418">
          <cell r="G418">
            <v>0</v>
          </cell>
        </row>
      </sheetData>
      <sheetData sheetId="4" refreshError="1"/>
      <sheetData sheetId="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FE"/>
      <sheetName val="PE"/>
      <sheetName val="E-F"/>
      <sheetName val="MFC"/>
      <sheetName val="WC1"/>
      <sheetName val="WC2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S-Rutin"/>
      <sheetName val="Kuantitas"/>
      <sheetName val="Analisa HSP"/>
    </sheetNames>
    <sheetDataSet>
      <sheetData sheetId="0"/>
      <sheetData sheetId="1"/>
      <sheetData sheetId="2">
        <row r="49">
          <cell r="U49">
            <v>208955.69954884023</v>
          </cell>
        </row>
        <row r="227">
          <cell r="U227">
            <v>1318507.786277697</v>
          </cell>
        </row>
        <row r="404">
          <cell r="U404">
            <v>917718.86811903573</v>
          </cell>
        </row>
        <row r="581">
          <cell r="U581">
            <v>803885.75249024131</v>
          </cell>
        </row>
        <row r="758">
          <cell r="U758">
            <v>7867.2153451241584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kp"/>
      <sheetName val="Kuan"/>
      <sheetName val="Har Sat"/>
      <sheetName val="Har. Das"/>
      <sheetName val="M.P.U"/>
      <sheetName val="Mob"/>
      <sheetName val="ANMOS"/>
      <sheetName val="Jad. Alat"/>
      <sheetName val="T. Shed"/>
      <sheetName val="Sub. Kon"/>
      <sheetName val="List"/>
      <sheetName val="6.a &amp;6,b"/>
      <sheetName val="Catatan"/>
      <sheetName val="Anls Alat"/>
      <sheetName val="Anls Bahan"/>
      <sheetName val="Sheet1"/>
      <sheetName val="Div 2-5"/>
      <sheetName val="Div 6"/>
      <sheetName val="Div 7-8"/>
      <sheetName val="Div 9-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5">
          <cell r="D5" t="str">
            <v>IR. T. FAISAL LIZAM</v>
          </cell>
        </row>
        <row r="6">
          <cell r="D6" t="str">
            <v>DIREKTUR  UTAMA</v>
          </cell>
        </row>
        <row r="7">
          <cell r="D7" t="str">
            <v>PEMBANGUNAN DAN PENINGKATAN JALAN DAN JEMBATAN</v>
          </cell>
        </row>
        <row r="8">
          <cell r="D8" t="str">
            <v>PEMBANGUNAN JALAN LIPAT KAJANG - LAE PARIS -BTS. SUMUT</v>
          </cell>
        </row>
        <row r="66">
          <cell r="F66">
            <v>20000</v>
          </cell>
        </row>
        <row r="67">
          <cell r="F67">
            <v>25000</v>
          </cell>
        </row>
        <row r="81">
          <cell r="F81">
            <v>35000</v>
          </cell>
        </row>
        <row r="104">
          <cell r="F104">
            <v>7000</v>
          </cell>
        </row>
        <row r="110">
          <cell r="F110">
            <v>20000</v>
          </cell>
        </row>
        <row r="112">
          <cell r="F112">
            <v>21000</v>
          </cell>
        </row>
      </sheetData>
      <sheetData sheetId="13" refreshError="1"/>
      <sheetData sheetId="14">
        <row r="132">
          <cell r="E132">
            <v>12048.192771084339</v>
          </cell>
        </row>
        <row r="157">
          <cell r="E157">
            <v>49679.057595845232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Rekap Biaya"/>
      <sheetName val="B&amp;Q"/>
      <sheetName val="RAB"/>
      <sheetName val="anaK"/>
      <sheetName val="Lamp.Upah&amp;Biaya"/>
      <sheetName val="Lamp.ABiaya"/>
      <sheetName val="ANGKUT"/>
      <sheetName val="Upah&amp;Bahan"/>
      <sheetName val="Sket Jrk Angkut"/>
      <sheetName val="Rekap_Biaya"/>
      <sheetName val="Lamp_Upah&amp;Biaya"/>
      <sheetName val="Lamp_ABiaya"/>
      <sheetName val="Sket_Jrk_Angkut"/>
      <sheetName val="Rekap_Biaya1"/>
      <sheetName val="Lamp_Upah&amp;Biaya1"/>
      <sheetName val="Lamp_ABiaya1"/>
      <sheetName val="Sket_Jrk_Angkut1"/>
      <sheetName val="Rekap_Biaya2"/>
      <sheetName val="Lamp_Upah&amp;Biaya2"/>
      <sheetName val="Lamp_ABiaya2"/>
      <sheetName val="Sket_Jrk_Angkut2"/>
      <sheetName val="Rekap_Biaya3"/>
      <sheetName val="Lamp_Upah&amp;Biaya3"/>
      <sheetName val="Lamp_ABiaya3"/>
      <sheetName val="Sket_Jrk_Angku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5">
          <cell r="H15">
            <v>5</v>
          </cell>
        </row>
        <row r="16">
          <cell r="H16">
            <v>6</v>
          </cell>
        </row>
        <row r="17">
          <cell r="H17">
            <v>7</v>
          </cell>
        </row>
        <row r="18">
          <cell r="H18">
            <v>8</v>
          </cell>
        </row>
        <row r="19">
          <cell r="H19">
            <v>9</v>
          </cell>
        </row>
        <row r="20">
          <cell r="H20">
            <v>10</v>
          </cell>
        </row>
        <row r="21">
          <cell r="H21">
            <v>11</v>
          </cell>
        </row>
        <row r="22">
          <cell r="H22">
            <v>12</v>
          </cell>
        </row>
        <row r="23">
          <cell r="H23">
            <v>13</v>
          </cell>
        </row>
        <row r="24">
          <cell r="H24">
            <v>14</v>
          </cell>
        </row>
        <row r="42">
          <cell r="H42">
            <v>65000</v>
          </cell>
        </row>
      </sheetData>
      <sheetData sheetId="8" refreshError="1">
        <row r="15">
          <cell r="C15">
            <v>30000</v>
          </cell>
        </row>
        <row r="16">
          <cell r="C16">
            <v>34000</v>
          </cell>
        </row>
        <row r="17">
          <cell r="C17">
            <v>38000</v>
          </cell>
        </row>
        <row r="18">
          <cell r="C18">
            <v>42000</v>
          </cell>
        </row>
        <row r="19">
          <cell r="C19">
            <v>48000</v>
          </cell>
        </row>
        <row r="20">
          <cell r="C20">
            <v>54000</v>
          </cell>
        </row>
        <row r="21">
          <cell r="C21">
            <v>54000</v>
          </cell>
        </row>
        <row r="22">
          <cell r="C22">
            <v>26250</v>
          </cell>
        </row>
        <row r="23">
          <cell r="C23">
            <v>48000</v>
          </cell>
        </row>
        <row r="24">
          <cell r="C24">
            <v>54000</v>
          </cell>
        </row>
        <row r="26">
          <cell r="C26">
            <v>48000</v>
          </cell>
        </row>
        <row r="27">
          <cell r="C27">
            <v>48000</v>
          </cell>
        </row>
        <row r="41">
          <cell r="C41">
            <v>30000</v>
          </cell>
        </row>
        <row r="42">
          <cell r="C42">
            <v>32500</v>
          </cell>
        </row>
        <row r="43">
          <cell r="C43">
            <v>57500</v>
          </cell>
        </row>
        <row r="44">
          <cell r="C44">
            <v>33000</v>
          </cell>
        </row>
        <row r="47">
          <cell r="C47">
            <v>60000</v>
          </cell>
        </row>
        <row r="51">
          <cell r="C51">
            <v>135000</v>
          </cell>
        </row>
        <row r="52">
          <cell r="C52">
            <v>60000</v>
          </cell>
        </row>
        <row r="54">
          <cell r="C54">
            <v>426178</v>
          </cell>
        </row>
        <row r="55">
          <cell r="C55">
            <v>456659</v>
          </cell>
        </row>
        <row r="56">
          <cell r="C56">
            <v>24000</v>
          </cell>
        </row>
        <row r="61">
          <cell r="C61">
            <v>8900</v>
          </cell>
        </row>
        <row r="62">
          <cell r="C62">
            <v>29000</v>
          </cell>
        </row>
        <row r="68">
          <cell r="C68">
            <v>7200</v>
          </cell>
        </row>
        <row r="83">
          <cell r="C83">
            <v>3679</v>
          </cell>
        </row>
        <row r="90">
          <cell r="C90">
            <v>990</v>
          </cell>
        </row>
        <row r="100">
          <cell r="C100">
            <v>2200000</v>
          </cell>
        </row>
        <row r="205">
          <cell r="U205" t="e">
            <v>#REF!</v>
          </cell>
        </row>
        <row r="261">
          <cell r="U261" t="e">
            <v>#REF!</v>
          </cell>
        </row>
        <row r="317">
          <cell r="U317" t="e">
            <v>#REF!</v>
          </cell>
        </row>
        <row r="373">
          <cell r="U373" t="e">
            <v>#REF!</v>
          </cell>
        </row>
        <row r="429">
          <cell r="U429" t="e">
            <v>#REF!</v>
          </cell>
        </row>
        <row r="485">
          <cell r="U485" t="e">
            <v>#REF!</v>
          </cell>
        </row>
        <row r="541">
          <cell r="U541" t="e">
            <v>#REF!</v>
          </cell>
        </row>
        <row r="597">
          <cell r="U597">
            <v>28794</v>
          </cell>
        </row>
        <row r="653">
          <cell r="U653" t="e">
            <v>#REF!</v>
          </cell>
        </row>
        <row r="709">
          <cell r="U709" t="e">
            <v>#REF!</v>
          </cell>
        </row>
        <row r="821">
          <cell r="U821" t="e">
            <v>#REF!</v>
          </cell>
        </row>
        <row r="877">
          <cell r="U877" t="e">
            <v>#REF!</v>
          </cell>
        </row>
        <row r="1045">
          <cell r="U1045" t="e">
            <v>#REF!</v>
          </cell>
        </row>
        <row r="1101">
          <cell r="U1101" t="e">
            <v>#REF!</v>
          </cell>
        </row>
        <row r="1157">
          <cell r="U1157" t="e">
            <v>#REF!</v>
          </cell>
        </row>
        <row r="1213">
          <cell r="U1213" t="e">
            <v>#REF!</v>
          </cell>
        </row>
        <row r="1269">
          <cell r="U1269" t="e">
            <v>#REF!</v>
          </cell>
        </row>
        <row r="1325">
          <cell r="U1325" t="e">
            <v>#REF!</v>
          </cell>
        </row>
        <row r="1381">
          <cell r="U1381" t="e">
            <v>#REF!</v>
          </cell>
        </row>
        <row r="1437">
          <cell r="U1437">
            <v>11645</v>
          </cell>
        </row>
        <row r="1493">
          <cell r="U1493">
            <v>45329</v>
          </cell>
        </row>
        <row r="1549">
          <cell r="U1549" t="e">
            <v>#REF!</v>
          </cell>
        </row>
        <row r="1612">
          <cell r="U1612" t="e">
            <v>#REF!</v>
          </cell>
        </row>
        <row r="1672">
          <cell r="U1672" t="e">
            <v>#REF!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 I"/>
      <sheetName val="Rab II"/>
      <sheetName val="Rab III"/>
      <sheetName val="Rab IV"/>
      <sheetName val="Rekap"/>
      <sheetName val="Analis OK"/>
      <sheetName val="Harga"/>
      <sheetName val="Anl. Jl"/>
      <sheetName val="Hbh. Jl"/>
      <sheetName val="DRUP (ASLI)"/>
      <sheetName val="cover"/>
      <sheetName val="Pengesahan"/>
      <sheetName val="Analis"/>
      <sheetName val="H.bh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 refreshError="1"/>
      <sheetData sheetId="9"/>
      <sheetData sheetId="10"/>
      <sheetData sheetId="11"/>
      <sheetData sheetId="12"/>
      <sheetData sheetId="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UP (ASLI)"/>
      <sheetName val="Analisis"/>
      <sheetName val="rab oke"/>
      <sheetName val="Rekap"/>
      <sheetName val="schedul"/>
      <sheetName val="Harga bahan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ftar Harga"/>
      <sheetName val="Analisa"/>
      <sheetName val="DKH"/>
      <sheetName val="Sket Asli"/>
      <sheetName val="Sket (Sungai Kaloy)"/>
      <sheetName val="Sket "/>
      <sheetName val="Sket  (A4)"/>
    </sheetNames>
    <sheetDataSet>
      <sheetData sheetId="0"/>
      <sheetData sheetId="1" refreshError="1">
        <row r="70">
          <cell r="I70">
            <v>343140</v>
          </cell>
        </row>
        <row r="118">
          <cell r="I118">
            <v>543280</v>
          </cell>
        </row>
        <row r="141">
          <cell r="I141">
            <v>600170</v>
          </cell>
        </row>
        <row r="168">
          <cell r="I168">
            <v>34050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Q"/>
      <sheetName val="BQ (2)"/>
      <sheetName val="UP"/>
      <sheetName val="BREAK ALAT"/>
      <sheetName val="PE"/>
      <sheetName val="E-F"/>
      <sheetName val="WC1"/>
    </sheetNames>
    <sheetDataSet>
      <sheetData sheetId="0">
        <row r="13">
          <cell r="B13" t="str">
            <v>A</v>
          </cell>
          <cell r="E13" t="str">
            <v>GENERAL</v>
          </cell>
        </row>
        <row r="14">
          <cell r="B14" t="str">
            <v>A1</v>
          </cell>
          <cell r="E14" t="str">
            <v>MOBILIZATION and DEMOBILIZATION</v>
          </cell>
          <cell r="F14" t="str">
            <v>ls</v>
          </cell>
          <cell r="G14">
            <v>1</v>
          </cell>
          <cell r="H14">
            <v>169855758</v>
          </cell>
          <cell r="I14">
            <v>169855758</v>
          </cell>
          <cell r="J14" t="str">
            <v>GS.6.03</v>
          </cell>
        </row>
        <row r="15">
          <cell r="B15" t="str">
            <v>A2</v>
          </cell>
          <cell r="E15" t="str">
            <v>ESTABLISTMENT (')</v>
          </cell>
          <cell r="F15" t="str">
            <v>ls</v>
          </cell>
          <cell r="G15">
            <v>1</v>
          </cell>
          <cell r="H15">
            <v>3152995400</v>
          </cell>
          <cell r="I15">
            <v>3152995400</v>
          </cell>
          <cell r="J15" t="str">
            <v>GS.7.02</v>
          </cell>
        </row>
        <row r="16">
          <cell r="B16" t="str">
            <v>A3</v>
          </cell>
          <cell r="E16" t="str">
            <v>RELOCATION of EXISTING FACILITIES</v>
          </cell>
          <cell r="F16" t="str">
            <v>ls</v>
          </cell>
          <cell r="G16">
            <v>1</v>
          </cell>
          <cell r="H16">
            <v>13322020</v>
          </cell>
          <cell r="I16">
            <v>13322020</v>
          </cell>
          <cell r="J16" t="str">
            <v>GS.14.04</v>
          </cell>
        </row>
        <row r="17">
          <cell r="B17" t="str">
            <v>A4</v>
          </cell>
          <cell r="E17" t="str">
            <v>GEOLOGICAL INVESTIGATION</v>
          </cell>
        </row>
        <row r="18">
          <cell r="B18" t="str">
            <v>A4.1</v>
          </cell>
          <cell r="E18" t="str">
            <v>Hand Auger</v>
          </cell>
          <cell r="F18" t="str">
            <v>m</v>
          </cell>
          <cell r="G18">
            <v>130</v>
          </cell>
          <cell r="H18">
            <v>159864</v>
          </cell>
          <cell r="I18">
            <v>20782320</v>
          </cell>
          <cell r="J18" t="str">
            <v>GS.9.06</v>
          </cell>
        </row>
        <row r="19">
          <cell r="B19" t="str">
            <v>A4.2</v>
          </cell>
          <cell r="E19" t="str">
            <v>Mechanical Boring</v>
          </cell>
          <cell r="F19" t="str">
            <v>m</v>
          </cell>
          <cell r="G19">
            <v>400</v>
          </cell>
          <cell r="H19">
            <v>266440</v>
          </cell>
          <cell r="I19">
            <v>106576000</v>
          </cell>
          <cell r="J19" t="str">
            <v>GS.9.06</v>
          </cell>
        </row>
        <row r="20">
          <cell r="B20" t="str">
            <v>A4.3</v>
          </cell>
          <cell r="E20" t="str">
            <v>Exploratory Excavation</v>
          </cell>
          <cell r="F20" t="str">
            <v>m³</v>
          </cell>
          <cell r="G20">
            <v>800</v>
          </cell>
          <cell r="H20">
            <v>42791</v>
          </cell>
          <cell r="I20">
            <v>34232800</v>
          </cell>
          <cell r="J20" t="str">
            <v>GS.9.06</v>
          </cell>
        </row>
        <row r="22">
          <cell r="B22" t="str">
            <v>B</v>
          </cell>
          <cell r="E22" t="str">
            <v>CHANNEL and DIKE WORKS</v>
          </cell>
        </row>
        <row r="23">
          <cell r="B23" t="str">
            <v>B1</v>
          </cell>
          <cell r="E23" t="str">
            <v>PREPARATION WORKS</v>
          </cell>
        </row>
        <row r="24">
          <cell r="B24" t="str">
            <v>B1.1</v>
          </cell>
          <cell r="E24" t="str">
            <v>Clearing and Grubbing</v>
          </cell>
          <cell r="F24" t="str">
            <v>m²</v>
          </cell>
          <cell r="G24">
            <v>528000</v>
          </cell>
          <cell r="H24">
            <v>4019</v>
          </cell>
          <cell r="I24">
            <v>2122032000</v>
          </cell>
          <cell r="J24" t="str">
            <v>TS.2.10</v>
          </cell>
        </row>
        <row r="25">
          <cell r="B25" t="str">
            <v>B2</v>
          </cell>
          <cell r="E25" t="str">
            <v xml:space="preserve">CHANNEL EXCAVATION </v>
          </cell>
        </row>
        <row r="26">
          <cell r="B26" t="str">
            <v>B2.1</v>
          </cell>
          <cell r="E26" t="str">
            <v>Excavation (river channel)</v>
          </cell>
          <cell r="F26" t="str">
            <v>m³</v>
          </cell>
          <cell r="G26">
            <v>166200</v>
          </cell>
          <cell r="H26">
            <v>30448</v>
          </cell>
          <cell r="I26">
            <v>5060457600</v>
          </cell>
          <cell r="J26" t="str">
            <v>TS.2.10</v>
          </cell>
        </row>
        <row r="28">
          <cell r="B28" t="str">
            <v>B2.2</v>
          </cell>
          <cell r="E28" t="str">
            <v>Excavation (common)</v>
          </cell>
          <cell r="F28" t="str">
            <v>m³</v>
          </cell>
          <cell r="G28">
            <v>340900</v>
          </cell>
          <cell r="H28">
            <v>15679</v>
          </cell>
          <cell r="I28">
            <v>5344971100</v>
          </cell>
          <cell r="J28" t="str">
            <v>TS.2.10</v>
          </cell>
        </row>
        <row r="30">
          <cell r="B30" t="str">
            <v>B3</v>
          </cell>
          <cell r="E30" t="str">
            <v>EARTH DIKE WORKS</v>
          </cell>
        </row>
        <row r="31">
          <cell r="B31" t="str">
            <v>B3.1</v>
          </cell>
          <cell r="E31" t="str">
            <v>Stripping of top soil</v>
          </cell>
          <cell r="F31" t="str">
            <v>m³</v>
          </cell>
          <cell r="G31">
            <v>61000</v>
          </cell>
          <cell r="H31">
            <v>21302</v>
          </cell>
          <cell r="I31">
            <v>1299422000</v>
          </cell>
          <cell r="J31" t="str">
            <v>TS.2.10</v>
          </cell>
        </row>
        <row r="32">
          <cell r="B32" t="str">
            <v>B3.2</v>
          </cell>
          <cell r="E32" t="str">
            <v>Embankment</v>
          </cell>
          <cell r="F32" t="str">
            <v>m³</v>
          </cell>
          <cell r="G32">
            <v>338000</v>
          </cell>
          <cell r="H32">
            <v>5574</v>
          </cell>
          <cell r="I32">
            <v>1884012000</v>
          </cell>
          <cell r="J32" t="str">
            <v>TS.2.10</v>
          </cell>
        </row>
        <row r="34">
          <cell r="B34" t="str">
            <v>B3.3</v>
          </cell>
          <cell r="E34" t="str">
            <v>Gravel pavement, 200 mm thick</v>
          </cell>
          <cell r="F34" t="str">
            <v>m³</v>
          </cell>
          <cell r="G34">
            <v>9430</v>
          </cell>
          <cell r="H34">
            <v>77757</v>
          </cell>
          <cell r="I34">
            <v>733248510</v>
          </cell>
          <cell r="J34" t="str">
            <v>TS.7.09</v>
          </cell>
        </row>
        <row r="35">
          <cell r="B35" t="str">
            <v>B3.4</v>
          </cell>
          <cell r="E35" t="str">
            <v>Maintenance marker post</v>
          </cell>
          <cell r="F35" t="str">
            <v>nos</v>
          </cell>
          <cell r="G35">
            <v>100</v>
          </cell>
          <cell r="H35">
            <v>165804</v>
          </cell>
          <cell r="I35">
            <v>16580400</v>
          </cell>
          <cell r="J35" t="str">
            <v>TS.12.10</v>
          </cell>
        </row>
        <row r="37">
          <cell r="B37" t="str">
            <v>B4-B5</v>
          </cell>
          <cell r="E37" t="str">
            <v>(Not Applicable)</v>
          </cell>
        </row>
        <row r="39">
          <cell r="B39" t="str">
            <v>B6</v>
          </cell>
          <cell r="E39" t="str">
            <v>FILLING ON RIVER BANK</v>
          </cell>
        </row>
        <row r="40">
          <cell r="B40" t="str">
            <v>B6.1</v>
          </cell>
          <cell r="E40" t="str">
            <v>Soil filling</v>
          </cell>
          <cell r="F40" t="str">
            <v>m³</v>
          </cell>
          <cell r="G40">
            <v>8100</v>
          </cell>
          <cell r="H40">
            <v>5574</v>
          </cell>
          <cell r="I40">
            <v>45149400</v>
          </cell>
          <cell r="J40" t="str">
            <v>TS.2.10</v>
          </cell>
        </row>
        <row r="42">
          <cell r="B42" t="str">
            <v>C</v>
          </cell>
          <cell r="E42" t="str">
            <v xml:space="preserve">SLOPE and RIVERBED PROTECTION WORKS </v>
          </cell>
        </row>
        <row r="43">
          <cell r="B43" t="str">
            <v>C1</v>
          </cell>
          <cell r="E43" t="str">
            <v>PREPARATION WORKS</v>
          </cell>
        </row>
        <row r="44">
          <cell r="B44" t="str">
            <v>C1.1</v>
          </cell>
          <cell r="E44" t="str">
            <v>Coffering and dewatering</v>
          </cell>
          <cell r="F44" t="str">
            <v>ls</v>
          </cell>
          <cell r="G44">
            <v>1</v>
          </cell>
          <cell r="H44">
            <v>59146369</v>
          </cell>
          <cell r="I44">
            <v>59146369</v>
          </cell>
          <cell r="J44" t="str">
            <v>TS.1.04</v>
          </cell>
        </row>
        <row r="45">
          <cell r="B45" t="str">
            <v>C2</v>
          </cell>
          <cell r="E45" t="str">
            <v>SODDING and DIKE</v>
          </cell>
        </row>
        <row r="46">
          <cell r="B46" t="str">
            <v>C2.1</v>
          </cell>
          <cell r="E46" t="str">
            <v>Solid sodding</v>
          </cell>
          <cell r="F46" t="str">
            <v>m²</v>
          </cell>
          <cell r="G46">
            <v>175400</v>
          </cell>
          <cell r="H46">
            <v>6139</v>
          </cell>
          <cell r="I46">
            <v>1076780600</v>
          </cell>
          <cell r="J46" t="str">
            <v>TS.4.14</v>
          </cell>
        </row>
        <row r="47">
          <cell r="B47" t="str">
            <v>C3</v>
          </cell>
          <cell r="E47" t="str">
            <v>REVETMENT - WET STONE MASONRY TYPE (Type-PA and PB)</v>
          </cell>
        </row>
        <row r="48">
          <cell r="B48" t="str">
            <v>C3.1</v>
          </cell>
          <cell r="E48" t="str">
            <v>Excavation (common)</v>
          </cell>
          <cell r="F48" t="str">
            <v>m³</v>
          </cell>
          <cell r="G48">
            <v>7220</v>
          </cell>
          <cell r="H48">
            <v>6921</v>
          </cell>
          <cell r="I48">
            <v>49969620</v>
          </cell>
          <cell r="J48" t="str">
            <v>TS.2.10</v>
          </cell>
        </row>
        <row r="49">
          <cell r="B49" t="str">
            <v>C3.2</v>
          </cell>
          <cell r="E49" t="str">
            <v>Backfill with selected soil</v>
          </cell>
          <cell r="F49" t="str">
            <v>m³</v>
          </cell>
          <cell r="G49">
            <v>110</v>
          </cell>
          <cell r="H49">
            <v>5530</v>
          </cell>
          <cell r="I49">
            <v>608300</v>
          </cell>
          <cell r="J49" t="str">
            <v>TS.2.10</v>
          </cell>
        </row>
        <row r="50">
          <cell r="B50" t="str">
            <v>C3.3</v>
          </cell>
          <cell r="E50" t="str">
            <v>Crusher run bedding</v>
          </cell>
          <cell r="F50" t="str">
            <v>m³</v>
          </cell>
          <cell r="G50">
            <v>2670</v>
          </cell>
          <cell r="H50">
            <v>128530</v>
          </cell>
          <cell r="I50">
            <v>343175100</v>
          </cell>
          <cell r="J50" t="str">
            <v>TS.4.14</v>
          </cell>
        </row>
        <row r="51">
          <cell r="B51" t="str">
            <v>C3.4</v>
          </cell>
          <cell r="E51" t="str">
            <v>Wet stone masonry (1:4) for revetment</v>
          </cell>
          <cell r="F51" t="str">
            <v>m³</v>
          </cell>
          <cell r="G51">
            <v>2680</v>
          </cell>
          <cell r="H51">
            <v>163909</v>
          </cell>
          <cell r="I51">
            <v>439276120</v>
          </cell>
          <cell r="J51" t="str">
            <v>TS.4.14</v>
          </cell>
        </row>
        <row r="52">
          <cell r="B52" t="str">
            <v>C3.5</v>
          </cell>
          <cell r="E52" t="str">
            <v>Cement mortar plastering</v>
          </cell>
          <cell r="F52" t="str">
            <v>m²</v>
          </cell>
          <cell r="G52">
            <v>6330</v>
          </cell>
          <cell r="H52">
            <v>12274</v>
          </cell>
          <cell r="I52">
            <v>77694420</v>
          </cell>
          <cell r="J52" t="str">
            <v>TS.4.14</v>
          </cell>
        </row>
        <row r="53">
          <cell r="B53" t="str">
            <v>C3.6</v>
          </cell>
          <cell r="E53" t="str">
            <v>Concrete, type C1</v>
          </cell>
          <cell r="F53" t="str">
            <v>m³</v>
          </cell>
          <cell r="G53">
            <v>650</v>
          </cell>
          <cell r="H53">
            <v>310964</v>
          </cell>
          <cell r="I53">
            <v>202126600</v>
          </cell>
          <cell r="J53" t="str">
            <v>TS.3.24</v>
          </cell>
        </row>
        <row r="54">
          <cell r="B54" t="str">
            <v>C3.7</v>
          </cell>
          <cell r="E54" t="str">
            <v>Reinforcing steel bar</v>
          </cell>
          <cell r="F54" t="str">
            <v>kg</v>
          </cell>
          <cell r="G54">
            <v>39100</v>
          </cell>
          <cell r="H54">
            <v>3554</v>
          </cell>
          <cell r="I54">
            <v>138961400</v>
          </cell>
          <cell r="J54" t="str">
            <v>TS.3.24</v>
          </cell>
        </row>
        <row r="55">
          <cell r="B55" t="str">
            <v>C3.8</v>
          </cell>
          <cell r="E55" t="str">
            <v>Form work FW1</v>
          </cell>
          <cell r="F55" t="str">
            <v>m²</v>
          </cell>
          <cell r="G55">
            <v>4200</v>
          </cell>
          <cell r="H55">
            <v>70833</v>
          </cell>
          <cell r="I55">
            <v>297498600</v>
          </cell>
          <cell r="J55" t="str">
            <v>TS.3.24</v>
          </cell>
        </row>
        <row r="56">
          <cell r="B56" t="str">
            <v>C3.9</v>
          </cell>
          <cell r="E56" t="str">
            <v>Log pile, dia. 150 mm L = 3.0 m and 2.0 m</v>
          </cell>
          <cell r="F56" t="str">
            <v>m</v>
          </cell>
          <cell r="G56">
            <v>1330</v>
          </cell>
          <cell r="H56">
            <v>7918</v>
          </cell>
          <cell r="I56">
            <v>10530940</v>
          </cell>
          <cell r="J56" t="str">
            <v>TS.5.07</v>
          </cell>
        </row>
        <row r="57">
          <cell r="B57" t="str">
            <v>C3.10</v>
          </cell>
          <cell r="E57" t="str">
            <v>Elastic joint filler, 10 mm thick</v>
          </cell>
          <cell r="F57" t="str">
            <v>m²</v>
          </cell>
          <cell r="G57">
            <v>420</v>
          </cell>
          <cell r="H57">
            <v>107210</v>
          </cell>
          <cell r="I57">
            <v>45028200</v>
          </cell>
          <cell r="J57" t="str">
            <v>TS.3.24</v>
          </cell>
        </row>
        <row r="58">
          <cell r="B58" t="str">
            <v>C3.11</v>
          </cell>
          <cell r="E58" t="str">
            <v>Gabion cylinder</v>
          </cell>
          <cell r="F58" t="str">
            <v>m³</v>
          </cell>
          <cell r="G58">
            <v>390</v>
          </cell>
          <cell r="H58">
            <v>200326</v>
          </cell>
          <cell r="I58">
            <v>78127140</v>
          </cell>
          <cell r="J58" t="str">
            <v>TS.4.14</v>
          </cell>
        </row>
        <row r="59">
          <cell r="B59" t="str">
            <v>C3.12</v>
          </cell>
          <cell r="E59" t="str">
            <v>Cobble stone filling</v>
          </cell>
          <cell r="F59" t="str">
            <v>m³</v>
          </cell>
          <cell r="G59">
            <v>100</v>
          </cell>
          <cell r="H59">
            <v>57655</v>
          </cell>
          <cell r="I59">
            <v>5765500</v>
          </cell>
          <cell r="J59" t="str">
            <v>TS.4.14</v>
          </cell>
        </row>
        <row r="60">
          <cell r="B60" t="str">
            <v>C4</v>
          </cell>
          <cell r="E60" t="str">
            <v>GABION TYPE FOOT PROTECTION</v>
          </cell>
        </row>
        <row r="61">
          <cell r="B61" t="str">
            <v>C4.1</v>
          </cell>
          <cell r="E61" t="str">
            <v>Cobble stone filling</v>
          </cell>
          <cell r="F61" t="str">
            <v>m³</v>
          </cell>
          <cell r="G61">
            <v>120</v>
          </cell>
          <cell r="H61">
            <v>57655</v>
          </cell>
          <cell r="I61">
            <v>6918600</v>
          </cell>
          <cell r="J61" t="str">
            <v>TS.4.14</v>
          </cell>
        </row>
        <row r="62">
          <cell r="B62" t="str">
            <v>C4.2</v>
          </cell>
          <cell r="E62" t="str">
            <v>Gabion mattress</v>
          </cell>
          <cell r="F62" t="str">
            <v>m³</v>
          </cell>
          <cell r="G62">
            <v>820</v>
          </cell>
          <cell r="H62">
            <v>283607</v>
          </cell>
          <cell r="I62">
            <v>232557740</v>
          </cell>
          <cell r="J62" t="str">
            <v>TS.4.14</v>
          </cell>
        </row>
        <row r="63">
          <cell r="B63" t="str">
            <v>C5</v>
          </cell>
          <cell r="E63" t="str">
            <v>REVETMENT - GABION CYLINDER TYPE</v>
          </cell>
        </row>
        <row r="64">
          <cell r="B64" t="str">
            <v>C5.1</v>
          </cell>
          <cell r="E64" t="str">
            <v>Excavation (common)</v>
          </cell>
          <cell r="F64" t="str">
            <v>m³</v>
          </cell>
          <cell r="G64">
            <v>340</v>
          </cell>
          <cell r="H64">
            <v>6921</v>
          </cell>
          <cell r="I64">
            <v>2353140</v>
          </cell>
          <cell r="J64" t="str">
            <v>TS.2.10</v>
          </cell>
        </row>
        <row r="65">
          <cell r="B65" t="str">
            <v>C5.2</v>
          </cell>
          <cell r="E65" t="str">
            <v>Gabion cylinder</v>
          </cell>
          <cell r="F65" t="str">
            <v>m³</v>
          </cell>
          <cell r="G65">
            <v>3010</v>
          </cell>
          <cell r="H65">
            <v>200326</v>
          </cell>
          <cell r="I65">
            <v>602981260</v>
          </cell>
          <cell r="J65" t="str">
            <v>TS.4.14</v>
          </cell>
        </row>
        <row r="66">
          <cell r="B66" t="str">
            <v>C5.3</v>
          </cell>
          <cell r="E66" t="str">
            <v>Cobble stone filling</v>
          </cell>
          <cell r="F66" t="str">
            <v>m³</v>
          </cell>
          <cell r="G66">
            <v>140</v>
          </cell>
          <cell r="H66">
            <v>57655</v>
          </cell>
          <cell r="I66">
            <v>8071700</v>
          </cell>
          <cell r="J66" t="str">
            <v>TS.4.14</v>
          </cell>
        </row>
        <row r="67">
          <cell r="B67" t="str">
            <v>C5.4</v>
          </cell>
          <cell r="E67" t="str">
            <v>Log piles, dia. 150 mm, L =  2.0 m</v>
          </cell>
          <cell r="F67" t="str">
            <v>m</v>
          </cell>
          <cell r="G67">
            <v>2280</v>
          </cell>
          <cell r="H67">
            <v>7918</v>
          </cell>
          <cell r="I67">
            <v>18053040</v>
          </cell>
          <cell r="J67" t="str">
            <v>TS.5.07</v>
          </cell>
        </row>
        <row r="68">
          <cell r="B68" t="str">
            <v>C5.5</v>
          </cell>
          <cell r="E68" t="str">
            <v>Palm fiber filter</v>
          </cell>
          <cell r="F68" t="str">
            <v>m²</v>
          </cell>
          <cell r="G68">
            <v>5430</v>
          </cell>
          <cell r="H68">
            <v>1086</v>
          </cell>
          <cell r="I68">
            <v>5896980</v>
          </cell>
          <cell r="J68" t="str">
            <v>TS.4.14</v>
          </cell>
        </row>
        <row r="70">
          <cell r="B70" t="str">
            <v>C6 - C13</v>
          </cell>
          <cell r="E70" t="str">
            <v>(Not Applicable)</v>
          </cell>
        </row>
        <row r="72">
          <cell r="B72" t="str">
            <v>D</v>
          </cell>
          <cell r="E72" t="str">
            <v>RIPARIAN STRUCTURES</v>
          </cell>
        </row>
        <row r="73">
          <cell r="B73" t="str">
            <v>D1</v>
          </cell>
          <cell r="E73" t="str">
            <v>PREPARATION WORKS for REPARIAN STRUCTURES</v>
          </cell>
        </row>
        <row r="74">
          <cell r="B74" t="str">
            <v>D1.1</v>
          </cell>
          <cell r="E74" t="str">
            <v>Coffering and dewatering</v>
          </cell>
          <cell r="F74" t="str">
            <v>ls</v>
          </cell>
          <cell r="G74">
            <v>1</v>
          </cell>
          <cell r="H74">
            <v>116922339</v>
          </cell>
          <cell r="I74">
            <v>116922339</v>
          </cell>
          <cell r="J74" t="str">
            <v>TS.1.04</v>
          </cell>
        </row>
        <row r="75">
          <cell r="B75" t="str">
            <v>D1.2</v>
          </cell>
          <cell r="E75" t="str">
            <v>Clearing and grubbing</v>
          </cell>
          <cell r="F75" t="str">
            <v>m²</v>
          </cell>
          <cell r="G75">
            <v>550</v>
          </cell>
          <cell r="H75">
            <v>4019</v>
          </cell>
          <cell r="I75">
            <v>2210450</v>
          </cell>
          <cell r="J75" t="str">
            <v>TS.2.10</v>
          </cell>
        </row>
        <row r="76">
          <cell r="B76" t="str">
            <v>D2</v>
          </cell>
          <cell r="E76" t="str">
            <v>GROUND SILL (PE55+00)</v>
          </cell>
        </row>
        <row r="77">
          <cell r="B77" t="str">
            <v>D2.1</v>
          </cell>
          <cell r="E77" t="str">
            <v>Excavation (common)</v>
          </cell>
          <cell r="F77" t="str">
            <v>m³</v>
          </cell>
          <cell r="G77">
            <v>450</v>
          </cell>
          <cell r="H77">
            <v>6921</v>
          </cell>
          <cell r="I77">
            <v>3114450</v>
          </cell>
          <cell r="J77" t="str">
            <v>TS.2.10</v>
          </cell>
        </row>
        <row r="78">
          <cell r="B78" t="str">
            <v>D2.2</v>
          </cell>
          <cell r="E78" t="str">
            <v>Backfill with selected soil</v>
          </cell>
          <cell r="F78" t="str">
            <v>m³</v>
          </cell>
          <cell r="G78">
            <v>80</v>
          </cell>
          <cell r="H78">
            <v>5530</v>
          </cell>
          <cell r="I78">
            <v>442400</v>
          </cell>
          <cell r="J78" t="str">
            <v>TS.2.10</v>
          </cell>
        </row>
        <row r="79">
          <cell r="B79" t="str">
            <v>D2.3</v>
          </cell>
          <cell r="E79" t="str">
            <v>Supply and driving of steel sheet piles, type II</v>
          </cell>
          <cell r="F79" t="str">
            <v>m²</v>
          </cell>
          <cell r="G79">
            <v>130</v>
          </cell>
          <cell r="H79">
            <v>759138</v>
          </cell>
          <cell r="I79">
            <v>98687940</v>
          </cell>
          <cell r="J79" t="str">
            <v>TS.5.07</v>
          </cell>
        </row>
        <row r="80">
          <cell r="B80" t="str">
            <v>D2.4</v>
          </cell>
          <cell r="E80" t="str">
            <v>Supply and driving of PC  piles, dia. 300 mm type A</v>
          </cell>
          <cell r="F80" t="str">
            <v>m</v>
          </cell>
          <cell r="G80">
            <v>320</v>
          </cell>
          <cell r="H80">
            <v>143685</v>
          </cell>
          <cell r="I80">
            <v>45979200</v>
          </cell>
          <cell r="J80" t="str">
            <v>TS.5.07</v>
          </cell>
        </row>
        <row r="81">
          <cell r="B81" t="str">
            <v>D2.5</v>
          </cell>
          <cell r="E81" t="str">
            <v>Concrete, type C1</v>
          </cell>
          <cell r="F81" t="str">
            <v>m³</v>
          </cell>
          <cell r="G81">
            <v>100</v>
          </cell>
          <cell r="H81">
            <v>313783</v>
          </cell>
          <cell r="I81">
            <v>31378300</v>
          </cell>
          <cell r="J81" t="str">
            <v>TS.3.24</v>
          </cell>
        </row>
        <row r="82">
          <cell r="B82" t="str">
            <v>D2.6</v>
          </cell>
          <cell r="E82" t="str">
            <v>Concrete, type E</v>
          </cell>
          <cell r="F82" t="str">
            <v>m³</v>
          </cell>
          <cell r="G82">
            <v>18</v>
          </cell>
          <cell r="H82">
            <v>291125</v>
          </cell>
          <cell r="I82">
            <v>5240250</v>
          </cell>
          <cell r="J82" t="str">
            <v>TS.3.24</v>
          </cell>
        </row>
        <row r="83">
          <cell r="B83" t="str">
            <v>D2.7</v>
          </cell>
          <cell r="E83" t="str">
            <v>Form work FW1</v>
          </cell>
          <cell r="F83" t="str">
            <v>m²</v>
          </cell>
          <cell r="G83">
            <v>79</v>
          </cell>
          <cell r="H83">
            <v>70833</v>
          </cell>
          <cell r="I83">
            <v>5595807</v>
          </cell>
          <cell r="J83" t="str">
            <v>TS.3.24</v>
          </cell>
        </row>
        <row r="84">
          <cell r="B84" t="str">
            <v>D2.8</v>
          </cell>
          <cell r="E84" t="str">
            <v>Reinforcing steel bar</v>
          </cell>
          <cell r="F84" t="str">
            <v>kg</v>
          </cell>
          <cell r="G84">
            <v>92</v>
          </cell>
          <cell r="H84">
            <v>3554</v>
          </cell>
          <cell r="I84">
            <v>326968</v>
          </cell>
          <cell r="J84" t="str">
            <v>TS.3.24</v>
          </cell>
        </row>
        <row r="85">
          <cell r="B85" t="str">
            <v>D2.9</v>
          </cell>
          <cell r="E85" t="str">
            <v>Gabion mattress</v>
          </cell>
          <cell r="F85" t="str">
            <v>m³</v>
          </cell>
          <cell r="G85">
            <v>180</v>
          </cell>
          <cell r="H85">
            <v>283607</v>
          </cell>
          <cell r="I85">
            <v>51049260</v>
          </cell>
          <cell r="J85" t="str">
            <v>TS.4.14</v>
          </cell>
        </row>
        <row r="86">
          <cell r="B86" t="str">
            <v>D3</v>
          </cell>
          <cell r="E86" t="str">
            <v>(Not Applicable)</v>
          </cell>
        </row>
        <row r="87">
          <cell r="B87" t="str">
            <v>D4</v>
          </cell>
          <cell r="E87" t="str">
            <v>APPROACH STEPS, TYPE PA (24 place)</v>
          </cell>
        </row>
        <row r="88">
          <cell r="B88" t="str">
            <v>D4.1</v>
          </cell>
          <cell r="E88" t="str">
            <v>Excavation (common)</v>
          </cell>
          <cell r="F88" t="str">
            <v>m³</v>
          </cell>
          <cell r="G88">
            <v>1810</v>
          </cell>
          <cell r="H88">
            <v>6921</v>
          </cell>
          <cell r="I88">
            <v>12527010</v>
          </cell>
          <cell r="J88" t="str">
            <v>TS.2.10</v>
          </cell>
        </row>
        <row r="89">
          <cell r="B89" t="str">
            <v>D4.2</v>
          </cell>
          <cell r="E89" t="str">
            <v>Backfill with selected soil</v>
          </cell>
          <cell r="F89" t="str">
            <v>m³</v>
          </cell>
          <cell r="G89">
            <v>12</v>
          </cell>
          <cell r="H89">
            <v>5530</v>
          </cell>
          <cell r="I89">
            <v>66360</v>
          </cell>
          <cell r="J89" t="str">
            <v>TS.2.10</v>
          </cell>
        </row>
        <row r="90">
          <cell r="B90" t="str">
            <v>D4.3</v>
          </cell>
          <cell r="E90" t="str">
            <v>Log pile, dia. 150 mm L = 3.0 mm and 2.0 m</v>
          </cell>
          <cell r="F90" t="str">
            <v>m</v>
          </cell>
          <cell r="G90">
            <v>1150</v>
          </cell>
          <cell r="H90">
            <v>7918</v>
          </cell>
          <cell r="I90">
            <v>9105700</v>
          </cell>
          <cell r="J90" t="str">
            <v>TS.5.07</v>
          </cell>
        </row>
        <row r="91">
          <cell r="B91" t="str">
            <v>D4.4</v>
          </cell>
          <cell r="E91" t="str">
            <v>Concrete, type C1</v>
          </cell>
          <cell r="F91" t="str">
            <v>m³</v>
          </cell>
          <cell r="G91">
            <v>29</v>
          </cell>
          <cell r="H91">
            <v>321937</v>
          </cell>
          <cell r="I91">
            <v>9336173</v>
          </cell>
          <cell r="J91" t="str">
            <v>TS.3.24</v>
          </cell>
        </row>
        <row r="92">
          <cell r="B92" t="str">
            <v>D4.5</v>
          </cell>
          <cell r="E92" t="str">
            <v>Concrete, type C2</v>
          </cell>
          <cell r="F92" t="str">
            <v>m³</v>
          </cell>
          <cell r="G92">
            <v>210</v>
          </cell>
          <cell r="H92">
            <v>312038</v>
          </cell>
          <cell r="I92">
            <v>65527980</v>
          </cell>
          <cell r="J92" t="str">
            <v>TS.3.24</v>
          </cell>
        </row>
        <row r="93">
          <cell r="B93" t="str">
            <v>D4.6</v>
          </cell>
          <cell r="E93" t="str">
            <v>Concrete, type E</v>
          </cell>
          <cell r="F93" t="str">
            <v>m³</v>
          </cell>
          <cell r="G93">
            <v>20</v>
          </cell>
          <cell r="H93">
            <v>290200</v>
          </cell>
          <cell r="I93">
            <v>5804000</v>
          </cell>
          <cell r="J93" t="str">
            <v>TS.3.24</v>
          </cell>
        </row>
        <row r="94">
          <cell r="B94" t="str">
            <v>D4.7</v>
          </cell>
          <cell r="E94" t="str">
            <v>Reinforcing steel bar</v>
          </cell>
          <cell r="F94" t="str">
            <v>kg</v>
          </cell>
          <cell r="G94">
            <v>1090</v>
          </cell>
          <cell r="H94">
            <v>3554</v>
          </cell>
          <cell r="I94">
            <v>3873860</v>
          </cell>
          <cell r="J94" t="str">
            <v>TS.3.24</v>
          </cell>
        </row>
        <row r="95">
          <cell r="B95" t="str">
            <v>D4.8</v>
          </cell>
          <cell r="E95" t="str">
            <v>Form work FW1</v>
          </cell>
          <cell r="F95" t="str">
            <v>m²</v>
          </cell>
          <cell r="G95">
            <v>670</v>
          </cell>
          <cell r="H95">
            <v>70833</v>
          </cell>
          <cell r="I95">
            <v>47458110</v>
          </cell>
          <cell r="J95" t="str">
            <v>TS.3.24</v>
          </cell>
        </row>
        <row r="96">
          <cell r="B96" t="str">
            <v>D4.9</v>
          </cell>
          <cell r="E96" t="str">
            <v xml:space="preserve">Wet stone masonry (1:4) for revetment </v>
          </cell>
          <cell r="F96" t="str">
            <v>m³</v>
          </cell>
          <cell r="G96">
            <v>170</v>
          </cell>
          <cell r="H96">
            <v>163909</v>
          </cell>
          <cell r="I96">
            <v>27864530</v>
          </cell>
          <cell r="J96" t="str">
            <v>TS.4.14</v>
          </cell>
        </row>
        <row r="97">
          <cell r="B97" t="str">
            <v>D4.10</v>
          </cell>
          <cell r="E97" t="str">
            <v>Crusher run bedding</v>
          </cell>
          <cell r="F97" t="str">
            <v>m³</v>
          </cell>
          <cell r="G97">
            <v>270</v>
          </cell>
          <cell r="H97">
            <v>128530</v>
          </cell>
          <cell r="I97">
            <v>34703100</v>
          </cell>
          <cell r="J97" t="str">
            <v>TS.4.14</v>
          </cell>
        </row>
        <row r="98">
          <cell r="B98" t="str">
            <v>D4.11</v>
          </cell>
          <cell r="E98" t="str">
            <v>Plastering</v>
          </cell>
          <cell r="F98" t="str">
            <v>m²</v>
          </cell>
          <cell r="G98">
            <v>570</v>
          </cell>
          <cell r="H98">
            <v>10137</v>
          </cell>
          <cell r="I98">
            <v>5778090</v>
          </cell>
          <cell r="J98" t="str">
            <v>TS.4.14</v>
          </cell>
        </row>
        <row r="99">
          <cell r="B99" t="str">
            <v>D4.12</v>
          </cell>
          <cell r="E99" t="str">
            <v>Gabion mattress</v>
          </cell>
          <cell r="F99" t="str">
            <v>m³</v>
          </cell>
          <cell r="G99">
            <v>360</v>
          </cell>
          <cell r="H99">
            <v>283607</v>
          </cell>
          <cell r="I99">
            <v>102098520</v>
          </cell>
          <cell r="J99" t="str">
            <v>TS.4.14</v>
          </cell>
        </row>
        <row r="100">
          <cell r="B100" t="str">
            <v>D4.13</v>
          </cell>
          <cell r="E100" t="str">
            <v>Gabion cylinder</v>
          </cell>
          <cell r="F100" t="str">
            <v>m³</v>
          </cell>
          <cell r="G100">
            <v>330</v>
          </cell>
          <cell r="H100">
            <v>200326</v>
          </cell>
          <cell r="I100">
            <v>66107580</v>
          </cell>
          <cell r="J100" t="str">
            <v>TS.4.14</v>
          </cell>
        </row>
        <row r="101">
          <cell r="B101" t="str">
            <v>D4.14</v>
          </cell>
          <cell r="E101" t="str">
            <v>Cobble stone filling</v>
          </cell>
          <cell r="F101" t="str">
            <v>m³</v>
          </cell>
          <cell r="G101">
            <v>150</v>
          </cell>
          <cell r="H101">
            <v>57655</v>
          </cell>
          <cell r="I101">
            <v>8648250</v>
          </cell>
          <cell r="J101" t="str">
            <v>TS.4.14</v>
          </cell>
        </row>
        <row r="102">
          <cell r="B102" t="str">
            <v>D5</v>
          </cell>
          <cell r="E102" t="str">
            <v>APPROACH STEPS, TYPE PB (26 place)</v>
          </cell>
        </row>
        <row r="103">
          <cell r="B103" t="str">
            <v>D5.1</v>
          </cell>
          <cell r="E103" t="str">
            <v>Excavation (common)</v>
          </cell>
          <cell r="F103" t="str">
            <v>m³</v>
          </cell>
          <cell r="G103">
            <v>290</v>
          </cell>
          <cell r="H103">
            <v>6921</v>
          </cell>
          <cell r="I103">
            <v>2007090</v>
          </cell>
          <cell r="J103" t="str">
            <v>TS.2.10</v>
          </cell>
        </row>
        <row r="104">
          <cell r="B104" t="str">
            <v>D5.2</v>
          </cell>
          <cell r="E104" t="str">
            <v>Backfill with selected soil</v>
          </cell>
          <cell r="F104" t="str">
            <v>m³</v>
          </cell>
          <cell r="G104">
            <v>22</v>
          </cell>
          <cell r="H104">
            <v>5530</v>
          </cell>
          <cell r="I104">
            <v>121660</v>
          </cell>
          <cell r="J104" t="str">
            <v>TS.2.10</v>
          </cell>
        </row>
        <row r="105">
          <cell r="B105" t="str">
            <v>D5.3</v>
          </cell>
          <cell r="E105" t="str">
            <v>Concrete, type C1</v>
          </cell>
          <cell r="F105" t="str">
            <v>m³</v>
          </cell>
          <cell r="G105">
            <v>15</v>
          </cell>
          <cell r="H105">
            <v>332655</v>
          </cell>
          <cell r="I105">
            <v>4989825</v>
          </cell>
          <cell r="J105" t="str">
            <v>TS.3.24</v>
          </cell>
        </row>
        <row r="106">
          <cell r="B106" t="str">
            <v>D5.4</v>
          </cell>
          <cell r="E106" t="str">
            <v>Concrete, type C2</v>
          </cell>
          <cell r="F106" t="str">
            <v>m³</v>
          </cell>
          <cell r="G106">
            <v>100</v>
          </cell>
          <cell r="H106">
            <v>313783</v>
          </cell>
          <cell r="I106">
            <v>31378300</v>
          </cell>
          <cell r="J106" t="str">
            <v>TS.3.24</v>
          </cell>
        </row>
        <row r="107">
          <cell r="B107" t="str">
            <v>D5.5</v>
          </cell>
          <cell r="E107" t="str">
            <v>Form work FW1</v>
          </cell>
          <cell r="F107" t="str">
            <v>m²</v>
          </cell>
          <cell r="G107">
            <v>610</v>
          </cell>
          <cell r="H107">
            <v>70833</v>
          </cell>
          <cell r="I107">
            <v>43208130</v>
          </cell>
          <cell r="J107" t="str">
            <v>TS.3.24</v>
          </cell>
        </row>
        <row r="108">
          <cell r="B108" t="str">
            <v>D5.6</v>
          </cell>
          <cell r="E108" t="str">
            <v>Crusher run bedding</v>
          </cell>
          <cell r="F108" t="str">
            <v>m³</v>
          </cell>
          <cell r="G108">
            <v>99</v>
          </cell>
          <cell r="H108">
            <v>128530</v>
          </cell>
          <cell r="I108">
            <v>12724470</v>
          </cell>
          <cell r="J108" t="str">
            <v>TS.4.14</v>
          </cell>
        </row>
        <row r="109">
          <cell r="B109" t="str">
            <v>D6 - D11</v>
          </cell>
          <cell r="E109" t="str">
            <v>(Not Applicable)</v>
          </cell>
        </row>
        <row r="110">
          <cell r="B110" t="str">
            <v>E</v>
          </cell>
          <cell r="E110" t="str">
            <v>DRAINAGE CHANNEL and OUTLET WORKS</v>
          </cell>
        </row>
        <row r="111">
          <cell r="B111" t="str">
            <v>E1</v>
          </cell>
          <cell r="E111" t="str">
            <v>PREPARATION WORKS for DRAINAGE WORKS</v>
          </cell>
        </row>
        <row r="112">
          <cell r="B112" t="str">
            <v>E1.1</v>
          </cell>
          <cell r="E112" t="str">
            <v>Coffering and dewatering</v>
          </cell>
          <cell r="F112" t="str">
            <v>ls</v>
          </cell>
          <cell r="G112">
            <v>1</v>
          </cell>
          <cell r="H112">
            <v>16731927</v>
          </cell>
          <cell r="I112">
            <v>16731927</v>
          </cell>
          <cell r="J112" t="str">
            <v>TS.1.04</v>
          </cell>
        </row>
        <row r="113">
          <cell r="B113" t="str">
            <v>E1.2</v>
          </cell>
          <cell r="E113" t="str">
            <v>Clearing and grubbing</v>
          </cell>
          <cell r="F113" t="str">
            <v>m²</v>
          </cell>
          <cell r="G113">
            <v>280</v>
          </cell>
          <cell r="H113">
            <v>4019</v>
          </cell>
          <cell r="I113">
            <v>1125320</v>
          </cell>
          <cell r="J113" t="str">
            <v>TS.2.10</v>
          </cell>
        </row>
        <row r="114">
          <cell r="B114" t="str">
            <v>E2</v>
          </cell>
          <cell r="E114" t="str">
            <v>DRAINAGE OUTLET SL1, PIPE CULVERT with FLAP GATE</v>
          </cell>
        </row>
        <row r="115">
          <cell r="B115" t="str">
            <v>E2.1</v>
          </cell>
          <cell r="E115" t="str">
            <v>Excavation (common)</v>
          </cell>
          <cell r="F115" t="str">
            <v>m³</v>
          </cell>
          <cell r="G115">
            <v>1300</v>
          </cell>
          <cell r="H115">
            <v>6921</v>
          </cell>
          <cell r="I115">
            <v>8997300</v>
          </cell>
          <cell r="J115" t="str">
            <v>TS.2.10</v>
          </cell>
        </row>
        <row r="116">
          <cell r="B116" t="str">
            <v>E2.2</v>
          </cell>
          <cell r="E116" t="str">
            <v>Backfill with selected soil</v>
          </cell>
          <cell r="F116" t="str">
            <v>m³</v>
          </cell>
          <cell r="G116">
            <v>220</v>
          </cell>
          <cell r="H116">
            <v>5530</v>
          </cell>
          <cell r="I116">
            <v>1216600</v>
          </cell>
          <cell r="J116" t="str">
            <v>TS.2.10</v>
          </cell>
        </row>
        <row r="117">
          <cell r="B117" t="str">
            <v>E2.3</v>
          </cell>
          <cell r="E117" t="str">
            <v>Crusher run bedding</v>
          </cell>
          <cell r="F117" t="str">
            <v>m³</v>
          </cell>
          <cell r="G117">
            <v>150</v>
          </cell>
          <cell r="H117">
            <v>128530</v>
          </cell>
          <cell r="I117">
            <v>19279500</v>
          </cell>
          <cell r="J117" t="str">
            <v>TS.4.14</v>
          </cell>
        </row>
        <row r="118">
          <cell r="B118" t="str">
            <v>E2.4</v>
          </cell>
          <cell r="E118" t="str">
            <v>Log pile, dia. 150 mm L = 3.0 m</v>
          </cell>
          <cell r="F118" t="str">
            <v>m</v>
          </cell>
          <cell r="G118">
            <v>220</v>
          </cell>
          <cell r="H118">
            <v>7918</v>
          </cell>
          <cell r="I118">
            <v>1741960</v>
          </cell>
          <cell r="J118" t="str">
            <v>TS.5.07</v>
          </cell>
        </row>
        <row r="119">
          <cell r="B119" t="str">
            <v>E2.5</v>
          </cell>
          <cell r="E119" t="str">
            <v>Wet stone masonry (1:4) for revetment</v>
          </cell>
          <cell r="F119" t="str">
            <v>m³</v>
          </cell>
          <cell r="G119">
            <v>130</v>
          </cell>
          <cell r="H119">
            <v>163909</v>
          </cell>
          <cell r="I119">
            <v>21308170</v>
          </cell>
          <cell r="J119" t="str">
            <v>TS.4.14</v>
          </cell>
        </row>
        <row r="120">
          <cell r="B120" t="str">
            <v>E2.6</v>
          </cell>
          <cell r="E120" t="str">
            <v>Cement mortar plastering</v>
          </cell>
          <cell r="F120" t="str">
            <v>m²</v>
          </cell>
          <cell r="G120">
            <v>510</v>
          </cell>
          <cell r="H120">
            <v>12274</v>
          </cell>
          <cell r="I120">
            <v>6259740</v>
          </cell>
          <cell r="J120" t="str">
            <v>TS.4.14</v>
          </cell>
        </row>
        <row r="121">
          <cell r="B121" t="str">
            <v>E2.7</v>
          </cell>
          <cell r="E121" t="str">
            <v>Weep hole, dia. 50 mm</v>
          </cell>
          <cell r="F121" t="str">
            <v>nos</v>
          </cell>
          <cell r="G121">
            <v>74</v>
          </cell>
          <cell r="H121">
            <v>36874</v>
          </cell>
          <cell r="I121">
            <v>2728676</v>
          </cell>
          <cell r="J121" t="str">
            <v>TS.4.14</v>
          </cell>
        </row>
        <row r="122">
          <cell r="B122" t="str">
            <v>E2.8</v>
          </cell>
          <cell r="E122" t="str">
            <v>Dowel bar, dia. 19 mm L = 600 mm</v>
          </cell>
          <cell r="F122" t="str">
            <v>kg</v>
          </cell>
          <cell r="G122">
            <v>5</v>
          </cell>
          <cell r="H122">
            <v>11285</v>
          </cell>
          <cell r="I122">
            <v>56425</v>
          </cell>
          <cell r="J122" t="str">
            <v>TS.3.24</v>
          </cell>
        </row>
        <row r="123">
          <cell r="B123" t="str">
            <v>E2.9</v>
          </cell>
          <cell r="E123" t="str">
            <v>Water stop, 30 cm</v>
          </cell>
          <cell r="F123" t="str">
            <v>m</v>
          </cell>
          <cell r="G123">
            <v>2</v>
          </cell>
          <cell r="H123">
            <v>128471</v>
          </cell>
          <cell r="I123">
            <v>256942</v>
          </cell>
          <cell r="J123" t="str">
            <v>TS.3.24</v>
          </cell>
        </row>
        <row r="124">
          <cell r="B124" t="str">
            <v>E2.10</v>
          </cell>
          <cell r="E124" t="str">
            <v>Concrete, type C2</v>
          </cell>
          <cell r="F124" t="str">
            <v>m³</v>
          </cell>
          <cell r="G124">
            <v>93</v>
          </cell>
          <cell r="H124">
            <v>314033</v>
          </cell>
          <cell r="I124">
            <v>29205069</v>
          </cell>
          <cell r="J124" t="str">
            <v>TS.3.24</v>
          </cell>
        </row>
        <row r="125">
          <cell r="B125" t="str">
            <v>E2.11</v>
          </cell>
          <cell r="E125" t="str">
            <v>Concrete, type E</v>
          </cell>
          <cell r="F125" t="str">
            <v>m³</v>
          </cell>
          <cell r="G125">
            <v>5</v>
          </cell>
          <cell r="H125">
            <v>315179</v>
          </cell>
          <cell r="I125">
            <v>1575895</v>
          </cell>
          <cell r="J125" t="str">
            <v>TS.3.24</v>
          </cell>
        </row>
        <row r="126">
          <cell r="B126" t="str">
            <v>E2.12</v>
          </cell>
          <cell r="E126" t="str">
            <v>Reinforcing steel bar</v>
          </cell>
          <cell r="F126" t="str">
            <v>kg</v>
          </cell>
          <cell r="G126">
            <v>3600</v>
          </cell>
          <cell r="H126">
            <v>3554</v>
          </cell>
          <cell r="I126">
            <v>12794400</v>
          </cell>
          <cell r="J126" t="str">
            <v>TS.3.24</v>
          </cell>
        </row>
        <row r="127">
          <cell r="B127" t="str">
            <v>E2.13</v>
          </cell>
          <cell r="E127" t="str">
            <v>Formwork FW1</v>
          </cell>
          <cell r="F127" t="str">
            <v>m²</v>
          </cell>
          <cell r="G127">
            <v>420</v>
          </cell>
          <cell r="H127">
            <v>70833</v>
          </cell>
          <cell r="I127">
            <v>29749860</v>
          </cell>
          <cell r="J127" t="str">
            <v>TS.3.24</v>
          </cell>
        </row>
        <row r="128">
          <cell r="B128" t="str">
            <v>E2.14</v>
          </cell>
          <cell r="E128" t="str">
            <v>Formwork FW2</v>
          </cell>
          <cell r="F128" t="str">
            <v>m²</v>
          </cell>
          <cell r="G128">
            <v>1</v>
          </cell>
          <cell r="H128">
            <v>84938</v>
          </cell>
          <cell r="I128">
            <v>84938</v>
          </cell>
          <cell r="J128" t="str">
            <v>TS.3.24</v>
          </cell>
        </row>
        <row r="129">
          <cell r="B129" t="str">
            <v>E2.15</v>
          </cell>
          <cell r="E129" t="str">
            <v>Elastic joint filler, 10 mm thick</v>
          </cell>
          <cell r="F129" t="str">
            <v>m²</v>
          </cell>
          <cell r="G129">
            <v>30</v>
          </cell>
          <cell r="H129">
            <v>107210</v>
          </cell>
          <cell r="I129">
            <v>3216300</v>
          </cell>
          <cell r="J129" t="str">
            <v>TS.3.24</v>
          </cell>
        </row>
        <row r="130">
          <cell r="B130" t="str">
            <v>E2.16</v>
          </cell>
          <cell r="E130" t="str">
            <v>RC pipe, dia. 600 mm</v>
          </cell>
          <cell r="F130" t="str">
            <v>m</v>
          </cell>
          <cell r="G130">
            <v>22</v>
          </cell>
          <cell r="H130">
            <v>242005</v>
          </cell>
          <cell r="I130">
            <v>5324110</v>
          </cell>
          <cell r="J130" t="str">
            <v>TS.12.10</v>
          </cell>
        </row>
        <row r="131">
          <cell r="B131" t="str">
            <v>E2.17</v>
          </cell>
          <cell r="E131" t="str">
            <v>Supply and installation of flap gate, dia. 600 mm</v>
          </cell>
          <cell r="F131" t="str">
            <v>set</v>
          </cell>
          <cell r="G131">
            <v>1</v>
          </cell>
          <cell r="H131">
            <v>20059362</v>
          </cell>
          <cell r="I131">
            <v>20059362</v>
          </cell>
          <cell r="J131" t="str">
            <v>TS.6.09</v>
          </cell>
        </row>
        <row r="132">
          <cell r="B132" t="str">
            <v>E3</v>
          </cell>
          <cell r="E132" t="str">
            <v>DRAINAGE OUTLET SL2, BOX CULVERT with SLUICE GATE</v>
          </cell>
        </row>
        <row r="133">
          <cell r="B133" t="str">
            <v>E3.1</v>
          </cell>
          <cell r="E133" t="str">
            <v>Excavation (common)</v>
          </cell>
          <cell r="F133" t="str">
            <v>m³</v>
          </cell>
          <cell r="G133">
            <v>540</v>
          </cell>
          <cell r="H133">
            <v>6921</v>
          </cell>
          <cell r="I133">
            <v>3737340</v>
          </cell>
          <cell r="J133" t="str">
            <v>TS.2.10</v>
          </cell>
        </row>
        <row r="134">
          <cell r="B134" t="str">
            <v>E3.2</v>
          </cell>
          <cell r="E134" t="str">
            <v>Backfill with selected soil</v>
          </cell>
          <cell r="F134" t="str">
            <v>m³</v>
          </cell>
          <cell r="G134">
            <v>600</v>
          </cell>
          <cell r="H134">
            <v>5530</v>
          </cell>
          <cell r="I134">
            <v>3318000</v>
          </cell>
          <cell r="J134" t="str">
            <v>TS.2.10</v>
          </cell>
        </row>
        <row r="135">
          <cell r="B135" t="str">
            <v>E3.3</v>
          </cell>
          <cell r="E135" t="str">
            <v>Crusher run bedding</v>
          </cell>
          <cell r="F135" t="str">
            <v>m³</v>
          </cell>
          <cell r="G135">
            <v>42</v>
          </cell>
          <cell r="H135">
            <v>128530</v>
          </cell>
          <cell r="I135">
            <v>5398260</v>
          </cell>
          <cell r="J135" t="str">
            <v>TS.4.14</v>
          </cell>
        </row>
        <row r="136">
          <cell r="B136" t="str">
            <v>E3.4</v>
          </cell>
          <cell r="E136" t="str">
            <v>Wet stone masonry (1:4) for revetment</v>
          </cell>
          <cell r="F136" t="str">
            <v>m³</v>
          </cell>
          <cell r="G136">
            <v>100</v>
          </cell>
          <cell r="H136">
            <v>163909</v>
          </cell>
          <cell r="I136">
            <v>16390900</v>
          </cell>
          <cell r="J136" t="str">
            <v>TS.4.14</v>
          </cell>
        </row>
        <row r="137">
          <cell r="B137" t="str">
            <v>E3.5</v>
          </cell>
          <cell r="E137" t="str">
            <v>Cement mortar plastering</v>
          </cell>
          <cell r="F137" t="str">
            <v>m²</v>
          </cell>
          <cell r="G137">
            <v>280</v>
          </cell>
          <cell r="H137">
            <v>12274</v>
          </cell>
          <cell r="I137">
            <v>3436720</v>
          </cell>
          <cell r="J137" t="str">
            <v>TS.4.14</v>
          </cell>
        </row>
        <row r="138">
          <cell r="B138" t="str">
            <v>E3.6</v>
          </cell>
          <cell r="E138" t="str">
            <v>Supply and driving of steel sheet piles, type II</v>
          </cell>
          <cell r="F138" t="str">
            <v>m²</v>
          </cell>
          <cell r="G138">
            <v>19</v>
          </cell>
          <cell r="H138">
            <v>754167</v>
          </cell>
          <cell r="I138">
            <v>14329173</v>
          </cell>
          <cell r="J138" t="str">
            <v>TS.5.07</v>
          </cell>
        </row>
        <row r="139">
          <cell r="B139" t="str">
            <v>E3.7</v>
          </cell>
          <cell r="E139" t="str">
            <v>Log pile dia. 150 mm L = 3.0 m</v>
          </cell>
          <cell r="F139" t="str">
            <v>m</v>
          </cell>
          <cell r="G139">
            <v>100</v>
          </cell>
          <cell r="H139">
            <v>7918</v>
          </cell>
          <cell r="I139">
            <v>791800</v>
          </cell>
          <cell r="J139" t="str">
            <v>TS.5.07</v>
          </cell>
        </row>
        <row r="140">
          <cell r="B140" t="str">
            <v>E3.8</v>
          </cell>
          <cell r="E140" t="str">
            <v>Concrete, type C1</v>
          </cell>
          <cell r="F140" t="str">
            <v>m³</v>
          </cell>
          <cell r="G140">
            <v>130</v>
          </cell>
          <cell r="H140">
            <v>313014</v>
          </cell>
          <cell r="I140">
            <v>40691820</v>
          </cell>
          <cell r="J140" t="str">
            <v>TS.3.24</v>
          </cell>
        </row>
        <row r="141">
          <cell r="B141" t="str">
            <v>E3.9</v>
          </cell>
          <cell r="E141" t="str">
            <v>Concrete, type C2</v>
          </cell>
          <cell r="F141" t="str">
            <v>m³</v>
          </cell>
          <cell r="G141">
            <v>57</v>
          </cell>
          <cell r="H141">
            <v>316295</v>
          </cell>
          <cell r="I141">
            <v>18028815</v>
          </cell>
          <cell r="J141" t="str">
            <v>TS.3.24</v>
          </cell>
        </row>
        <row r="142">
          <cell r="B142" t="str">
            <v>E3.10</v>
          </cell>
          <cell r="E142" t="str">
            <v>Concrete, type E</v>
          </cell>
          <cell r="F142" t="str">
            <v>m³</v>
          </cell>
          <cell r="G142">
            <v>35</v>
          </cell>
          <cell r="H142">
            <v>286632</v>
          </cell>
          <cell r="I142">
            <v>10032120</v>
          </cell>
          <cell r="J142" t="str">
            <v>TS.3.24</v>
          </cell>
        </row>
        <row r="143">
          <cell r="B143" t="str">
            <v>E3.11</v>
          </cell>
          <cell r="E143" t="str">
            <v>Reinforcing steel bar</v>
          </cell>
          <cell r="F143" t="str">
            <v>kg</v>
          </cell>
          <cell r="G143">
            <v>11900</v>
          </cell>
          <cell r="H143">
            <v>3554</v>
          </cell>
          <cell r="I143">
            <v>42292600</v>
          </cell>
          <cell r="J143" t="str">
            <v>TS.3.24</v>
          </cell>
        </row>
        <row r="144">
          <cell r="B144" t="str">
            <v>E3.12</v>
          </cell>
          <cell r="E144" t="str">
            <v>Formwork FW1</v>
          </cell>
          <cell r="F144" t="str">
            <v>m²</v>
          </cell>
          <cell r="G144">
            <v>460</v>
          </cell>
          <cell r="H144">
            <v>70833</v>
          </cell>
          <cell r="I144">
            <v>32583180</v>
          </cell>
          <cell r="J144" t="str">
            <v>TS.3.24</v>
          </cell>
        </row>
        <row r="145">
          <cell r="B145" t="str">
            <v>E3.13</v>
          </cell>
          <cell r="E145" t="str">
            <v>Formwork FW2</v>
          </cell>
          <cell r="F145" t="str">
            <v>m²</v>
          </cell>
          <cell r="G145">
            <v>75</v>
          </cell>
          <cell r="H145">
            <v>84938</v>
          </cell>
          <cell r="I145">
            <v>6370350</v>
          </cell>
          <cell r="J145" t="str">
            <v>TS.3.24</v>
          </cell>
        </row>
        <row r="146">
          <cell r="B146" t="str">
            <v>E3.14</v>
          </cell>
          <cell r="E146" t="str">
            <v>Dowel bar</v>
          </cell>
          <cell r="F146" t="str">
            <v>kg</v>
          </cell>
          <cell r="G146">
            <v>14</v>
          </cell>
          <cell r="H146">
            <v>11285</v>
          </cell>
          <cell r="I146">
            <v>157990</v>
          </cell>
          <cell r="J146" t="str">
            <v>TS.3.24</v>
          </cell>
        </row>
        <row r="147">
          <cell r="B147" t="str">
            <v>E3.15</v>
          </cell>
          <cell r="E147" t="str">
            <v>Elastic joint filler, 10 mm thick</v>
          </cell>
          <cell r="F147" t="str">
            <v>m²</v>
          </cell>
          <cell r="G147">
            <v>2</v>
          </cell>
          <cell r="H147">
            <v>107210</v>
          </cell>
          <cell r="I147">
            <v>214420</v>
          </cell>
          <cell r="J147" t="str">
            <v>TS.3.24</v>
          </cell>
        </row>
        <row r="148">
          <cell r="B148" t="str">
            <v>E3.16</v>
          </cell>
          <cell r="E148" t="str">
            <v>Water stop, 30 cm wide</v>
          </cell>
          <cell r="F148" t="str">
            <v>m</v>
          </cell>
          <cell r="G148">
            <v>6</v>
          </cell>
          <cell r="H148">
            <v>128471</v>
          </cell>
          <cell r="I148">
            <v>770826</v>
          </cell>
          <cell r="J148" t="str">
            <v>TS.3.24</v>
          </cell>
        </row>
        <row r="149">
          <cell r="B149" t="str">
            <v>E3.17</v>
          </cell>
          <cell r="E149" t="str">
            <v>Handrail, galvanized steel pipe</v>
          </cell>
          <cell r="F149" t="str">
            <v>kg</v>
          </cell>
          <cell r="G149">
            <v>300</v>
          </cell>
          <cell r="H149">
            <v>8709</v>
          </cell>
          <cell r="I149">
            <v>2612700</v>
          </cell>
          <cell r="J149" t="str">
            <v>TS.6.09</v>
          </cell>
        </row>
        <row r="150">
          <cell r="B150" t="str">
            <v>E3.18</v>
          </cell>
          <cell r="E150" t="str">
            <v>Galvanized steel ladder</v>
          </cell>
          <cell r="F150" t="str">
            <v>kg</v>
          </cell>
          <cell r="G150">
            <v>31</v>
          </cell>
          <cell r="H150">
            <v>5473</v>
          </cell>
          <cell r="I150">
            <v>169663</v>
          </cell>
          <cell r="J150" t="str">
            <v>TS.6.09</v>
          </cell>
        </row>
        <row r="151">
          <cell r="B151" t="str">
            <v>E3.19</v>
          </cell>
          <cell r="E151" t="str">
            <v>Supply and installation of steel slide gates (H=1.5 m, B=2.0 m)x2</v>
          </cell>
          <cell r="F151" t="str">
            <v>ls</v>
          </cell>
          <cell r="G151">
            <v>1</v>
          </cell>
          <cell r="H151">
            <v>27852586</v>
          </cell>
          <cell r="I151">
            <v>27852586</v>
          </cell>
          <cell r="J151" t="str">
            <v>TS.9.09</v>
          </cell>
        </row>
        <row r="153">
          <cell r="B153" t="str">
            <v>E4 - E20</v>
          </cell>
          <cell r="E153" t="str">
            <v>(Not Applicable)</v>
          </cell>
        </row>
        <row r="155">
          <cell r="B155" t="str">
            <v>E21</v>
          </cell>
          <cell r="E155" t="str">
            <v>DRAINAGE DITCH CONNECTING to DRAINAGE OUTLETS</v>
          </cell>
        </row>
        <row r="156">
          <cell r="B156" t="str">
            <v>E21.1</v>
          </cell>
          <cell r="E156" t="str">
            <v>Excavation (common)</v>
          </cell>
          <cell r="F156" t="str">
            <v>m³</v>
          </cell>
          <cell r="G156">
            <v>600</v>
          </cell>
          <cell r="H156">
            <v>6921</v>
          </cell>
          <cell r="I156">
            <v>4152600</v>
          </cell>
          <cell r="J156" t="str">
            <v>TS.2.10</v>
          </cell>
        </row>
        <row r="157">
          <cell r="B157" t="str">
            <v>E21.2</v>
          </cell>
          <cell r="E157" t="str">
            <v>Crusher run bedding</v>
          </cell>
          <cell r="F157" t="str">
            <v>m³</v>
          </cell>
          <cell r="G157">
            <v>41</v>
          </cell>
          <cell r="H157">
            <v>128530</v>
          </cell>
          <cell r="I157">
            <v>5269730</v>
          </cell>
          <cell r="J157" t="str">
            <v>TS.4.14</v>
          </cell>
        </row>
        <row r="158">
          <cell r="B158" t="str">
            <v>E21.3</v>
          </cell>
          <cell r="E158" t="str">
            <v>Wet stone masonry (1:4) for revetment</v>
          </cell>
          <cell r="F158" t="str">
            <v>m³</v>
          </cell>
          <cell r="G158">
            <v>41</v>
          </cell>
          <cell r="H158">
            <v>163909</v>
          </cell>
          <cell r="I158">
            <v>6720269</v>
          </cell>
          <cell r="J158" t="str">
            <v>TS.4.14</v>
          </cell>
        </row>
        <row r="159">
          <cell r="B159" t="str">
            <v>E21.4</v>
          </cell>
          <cell r="E159" t="str">
            <v>Cement mortar plastering</v>
          </cell>
          <cell r="F159" t="str">
            <v>m²</v>
          </cell>
          <cell r="G159">
            <v>160</v>
          </cell>
          <cell r="H159">
            <v>12274</v>
          </cell>
          <cell r="I159">
            <v>1963840</v>
          </cell>
          <cell r="J159" t="str">
            <v>TS.4.14</v>
          </cell>
        </row>
        <row r="160">
          <cell r="B160" t="str">
            <v>E21.5</v>
          </cell>
          <cell r="E160" t="str">
            <v>Concrete, type C2</v>
          </cell>
          <cell r="F160" t="str">
            <v>m³</v>
          </cell>
          <cell r="G160">
            <v>45</v>
          </cell>
          <cell r="H160">
            <v>317853</v>
          </cell>
          <cell r="I160">
            <v>14303385</v>
          </cell>
          <cell r="J160" t="str">
            <v>TS.3.14</v>
          </cell>
        </row>
        <row r="161">
          <cell r="B161" t="str">
            <v>E21.6</v>
          </cell>
          <cell r="E161" t="str">
            <v>Concrete, type E</v>
          </cell>
          <cell r="F161" t="str">
            <v>m³</v>
          </cell>
          <cell r="G161">
            <v>5</v>
          </cell>
          <cell r="H161">
            <v>315179</v>
          </cell>
          <cell r="I161">
            <v>1575895</v>
          </cell>
          <cell r="J161" t="str">
            <v>TS.3.24</v>
          </cell>
        </row>
        <row r="162">
          <cell r="B162" t="str">
            <v>E21.7</v>
          </cell>
          <cell r="E162" t="str">
            <v>Reinforcing steel bar</v>
          </cell>
          <cell r="F162" t="str">
            <v>kg</v>
          </cell>
          <cell r="G162">
            <v>870</v>
          </cell>
          <cell r="H162">
            <v>3554</v>
          </cell>
          <cell r="I162">
            <v>3091980</v>
          </cell>
          <cell r="J162" t="str">
            <v>TS.2.34</v>
          </cell>
        </row>
        <row r="163">
          <cell r="B163" t="str">
            <v>E21.8</v>
          </cell>
          <cell r="E163" t="str">
            <v>Formwork FW1</v>
          </cell>
          <cell r="F163" t="str">
            <v>m²</v>
          </cell>
          <cell r="G163">
            <v>80</v>
          </cell>
          <cell r="H163">
            <v>70833</v>
          </cell>
          <cell r="I163">
            <v>5666640</v>
          </cell>
          <cell r="J163" t="str">
            <v>TS.2.34</v>
          </cell>
        </row>
        <row r="165">
          <cell r="B165" t="str">
            <v>E22 - E24</v>
          </cell>
          <cell r="E165" t="str">
            <v>(Not Applicable)</v>
          </cell>
        </row>
        <row r="167">
          <cell r="B167" t="str">
            <v>F</v>
          </cell>
          <cell r="E167" t="str">
            <v>BANDAR SIDORAS INTAKE WEIR and IRRIGATON FACILITIES</v>
          </cell>
        </row>
        <row r="168">
          <cell r="B168" t="str">
            <v>F1</v>
          </cell>
          <cell r="E168" t="str">
            <v>PREPARATION WORKS</v>
          </cell>
        </row>
        <row r="169">
          <cell r="B169" t="str">
            <v>F1.1</v>
          </cell>
          <cell r="E169" t="str">
            <v>Clearing and grubbing</v>
          </cell>
          <cell r="F169" t="str">
            <v>m²</v>
          </cell>
          <cell r="G169">
            <v>4290</v>
          </cell>
          <cell r="H169">
            <v>4019</v>
          </cell>
          <cell r="I169">
            <v>17241510</v>
          </cell>
          <cell r="J169" t="str">
            <v>TS.2.10</v>
          </cell>
        </row>
        <row r="170">
          <cell r="B170" t="str">
            <v>F1.2</v>
          </cell>
          <cell r="E170" t="str">
            <v>Coffering and dewatering</v>
          </cell>
          <cell r="F170" t="str">
            <v>ls</v>
          </cell>
          <cell r="G170">
            <v>1</v>
          </cell>
          <cell r="H170">
            <v>71238786</v>
          </cell>
          <cell r="I170">
            <v>71238786</v>
          </cell>
          <cell r="J170" t="str">
            <v>TS.1.04</v>
          </cell>
        </row>
        <row r="171">
          <cell r="B171" t="str">
            <v>F1.3</v>
          </cell>
          <cell r="E171" t="str">
            <v>Demolition and removal of existing structure</v>
          </cell>
          <cell r="F171" t="str">
            <v>ls</v>
          </cell>
          <cell r="G171">
            <v>1</v>
          </cell>
          <cell r="H171">
            <v>19926238</v>
          </cell>
          <cell r="I171">
            <v>19926238</v>
          </cell>
          <cell r="J171" t="str">
            <v>TS.2.10</v>
          </cell>
        </row>
        <row r="172">
          <cell r="B172" t="str">
            <v>F2</v>
          </cell>
          <cell r="E172" t="str">
            <v>INFLATABLE RUBBER-MADE DAM</v>
          </cell>
        </row>
        <row r="173">
          <cell r="E173" t="str">
            <v>EARTH WORKS</v>
          </cell>
        </row>
        <row r="174">
          <cell r="B174" t="str">
            <v>F2.1</v>
          </cell>
          <cell r="E174" t="str">
            <v>Excavation (common)</v>
          </cell>
          <cell r="F174" t="str">
            <v>m³</v>
          </cell>
          <cell r="G174">
            <v>6511</v>
          </cell>
          <cell r="H174">
            <v>6921</v>
          </cell>
          <cell r="I174">
            <v>45062631</v>
          </cell>
          <cell r="J174" t="str">
            <v>TS.2.10</v>
          </cell>
        </row>
        <row r="175">
          <cell r="B175" t="str">
            <v>F2.2</v>
          </cell>
          <cell r="E175" t="str">
            <v>Backfill with selected soil</v>
          </cell>
          <cell r="F175" t="str">
            <v>m³</v>
          </cell>
          <cell r="G175">
            <v>454</v>
          </cell>
          <cell r="H175">
            <v>5530</v>
          </cell>
          <cell r="I175">
            <v>2510620</v>
          </cell>
          <cell r="J175" t="str">
            <v>TS.2.10</v>
          </cell>
        </row>
        <row r="176">
          <cell r="E176" t="str">
            <v>CONCRETE WORKS</v>
          </cell>
        </row>
        <row r="177">
          <cell r="B177" t="str">
            <v>F2.3</v>
          </cell>
          <cell r="E177" t="str">
            <v>Concrete, type C1 for main structure</v>
          </cell>
          <cell r="F177" t="str">
            <v>m³</v>
          </cell>
          <cell r="G177">
            <v>2240</v>
          </cell>
          <cell r="H177">
            <v>318832</v>
          </cell>
          <cell r="I177">
            <v>714183680</v>
          </cell>
          <cell r="J177" t="str">
            <v>TS.3.24</v>
          </cell>
        </row>
        <row r="178">
          <cell r="B178" t="str">
            <v>F2.4</v>
          </cell>
          <cell r="E178" t="str">
            <v>Concrete, type E</v>
          </cell>
          <cell r="F178" t="str">
            <v>m³</v>
          </cell>
          <cell r="G178">
            <v>150</v>
          </cell>
          <cell r="H178">
            <v>282984</v>
          </cell>
          <cell r="I178">
            <v>42447600</v>
          </cell>
          <cell r="J178" t="str">
            <v>TS.3.24</v>
          </cell>
        </row>
        <row r="179">
          <cell r="B179" t="str">
            <v>F2.5</v>
          </cell>
          <cell r="E179" t="str">
            <v>Form work FW1</v>
          </cell>
          <cell r="F179" t="str">
            <v>m²</v>
          </cell>
          <cell r="G179">
            <v>1060</v>
          </cell>
          <cell r="H179">
            <v>70833</v>
          </cell>
          <cell r="I179">
            <v>75082980</v>
          </cell>
          <cell r="J179" t="str">
            <v>TS.3.24</v>
          </cell>
        </row>
        <row r="180">
          <cell r="B180" t="str">
            <v>F2.6</v>
          </cell>
          <cell r="E180" t="str">
            <v>Form work FW2</v>
          </cell>
          <cell r="F180" t="str">
            <v>m²</v>
          </cell>
          <cell r="G180">
            <v>490</v>
          </cell>
          <cell r="H180">
            <v>84938</v>
          </cell>
          <cell r="I180">
            <v>41619620</v>
          </cell>
          <cell r="J180" t="str">
            <v>TS.3.24</v>
          </cell>
        </row>
        <row r="181">
          <cell r="B181" t="str">
            <v>F2.7</v>
          </cell>
          <cell r="E181" t="str">
            <v>Reinforcing steel bar</v>
          </cell>
          <cell r="F181" t="str">
            <v>kg</v>
          </cell>
          <cell r="G181">
            <v>94900</v>
          </cell>
          <cell r="H181">
            <v>3554</v>
          </cell>
          <cell r="I181">
            <v>337274600</v>
          </cell>
          <cell r="J181" t="str">
            <v>TS.3.24</v>
          </cell>
        </row>
        <row r="182">
          <cell r="B182" t="str">
            <v>F2.8</v>
          </cell>
          <cell r="E182" t="str">
            <v>Elastic joint filler, 10 mm thick</v>
          </cell>
          <cell r="F182" t="str">
            <v>m²</v>
          </cell>
          <cell r="G182">
            <v>110</v>
          </cell>
          <cell r="H182">
            <v>107210</v>
          </cell>
          <cell r="I182">
            <v>11793100</v>
          </cell>
          <cell r="J182" t="str">
            <v>TS.3.24</v>
          </cell>
        </row>
        <row r="183">
          <cell r="B183" t="str">
            <v>F2.9</v>
          </cell>
          <cell r="E183" t="str">
            <v>Water stop, 30 cm wide</v>
          </cell>
          <cell r="F183" t="str">
            <v>m</v>
          </cell>
          <cell r="G183">
            <v>110</v>
          </cell>
          <cell r="H183">
            <v>128471</v>
          </cell>
          <cell r="I183">
            <v>14131810</v>
          </cell>
          <cell r="J183" t="str">
            <v>TS.3.24</v>
          </cell>
        </row>
        <row r="184">
          <cell r="B184" t="str">
            <v>F2.10</v>
          </cell>
          <cell r="E184" t="str">
            <v>Dowel bars, dia. 19 mm, 1.0 m long</v>
          </cell>
          <cell r="F184" t="str">
            <v>kg</v>
          </cell>
          <cell r="G184">
            <v>770</v>
          </cell>
          <cell r="H184">
            <v>11285</v>
          </cell>
          <cell r="I184">
            <v>8689450</v>
          </cell>
          <cell r="J184" t="str">
            <v>TS.3.24</v>
          </cell>
        </row>
        <row r="185">
          <cell r="E185" t="str">
            <v>PILE WORKS</v>
          </cell>
        </row>
        <row r="186">
          <cell r="B186" t="str">
            <v>F2.11</v>
          </cell>
          <cell r="E186" t="str">
            <v>PC pile for test pile, dia.400 mm, type AB</v>
          </cell>
          <cell r="F186" t="str">
            <v>m</v>
          </cell>
          <cell r="G186">
            <v>12</v>
          </cell>
          <cell r="H186">
            <v>200180</v>
          </cell>
          <cell r="I186">
            <v>2402160</v>
          </cell>
          <cell r="J186" t="str">
            <v>TS.5.07</v>
          </cell>
        </row>
        <row r="187">
          <cell r="B187" t="str">
            <v>F2.12</v>
          </cell>
          <cell r="E187" t="str">
            <v>Supply and driving of PC piles, dia. 400 mm, type AB</v>
          </cell>
          <cell r="F187" t="str">
            <v>m</v>
          </cell>
          <cell r="G187">
            <v>227</v>
          </cell>
          <cell r="H187">
            <v>200180</v>
          </cell>
          <cell r="I187">
            <v>45440860</v>
          </cell>
          <cell r="J187" t="str">
            <v>TS.5.07</v>
          </cell>
        </row>
        <row r="188">
          <cell r="B188" t="str">
            <v>F2.13</v>
          </cell>
          <cell r="E188" t="str">
            <v>PC pile for test pile, dia.600 mm, type AB</v>
          </cell>
          <cell r="F188" t="str">
            <v>m</v>
          </cell>
          <cell r="G188">
            <v>12</v>
          </cell>
          <cell r="H188">
            <v>361803</v>
          </cell>
          <cell r="I188">
            <v>4341636</v>
          </cell>
          <cell r="J188" t="str">
            <v>TS.5.07</v>
          </cell>
        </row>
        <row r="189">
          <cell r="B189" t="str">
            <v>F2.14</v>
          </cell>
          <cell r="E189" t="str">
            <v>Supply and driving of PC piles, dia. 600 mm, type AB</v>
          </cell>
          <cell r="F189" t="str">
            <v>m</v>
          </cell>
          <cell r="G189">
            <v>1500</v>
          </cell>
          <cell r="H189">
            <v>361803</v>
          </cell>
          <cell r="I189">
            <v>542704500</v>
          </cell>
          <cell r="J189" t="str">
            <v>TS.5.07</v>
          </cell>
        </row>
        <row r="190">
          <cell r="B190" t="str">
            <v>F2.15</v>
          </cell>
          <cell r="E190" t="str">
            <v>Supply and driving of steel sheet piles, type II</v>
          </cell>
          <cell r="F190" t="str">
            <v>m²</v>
          </cell>
          <cell r="G190">
            <v>300</v>
          </cell>
          <cell r="H190">
            <v>759138</v>
          </cell>
          <cell r="I190">
            <v>227741400</v>
          </cell>
          <cell r="J190" t="str">
            <v>TS.5.07</v>
          </cell>
        </row>
        <row r="191">
          <cell r="E191" t="str">
            <v>INFLATABLE RUBBER- MADE DAM</v>
          </cell>
        </row>
        <row r="192">
          <cell r="B192" t="str">
            <v>F2.16</v>
          </cell>
          <cell r="E192" t="str">
            <v>Inflatable rubber-made Dam including anchoring materials, operating</v>
          </cell>
          <cell r="F192" t="str">
            <v>ls</v>
          </cell>
          <cell r="G192">
            <v>1</v>
          </cell>
          <cell r="H192">
            <v>3144852113</v>
          </cell>
          <cell r="I192">
            <v>3144852113</v>
          </cell>
          <cell r="J192" t="str">
            <v>TS.10.13</v>
          </cell>
        </row>
        <row r="193">
          <cell r="E193" t="str">
            <v>and electric equipment</v>
          </cell>
        </row>
        <row r="194">
          <cell r="B194" t="str">
            <v>F3</v>
          </cell>
          <cell r="E194" t="str">
            <v>IRRIGATION INTAKE FACILITIES</v>
          </cell>
        </row>
        <row r="195">
          <cell r="B195" t="str">
            <v/>
          </cell>
          <cell r="E195" t="str">
            <v>EARTH WORKS</v>
          </cell>
        </row>
        <row r="196">
          <cell r="B196" t="str">
            <v>F3.1</v>
          </cell>
          <cell r="E196" t="str">
            <v>Excavation (common)</v>
          </cell>
          <cell r="F196" t="str">
            <v>m³</v>
          </cell>
          <cell r="G196">
            <v>5980</v>
          </cell>
          <cell r="H196">
            <v>6921</v>
          </cell>
          <cell r="I196">
            <v>41387580</v>
          </cell>
          <cell r="J196" t="str">
            <v>TS.2.10</v>
          </cell>
        </row>
        <row r="197">
          <cell r="B197" t="str">
            <v>F3.2</v>
          </cell>
          <cell r="E197" t="str">
            <v>Backfill with selected soil</v>
          </cell>
          <cell r="F197" t="str">
            <v>m³</v>
          </cell>
          <cell r="G197">
            <v>16800</v>
          </cell>
          <cell r="H197">
            <v>5530</v>
          </cell>
          <cell r="I197">
            <v>92904000</v>
          </cell>
          <cell r="J197" t="str">
            <v>TS.2.10</v>
          </cell>
        </row>
        <row r="198">
          <cell r="E198" t="str">
            <v>CONCRETE WORKS</v>
          </cell>
        </row>
        <row r="199">
          <cell r="B199" t="str">
            <v>F3.3</v>
          </cell>
          <cell r="E199" t="str">
            <v>Concrete, type C1 for irrigation intake facilities and bridge pier</v>
          </cell>
          <cell r="F199" t="str">
            <v>m³</v>
          </cell>
          <cell r="G199">
            <v>970</v>
          </cell>
          <cell r="H199">
            <v>310795</v>
          </cell>
          <cell r="I199">
            <v>301471150</v>
          </cell>
          <cell r="J199" t="str">
            <v>TS.3.24</v>
          </cell>
        </row>
        <row r="200">
          <cell r="B200" t="str">
            <v>F3.4</v>
          </cell>
          <cell r="E200" t="str">
            <v>Concrete, type C2 for block-out concrete for gate post</v>
          </cell>
          <cell r="F200" t="str">
            <v>m³</v>
          </cell>
          <cell r="G200">
            <v>7</v>
          </cell>
          <cell r="H200">
            <v>358031</v>
          </cell>
          <cell r="I200">
            <v>2506217</v>
          </cell>
          <cell r="J200" t="str">
            <v>TS.3.24</v>
          </cell>
        </row>
        <row r="201">
          <cell r="B201" t="str">
            <v>F3.5</v>
          </cell>
          <cell r="E201" t="str">
            <v>Concrete, type E</v>
          </cell>
          <cell r="F201" t="str">
            <v>m³</v>
          </cell>
          <cell r="G201">
            <v>59</v>
          </cell>
          <cell r="H201">
            <v>284696</v>
          </cell>
          <cell r="I201">
            <v>16797064</v>
          </cell>
          <cell r="J201" t="str">
            <v>TS.3.24</v>
          </cell>
        </row>
        <row r="202">
          <cell r="B202" t="str">
            <v>F3.6</v>
          </cell>
          <cell r="E202" t="str">
            <v>Form work FW1</v>
          </cell>
          <cell r="F202" t="str">
            <v>m²</v>
          </cell>
          <cell r="G202">
            <v>1790</v>
          </cell>
          <cell r="H202">
            <v>70833</v>
          </cell>
          <cell r="I202">
            <v>126791070</v>
          </cell>
          <cell r="J202" t="str">
            <v>TS.3.24</v>
          </cell>
        </row>
        <row r="203">
          <cell r="B203" t="str">
            <v>F3.7</v>
          </cell>
          <cell r="E203" t="str">
            <v>Form work FW2</v>
          </cell>
          <cell r="F203" t="str">
            <v>m²</v>
          </cell>
          <cell r="G203">
            <v>340</v>
          </cell>
          <cell r="H203">
            <v>84938</v>
          </cell>
          <cell r="I203">
            <v>28878920</v>
          </cell>
          <cell r="J203" t="str">
            <v>TS.3.24</v>
          </cell>
        </row>
        <row r="204">
          <cell r="B204" t="str">
            <v>F3.8</v>
          </cell>
          <cell r="E204" t="str">
            <v>Reinforcing steel bar</v>
          </cell>
          <cell r="F204" t="str">
            <v>kg</v>
          </cell>
          <cell r="G204">
            <v>62700</v>
          </cell>
          <cell r="H204">
            <v>3554</v>
          </cell>
          <cell r="I204">
            <v>222835800</v>
          </cell>
          <cell r="J204" t="str">
            <v>TS.3.24</v>
          </cell>
        </row>
        <row r="205">
          <cell r="B205" t="str">
            <v>F3.9</v>
          </cell>
          <cell r="E205" t="str">
            <v>Elastic joint filler, 10 mm thick</v>
          </cell>
          <cell r="F205" t="str">
            <v>m²</v>
          </cell>
          <cell r="G205">
            <v>92</v>
          </cell>
          <cell r="H205">
            <v>107210</v>
          </cell>
          <cell r="I205">
            <v>9863320</v>
          </cell>
          <cell r="J205" t="str">
            <v>TS.3.24</v>
          </cell>
        </row>
        <row r="206">
          <cell r="B206" t="str">
            <v>F3.10</v>
          </cell>
          <cell r="E206" t="str">
            <v>Water stop, 30 cm wide</v>
          </cell>
          <cell r="F206" t="str">
            <v>m</v>
          </cell>
          <cell r="G206">
            <v>110</v>
          </cell>
          <cell r="H206">
            <v>128471</v>
          </cell>
          <cell r="I206">
            <v>14131810</v>
          </cell>
          <cell r="J206" t="str">
            <v>TS.3.24</v>
          </cell>
        </row>
        <row r="207">
          <cell r="B207" t="str">
            <v>F3.11</v>
          </cell>
          <cell r="E207" t="str">
            <v>Dowel bars, dia. 19 mm, 1.0 m long</v>
          </cell>
          <cell r="F207" t="str">
            <v>kg</v>
          </cell>
          <cell r="G207">
            <v>470</v>
          </cell>
          <cell r="H207">
            <v>11285</v>
          </cell>
          <cell r="I207">
            <v>5303950</v>
          </cell>
          <cell r="J207" t="str">
            <v>TS.3.24</v>
          </cell>
        </row>
        <row r="208">
          <cell r="E208" t="str">
            <v>PILE WORKS</v>
          </cell>
        </row>
        <row r="209">
          <cell r="B209" t="str">
            <v>F3.12</v>
          </cell>
          <cell r="E209" t="str">
            <v>Supply and driving of PC piles, dia. 600 mm, type AB</v>
          </cell>
          <cell r="F209" t="str">
            <v>m</v>
          </cell>
          <cell r="G209">
            <v>441</v>
          </cell>
          <cell r="H209">
            <v>361803</v>
          </cell>
          <cell r="I209">
            <v>159555123</v>
          </cell>
          <cell r="J209" t="str">
            <v>TS.5.07</v>
          </cell>
        </row>
        <row r="210">
          <cell r="B210" t="str">
            <v>F3.13</v>
          </cell>
          <cell r="E210" t="str">
            <v>Supply and driving of steel sheet piles, type II</v>
          </cell>
          <cell r="F210" t="str">
            <v>m²</v>
          </cell>
          <cell r="G210">
            <v>172</v>
          </cell>
          <cell r="H210">
            <v>754167</v>
          </cell>
          <cell r="I210">
            <v>129716724</v>
          </cell>
          <cell r="J210" t="str">
            <v>TS.5.07</v>
          </cell>
        </row>
        <row r="211">
          <cell r="B211" t="str">
            <v>F3.14</v>
          </cell>
          <cell r="E211" t="str">
            <v>Log pile</v>
          </cell>
          <cell r="F211" t="str">
            <v>m</v>
          </cell>
          <cell r="G211">
            <v>381</v>
          </cell>
          <cell r="H211">
            <v>7918</v>
          </cell>
          <cell r="I211">
            <v>3016758</v>
          </cell>
          <cell r="J211" t="str">
            <v>TS.5.07</v>
          </cell>
        </row>
        <row r="212">
          <cell r="E212" t="str">
            <v>CONTROL GATES</v>
          </cell>
        </row>
        <row r="213">
          <cell r="B213" t="str">
            <v>F3.15</v>
          </cell>
          <cell r="E213" t="str">
            <v>Supply and installation of steel slide gate (H=1.0 m, B=1.25 m x 2)</v>
          </cell>
          <cell r="F213" t="str">
            <v>ls</v>
          </cell>
          <cell r="G213">
            <v>1</v>
          </cell>
          <cell r="H213">
            <v>19711400</v>
          </cell>
          <cell r="I213">
            <v>19711400</v>
          </cell>
          <cell r="J213" t="str">
            <v>TS.9.09</v>
          </cell>
        </row>
        <row r="214">
          <cell r="B214" t="str">
            <v>F3.16</v>
          </cell>
          <cell r="E214" t="str">
            <v>Supply and installation of steel slide gate (H=1.0 m, B=1.0 m x 2)</v>
          </cell>
          <cell r="F214" t="str">
            <v>ls</v>
          </cell>
          <cell r="G214">
            <v>1</v>
          </cell>
          <cell r="H214">
            <v>18266872</v>
          </cell>
          <cell r="I214">
            <v>18266872</v>
          </cell>
          <cell r="J214" t="str">
            <v>TS.9.09</v>
          </cell>
        </row>
        <row r="215">
          <cell r="E215" t="str">
            <v>IRRIGATION CHANNEL LINING</v>
          </cell>
        </row>
        <row r="216">
          <cell r="B216" t="str">
            <v>F3.17</v>
          </cell>
          <cell r="E216" t="str">
            <v>Wet stone masonry (1:4) for revetment</v>
          </cell>
          <cell r="F216" t="str">
            <v>m³</v>
          </cell>
          <cell r="G216">
            <v>454</v>
          </cell>
          <cell r="H216">
            <v>163909</v>
          </cell>
          <cell r="I216">
            <v>74414686</v>
          </cell>
          <cell r="J216" t="str">
            <v>TS.4.14</v>
          </cell>
        </row>
        <row r="217">
          <cell r="B217" t="str">
            <v>F3.18</v>
          </cell>
          <cell r="E217" t="str">
            <v>Crusher run bedding</v>
          </cell>
          <cell r="F217" t="str">
            <v>m³</v>
          </cell>
          <cell r="G217">
            <v>440</v>
          </cell>
          <cell r="H217">
            <v>128530</v>
          </cell>
          <cell r="I217">
            <v>56553200</v>
          </cell>
          <cell r="J217" t="str">
            <v>TS.4.14</v>
          </cell>
        </row>
        <row r="218">
          <cell r="B218" t="str">
            <v>F3.19</v>
          </cell>
          <cell r="E218" t="str">
            <v>Concrete, type C1 for base concrete</v>
          </cell>
          <cell r="F218" t="str">
            <v>m³</v>
          </cell>
          <cell r="G218">
            <v>8</v>
          </cell>
          <cell r="H218">
            <v>352083</v>
          </cell>
          <cell r="I218">
            <v>2816664</v>
          </cell>
          <cell r="J218" t="str">
            <v>TS.3.24</v>
          </cell>
        </row>
        <row r="219">
          <cell r="B219" t="str">
            <v>F3.20</v>
          </cell>
          <cell r="E219" t="str">
            <v>Concrete, type C2 for top concrete and channel bed lining</v>
          </cell>
          <cell r="F219" t="str">
            <v>m³</v>
          </cell>
          <cell r="G219">
            <v>200</v>
          </cell>
          <cell r="H219">
            <v>312117</v>
          </cell>
          <cell r="I219">
            <v>62423400</v>
          </cell>
          <cell r="J219" t="str">
            <v>TS.3.24</v>
          </cell>
        </row>
        <row r="220">
          <cell r="B220" t="str">
            <v>F3.21</v>
          </cell>
          <cell r="E220" t="str">
            <v>Cement mortar plastering</v>
          </cell>
          <cell r="F220" t="str">
            <v>m²</v>
          </cell>
          <cell r="G220">
            <v>1700</v>
          </cell>
          <cell r="H220">
            <v>12274</v>
          </cell>
          <cell r="I220">
            <v>20865800</v>
          </cell>
          <cell r="J220" t="str">
            <v>TS.4.14</v>
          </cell>
        </row>
        <row r="221">
          <cell r="B221" t="str">
            <v>F3.22</v>
          </cell>
          <cell r="E221" t="str">
            <v>Formwork FW1</v>
          </cell>
          <cell r="F221" t="str">
            <v>m²</v>
          </cell>
          <cell r="G221">
            <v>860</v>
          </cell>
          <cell r="H221">
            <v>70833</v>
          </cell>
          <cell r="I221">
            <v>60916380</v>
          </cell>
          <cell r="J221" t="str">
            <v>TS.3.24</v>
          </cell>
        </row>
        <row r="222">
          <cell r="B222" t="str">
            <v>F3.23</v>
          </cell>
          <cell r="E222" t="str">
            <v>Reinforcing steel bar</v>
          </cell>
          <cell r="F222" t="str">
            <v>kg</v>
          </cell>
          <cell r="G222">
            <v>4620</v>
          </cell>
          <cell r="H222">
            <v>3554</v>
          </cell>
          <cell r="I222">
            <v>16419480</v>
          </cell>
          <cell r="J222" t="str">
            <v>TS.3.24</v>
          </cell>
        </row>
        <row r="223">
          <cell r="B223" t="str">
            <v>F3.24</v>
          </cell>
          <cell r="E223" t="str">
            <v>PVC pipe drain, dia.50 mm (240 nos x 0.4 m)</v>
          </cell>
          <cell r="F223" t="str">
            <v>m</v>
          </cell>
          <cell r="G223">
            <v>100</v>
          </cell>
          <cell r="H223">
            <v>47666</v>
          </cell>
          <cell r="I223">
            <v>4766600</v>
          </cell>
          <cell r="J223" t="str">
            <v>TS.4.05</v>
          </cell>
        </row>
        <row r="224">
          <cell r="B224" t="str">
            <v>F3.25</v>
          </cell>
          <cell r="E224" t="str">
            <v>Elastic joint filler, 10 mm thick</v>
          </cell>
          <cell r="F224" t="str">
            <v>m²</v>
          </cell>
          <cell r="G224">
            <v>100</v>
          </cell>
          <cell r="H224">
            <v>107210</v>
          </cell>
          <cell r="I224">
            <v>10721000</v>
          </cell>
          <cell r="J224" t="str">
            <v>TS.3.24</v>
          </cell>
        </row>
        <row r="225">
          <cell r="B225" t="str">
            <v>F4</v>
          </cell>
          <cell r="E225" t="str">
            <v>CHANNEL PROTECTION WORKS</v>
          </cell>
        </row>
        <row r="226">
          <cell r="B226" t="str">
            <v>F4.1</v>
          </cell>
          <cell r="E226" t="str">
            <v>Excavation (common)</v>
          </cell>
          <cell r="F226" t="str">
            <v>m³</v>
          </cell>
          <cell r="G226">
            <v>200</v>
          </cell>
          <cell r="H226">
            <v>6921</v>
          </cell>
          <cell r="I226">
            <v>1384200</v>
          </cell>
          <cell r="J226" t="str">
            <v>TS.2.10</v>
          </cell>
        </row>
        <row r="227">
          <cell r="B227" t="str">
            <v>F4.2</v>
          </cell>
          <cell r="E227" t="str">
            <v>Concrete blok, crib type, t = 200 mm</v>
          </cell>
          <cell r="F227" t="str">
            <v>nos</v>
          </cell>
          <cell r="G227">
            <v>390</v>
          </cell>
          <cell r="H227">
            <v>133220</v>
          </cell>
          <cell r="I227">
            <v>51955800</v>
          </cell>
          <cell r="J227" t="str">
            <v>TS.4.14</v>
          </cell>
        </row>
        <row r="228">
          <cell r="B228" t="str">
            <v>F4.3</v>
          </cell>
          <cell r="E228" t="str">
            <v>Crusher run bedding</v>
          </cell>
          <cell r="F228" t="str">
            <v>m³</v>
          </cell>
          <cell r="G228">
            <v>39</v>
          </cell>
          <cell r="H228">
            <v>128530</v>
          </cell>
          <cell r="I228">
            <v>5012670</v>
          </cell>
          <cell r="J228" t="str">
            <v>TS.4.14</v>
          </cell>
        </row>
        <row r="229">
          <cell r="B229" t="str">
            <v>F5</v>
          </cell>
          <cell r="E229" t="str">
            <v>MAINTENANCE FACILITIES</v>
          </cell>
        </row>
        <row r="230">
          <cell r="E230" t="str">
            <v>INSPECTION BRIDGE (SUPER STRUCTURE)</v>
          </cell>
        </row>
        <row r="231">
          <cell r="B231" t="str">
            <v>F5.1</v>
          </cell>
          <cell r="E231" t="str">
            <v>Concrete, type C2 for substructures</v>
          </cell>
          <cell r="F231" t="str">
            <v>m³</v>
          </cell>
          <cell r="G231">
            <v>43</v>
          </cell>
          <cell r="H231">
            <v>318197</v>
          </cell>
          <cell r="I231">
            <v>13682471</v>
          </cell>
          <cell r="J231" t="str">
            <v>TS.3.24</v>
          </cell>
        </row>
        <row r="232">
          <cell r="B232" t="str">
            <v>F5.2</v>
          </cell>
          <cell r="E232" t="str">
            <v>Concrete, type E</v>
          </cell>
          <cell r="F232" t="str">
            <v>m³</v>
          </cell>
          <cell r="G232">
            <v>4</v>
          </cell>
          <cell r="H232">
            <v>323505</v>
          </cell>
          <cell r="I232">
            <v>1294020</v>
          </cell>
          <cell r="J232" t="str">
            <v>TS.3.24</v>
          </cell>
        </row>
        <row r="233">
          <cell r="B233" t="str">
            <v>F5.3</v>
          </cell>
          <cell r="E233" t="str">
            <v>Formwork FW1</v>
          </cell>
          <cell r="F233" t="str">
            <v>m²</v>
          </cell>
          <cell r="G233">
            <v>1790</v>
          </cell>
          <cell r="H233">
            <v>70833</v>
          </cell>
          <cell r="I233">
            <v>126791070</v>
          </cell>
          <cell r="J233" t="str">
            <v>TS.3.24</v>
          </cell>
        </row>
        <row r="234">
          <cell r="B234" t="str">
            <v>F5.4</v>
          </cell>
          <cell r="E234" t="str">
            <v>Formwork FW2</v>
          </cell>
          <cell r="F234" t="str">
            <v>m²</v>
          </cell>
          <cell r="G234">
            <v>340</v>
          </cell>
          <cell r="H234">
            <v>84938</v>
          </cell>
          <cell r="I234">
            <v>28878920</v>
          </cell>
          <cell r="J234" t="str">
            <v>TS.3.24</v>
          </cell>
        </row>
        <row r="235">
          <cell r="B235" t="str">
            <v>F5.5</v>
          </cell>
          <cell r="E235" t="str">
            <v>Reinforcing steel bars</v>
          </cell>
          <cell r="F235" t="str">
            <v>kg</v>
          </cell>
          <cell r="G235">
            <v>5390</v>
          </cell>
          <cell r="H235">
            <v>3554</v>
          </cell>
          <cell r="I235">
            <v>19156060</v>
          </cell>
          <cell r="J235" t="str">
            <v>TS.3.24</v>
          </cell>
        </row>
        <row r="236">
          <cell r="B236" t="str">
            <v>F5.6</v>
          </cell>
          <cell r="E236" t="str">
            <v>Steel plate girder</v>
          </cell>
          <cell r="F236" t="str">
            <v>ls</v>
          </cell>
          <cell r="G236">
            <v>1</v>
          </cell>
          <cell r="H236">
            <v>239189979</v>
          </cell>
          <cell r="I236">
            <v>239189979</v>
          </cell>
          <cell r="J236" t="str">
            <v>TS.8.07</v>
          </cell>
        </row>
        <row r="237">
          <cell r="B237" t="str">
            <v>F5.7</v>
          </cell>
          <cell r="E237" t="str">
            <v>Supply and driving of RC piles, 400 mm x 400 mm, L = 15 m</v>
          </cell>
          <cell r="F237" t="str">
            <v>m</v>
          </cell>
          <cell r="G237">
            <v>360</v>
          </cell>
          <cell r="H237">
            <v>192728</v>
          </cell>
          <cell r="I237">
            <v>69382080</v>
          </cell>
          <cell r="J237" t="str">
            <v>TS.5.07</v>
          </cell>
        </row>
        <row r="238">
          <cell r="E238" t="str">
            <v>CONTROL HOUSE</v>
          </cell>
        </row>
        <row r="239">
          <cell r="B239" t="str">
            <v>F5.8</v>
          </cell>
          <cell r="E239" t="str">
            <v>Control house</v>
          </cell>
          <cell r="F239" t="str">
            <v>ls</v>
          </cell>
          <cell r="G239">
            <v>1</v>
          </cell>
          <cell r="H239">
            <v>21215310</v>
          </cell>
          <cell r="I239">
            <v>21215310</v>
          </cell>
          <cell r="J239" t="str">
            <v>TS.10.13</v>
          </cell>
        </row>
        <row r="241">
          <cell r="B241" t="str">
            <v>G1 - G3</v>
          </cell>
          <cell r="E241" t="str">
            <v>(Not Applicable)</v>
          </cell>
        </row>
        <row r="243">
          <cell r="B243" t="str">
            <v>H</v>
          </cell>
          <cell r="E243" t="str">
            <v>BRIDGE WORKS</v>
          </cell>
        </row>
        <row r="244">
          <cell r="B244" t="str">
            <v>H1</v>
          </cell>
          <cell r="E244" t="str">
            <v>PREPARATION WORKS</v>
          </cell>
        </row>
        <row r="245">
          <cell r="B245" t="str">
            <v>H1-1</v>
          </cell>
          <cell r="E245" t="str">
            <v>Coffering and dewatering</v>
          </cell>
          <cell r="F245" t="str">
            <v>ls</v>
          </cell>
          <cell r="G245">
            <v>1</v>
          </cell>
          <cell r="H245">
            <v>101635586</v>
          </cell>
          <cell r="I245">
            <v>101635586</v>
          </cell>
          <cell r="J245" t="str">
            <v>TS.1.04</v>
          </cell>
        </row>
        <row r="246">
          <cell r="B246" t="str">
            <v>H1-2</v>
          </cell>
          <cell r="E246" t="str">
            <v>Clearing and grubbing</v>
          </cell>
          <cell r="F246" t="str">
            <v>m²</v>
          </cell>
          <cell r="G246">
            <v>3030</v>
          </cell>
          <cell r="H246">
            <v>4019</v>
          </cell>
          <cell r="I246">
            <v>12177570</v>
          </cell>
          <cell r="J246" t="str">
            <v>TS.2.10</v>
          </cell>
        </row>
        <row r="247">
          <cell r="B247" t="str">
            <v>H2</v>
          </cell>
          <cell r="E247" t="str">
            <v>TITI BESI BRIDGE (P1)</v>
          </cell>
        </row>
        <row r="248">
          <cell r="B248" t="str">
            <v>H2.1</v>
          </cell>
          <cell r="E248" t="str">
            <v>EARTH WORKS</v>
          </cell>
        </row>
        <row r="249">
          <cell r="B249" t="str">
            <v>H2-1.1</v>
          </cell>
          <cell r="E249" t="str">
            <v>Excavation (common)</v>
          </cell>
          <cell r="F249" t="str">
            <v>m³</v>
          </cell>
          <cell r="G249">
            <v>1810</v>
          </cell>
          <cell r="H249">
            <v>6921</v>
          </cell>
          <cell r="I249">
            <v>12527010</v>
          </cell>
          <cell r="J249" t="str">
            <v>TS.2.10</v>
          </cell>
        </row>
        <row r="250">
          <cell r="B250" t="str">
            <v>H2-1.2</v>
          </cell>
          <cell r="E250" t="str">
            <v>Embankment</v>
          </cell>
          <cell r="F250" t="str">
            <v>m³</v>
          </cell>
          <cell r="G250">
            <v>4320</v>
          </cell>
          <cell r="H250">
            <v>5574</v>
          </cell>
          <cell r="I250">
            <v>24079680</v>
          </cell>
          <cell r="J250" t="str">
            <v>TS.2.10</v>
          </cell>
        </row>
        <row r="251">
          <cell r="B251" t="str">
            <v>H2-1.3</v>
          </cell>
          <cell r="E251" t="str">
            <v>Backfill with selected soil</v>
          </cell>
          <cell r="F251" t="str">
            <v>m³</v>
          </cell>
          <cell r="G251">
            <v>900</v>
          </cell>
          <cell r="H251">
            <v>5530</v>
          </cell>
          <cell r="I251">
            <v>4977000</v>
          </cell>
          <cell r="J251" t="str">
            <v>TS.2.10</v>
          </cell>
        </row>
        <row r="252">
          <cell r="B252" t="str">
            <v>H2-1.4</v>
          </cell>
          <cell r="E252" t="str">
            <v>Solid sodding</v>
          </cell>
          <cell r="F252" t="str">
            <v>m²</v>
          </cell>
          <cell r="G252">
            <v>610</v>
          </cell>
          <cell r="H252">
            <v>6139</v>
          </cell>
          <cell r="I252">
            <v>3744790</v>
          </cell>
          <cell r="J252" t="str">
            <v>TS.4.14</v>
          </cell>
        </row>
        <row r="253">
          <cell r="B253" t="str">
            <v>H2-1.5</v>
          </cell>
          <cell r="E253" t="str">
            <v>Demolition and removal of existing structure</v>
          </cell>
          <cell r="F253" t="str">
            <v>ls</v>
          </cell>
          <cell r="G253">
            <v>1</v>
          </cell>
          <cell r="H253">
            <v>31972850</v>
          </cell>
          <cell r="I253">
            <v>31972850</v>
          </cell>
          <cell r="J253" t="str">
            <v>TS.2.10</v>
          </cell>
        </row>
        <row r="254">
          <cell r="B254" t="str">
            <v>H2.2</v>
          </cell>
          <cell r="E254" t="str">
            <v>PILE FOUNDATION WORKS for PIER and ABUTMENT</v>
          </cell>
        </row>
        <row r="255">
          <cell r="B255" t="str">
            <v>H2-2.1</v>
          </cell>
          <cell r="E255" t="str">
            <v>SP pile for test pile, dia. 400 mm</v>
          </cell>
          <cell r="F255" t="str">
            <v>m</v>
          </cell>
          <cell r="G255">
            <v>19</v>
          </cell>
          <cell r="H255">
            <v>366915</v>
          </cell>
          <cell r="I255">
            <v>6971385</v>
          </cell>
          <cell r="J255" t="str">
            <v>TS.5.07</v>
          </cell>
        </row>
        <row r="256">
          <cell r="B256" t="str">
            <v>H2-2.2</v>
          </cell>
          <cell r="E256" t="str">
            <v>PC pile for test pile, dia. 400 mm, type B</v>
          </cell>
          <cell r="F256" t="str">
            <v>m</v>
          </cell>
          <cell r="G256">
            <v>16</v>
          </cell>
          <cell r="H256">
            <v>142967</v>
          </cell>
          <cell r="I256">
            <v>2287472</v>
          </cell>
          <cell r="J256" t="str">
            <v>TS.5.07</v>
          </cell>
        </row>
        <row r="257">
          <cell r="B257" t="str">
            <v>H2-2.3</v>
          </cell>
          <cell r="E257" t="str">
            <v>Static load test for SP and PC pile</v>
          </cell>
          <cell r="F257" t="str">
            <v>nos</v>
          </cell>
          <cell r="G257">
            <v>1</v>
          </cell>
          <cell r="H257">
            <v>19983031</v>
          </cell>
          <cell r="I257">
            <v>19983031</v>
          </cell>
          <cell r="J257" t="str">
            <v>TS.5.07</v>
          </cell>
        </row>
        <row r="258">
          <cell r="B258" t="str">
            <v>H2-2.4</v>
          </cell>
          <cell r="E258" t="str">
            <v>Supply and driving of SP piles, dia. 400 mm</v>
          </cell>
          <cell r="F258" t="str">
            <v>m</v>
          </cell>
          <cell r="G258">
            <v>990</v>
          </cell>
          <cell r="H258">
            <v>366915</v>
          </cell>
          <cell r="I258">
            <v>363245850</v>
          </cell>
          <cell r="J258" t="str">
            <v>TS.5.07</v>
          </cell>
        </row>
        <row r="259">
          <cell r="B259" t="str">
            <v>H2-2.5</v>
          </cell>
          <cell r="E259" t="str">
            <v>Supply and driving of PC piles, dia. 400 mm, type B</v>
          </cell>
          <cell r="F259" t="str">
            <v>m</v>
          </cell>
          <cell r="G259">
            <v>900</v>
          </cell>
          <cell r="H259">
            <v>142967</v>
          </cell>
          <cell r="I259">
            <v>128670300</v>
          </cell>
          <cell r="J259" t="str">
            <v>TS.5.07</v>
          </cell>
        </row>
        <row r="260">
          <cell r="B260" t="str">
            <v>H2-2.6</v>
          </cell>
          <cell r="E260" t="str">
            <v>Reinforcing steel bar</v>
          </cell>
          <cell r="F260" t="str">
            <v>kg</v>
          </cell>
          <cell r="G260">
            <v>14500</v>
          </cell>
          <cell r="H260">
            <v>3554</v>
          </cell>
          <cell r="I260">
            <v>51533000</v>
          </cell>
          <cell r="J260" t="str">
            <v>TS.3.24</v>
          </cell>
        </row>
        <row r="261">
          <cell r="B261" t="str">
            <v>H2-2.7</v>
          </cell>
          <cell r="E261" t="str">
            <v>Concrete, type C1</v>
          </cell>
          <cell r="F261" t="str">
            <v>m³</v>
          </cell>
          <cell r="G261">
            <v>51</v>
          </cell>
          <cell r="H261">
            <v>316982</v>
          </cell>
          <cell r="I261">
            <v>16166082</v>
          </cell>
          <cell r="J261" t="str">
            <v>TS.3.24</v>
          </cell>
        </row>
        <row r="262">
          <cell r="B262" t="str">
            <v>H2.3</v>
          </cell>
          <cell r="E262" t="str">
            <v>CONCRETE WORKS  for PIER, ABUTMENT and APPROACH SLAB</v>
          </cell>
        </row>
        <row r="263">
          <cell r="B263" t="str">
            <v>H2-3.1</v>
          </cell>
          <cell r="E263" t="str">
            <v>Concrete, type C1</v>
          </cell>
          <cell r="F263" t="str">
            <v>m³</v>
          </cell>
          <cell r="G263">
            <v>500</v>
          </cell>
          <cell r="H263">
            <v>314524</v>
          </cell>
          <cell r="I263">
            <v>157262000</v>
          </cell>
          <cell r="J263" t="str">
            <v>TS.3.24</v>
          </cell>
        </row>
        <row r="264">
          <cell r="B264" t="str">
            <v>H2-3.2</v>
          </cell>
          <cell r="E264" t="str">
            <v>Concrete, type E</v>
          </cell>
          <cell r="F264" t="str">
            <v>m³</v>
          </cell>
          <cell r="G264">
            <v>22</v>
          </cell>
          <cell r="H264">
            <v>289443</v>
          </cell>
          <cell r="I264">
            <v>6367746</v>
          </cell>
          <cell r="J264" t="str">
            <v>TS.3.24</v>
          </cell>
        </row>
        <row r="265">
          <cell r="B265" t="str">
            <v>H2-3.3</v>
          </cell>
          <cell r="E265" t="str">
            <v>Reinforcing steel bar</v>
          </cell>
          <cell r="F265" t="str">
            <v>kg</v>
          </cell>
          <cell r="G265">
            <v>74900</v>
          </cell>
          <cell r="H265">
            <v>3554</v>
          </cell>
          <cell r="I265">
            <v>266194600</v>
          </cell>
          <cell r="J265" t="str">
            <v>TS.3.24</v>
          </cell>
        </row>
        <row r="266">
          <cell r="B266" t="str">
            <v>H2-3.4</v>
          </cell>
          <cell r="E266" t="str">
            <v>Formwork FW1</v>
          </cell>
          <cell r="F266" t="str">
            <v>m²</v>
          </cell>
          <cell r="G266">
            <v>340</v>
          </cell>
          <cell r="H266">
            <v>70833</v>
          </cell>
          <cell r="I266">
            <v>24083220</v>
          </cell>
          <cell r="J266" t="str">
            <v>TS.3.24</v>
          </cell>
        </row>
        <row r="267">
          <cell r="B267" t="str">
            <v>H2-3.5</v>
          </cell>
          <cell r="E267" t="str">
            <v>Formwork FW2</v>
          </cell>
          <cell r="F267" t="str">
            <v>m²</v>
          </cell>
          <cell r="G267">
            <v>460</v>
          </cell>
          <cell r="H267">
            <v>84938</v>
          </cell>
          <cell r="I267">
            <v>39071480</v>
          </cell>
          <cell r="J267" t="str">
            <v>TS.3.24</v>
          </cell>
        </row>
        <row r="268">
          <cell r="B268" t="str">
            <v>H2-3.6</v>
          </cell>
          <cell r="E268" t="str">
            <v>Rubble stone bedding</v>
          </cell>
          <cell r="F268" t="str">
            <v>m³</v>
          </cell>
          <cell r="G268">
            <v>46</v>
          </cell>
          <cell r="H268">
            <v>75157</v>
          </cell>
          <cell r="I268">
            <v>3457222</v>
          </cell>
          <cell r="J268" t="str">
            <v>TS.4.14</v>
          </cell>
        </row>
        <row r="269">
          <cell r="B269" t="str">
            <v>H2.4</v>
          </cell>
          <cell r="E269" t="str">
            <v>CONCRETE WORKS for SUPER STRUCTURE</v>
          </cell>
        </row>
        <row r="270">
          <cell r="B270" t="str">
            <v>H2-4.1</v>
          </cell>
          <cell r="E270" t="str">
            <v>Precast prestressed concrete beam including tensioning and erection</v>
          </cell>
          <cell r="F270" t="str">
            <v>ls</v>
          </cell>
          <cell r="G270">
            <v>1</v>
          </cell>
          <cell r="H270">
            <v>678092960</v>
          </cell>
          <cell r="I270">
            <v>678092960</v>
          </cell>
          <cell r="J270" t="str">
            <v>TS.8.07</v>
          </cell>
        </row>
        <row r="271">
          <cell r="B271" t="str">
            <v>H2-4.2</v>
          </cell>
          <cell r="E271" t="str">
            <v>Precast prestressed concrete diaphragm</v>
          </cell>
          <cell r="F271" t="str">
            <v>ls</v>
          </cell>
          <cell r="G271">
            <v>1</v>
          </cell>
          <cell r="H271">
            <v>20168232</v>
          </cell>
          <cell r="I271">
            <v>20168232</v>
          </cell>
          <cell r="J271" t="str">
            <v>TS.8.07</v>
          </cell>
        </row>
        <row r="272">
          <cell r="B272" t="str">
            <v>H2-4.3</v>
          </cell>
          <cell r="E272" t="str">
            <v>Prestressed concrete panel for slab</v>
          </cell>
          <cell r="F272" t="str">
            <v>ls</v>
          </cell>
          <cell r="G272">
            <v>1</v>
          </cell>
          <cell r="H272">
            <v>109406928</v>
          </cell>
          <cell r="I272">
            <v>109406928</v>
          </cell>
          <cell r="J272" t="str">
            <v>TS.8.07</v>
          </cell>
        </row>
        <row r="273">
          <cell r="B273" t="str">
            <v>H2-4.4</v>
          </cell>
          <cell r="E273" t="str">
            <v>Concrete, type B for slab</v>
          </cell>
          <cell r="F273" t="str">
            <v>m³</v>
          </cell>
          <cell r="G273">
            <v>190</v>
          </cell>
          <cell r="H273">
            <v>412435</v>
          </cell>
          <cell r="I273">
            <v>78362650</v>
          </cell>
          <cell r="J273" t="str">
            <v>TS.3.24</v>
          </cell>
        </row>
        <row r="274">
          <cell r="B274" t="str">
            <v>H2-4.5</v>
          </cell>
          <cell r="E274" t="str">
            <v>Reinforcing steel bar</v>
          </cell>
          <cell r="F274" t="str">
            <v>kg</v>
          </cell>
          <cell r="G274">
            <v>36500</v>
          </cell>
          <cell r="H274">
            <v>3554</v>
          </cell>
          <cell r="I274">
            <v>129721000</v>
          </cell>
          <cell r="J274" t="str">
            <v>TS.3.24</v>
          </cell>
        </row>
        <row r="275">
          <cell r="B275" t="str">
            <v>H2-4.6</v>
          </cell>
          <cell r="E275" t="str">
            <v>Formwork FW2</v>
          </cell>
          <cell r="F275" t="str">
            <v>m²</v>
          </cell>
          <cell r="G275">
            <v>360</v>
          </cell>
          <cell r="H275">
            <v>84938</v>
          </cell>
          <cell r="I275">
            <v>30577680</v>
          </cell>
          <cell r="J275" t="str">
            <v>TS.3.24</v>
          </cell>
        </row>
        <row r="276">
          <cell r="B276" t="str">
            <v>H2.5</v>
          </cell>
          <cell r="E276" t="str">
            <v>MISCELLANEOUS WORKS</v>
          </cell>
        </row>
        <row r="277">
          <cell r="B277" t="str">
            <v>H2-5.1</v>
          </cell>
          <cell r="E277" t="str">
            <v>Expansion joint steel profile (75 mm x 75 mm x 6 mm)</v>
          </cell>
          <cell r="F277" t="str">
            <v>m</v>
          </cell>
          <cell r="G277">
            <v>32</v>
          </cell>
          <cell r="H277">
            <v>79130</v>
          </cell>
          <cell r="I277">
            <v>2532160</v>
          </cell>
          <cell r="J277" t="str">
            <v>TS.6.09</v>
          </cell>
        </row>
        <row r="278">
          <cell r="B278" t="str">
            <v>H2-5.2</v>
          </cell>
          <cell r="E278" t="str">
            <v>Elastomeric bearing pad for abutment 406 mm x 280 mm x 67 mm</v>
          </cell>
          <cell r="F278" t="str">
            <v>nos</v>
          </cell>
          <cell r="G278">
            <v>11</v>
          </cell>
          <cell r="H278">
            <v>739517</v>
          </cell>
          <cell r="I278">
            <v>8134687</v>
          </cell>
          <cell r="J278" t="str">
            <v>TS.8.07</v>
          </cell>
        </row>
        <row r="279">
          <cell r="B279" t="str">
            <v>H2-5.3</v>
          </cell>
          <cell r="E279" t="str">
            <v>Elastomeric bearing pad for pier 406 mm x 280 mm x 67 mm</v>
          </cell>
          <cell r="F279" t="str">
            <v>nos</v>
          </cell>
          <cell r="G279">
            <v>22</v>
          </cell>
          <cell r="H279">
            <v>739517</v>
          </cell>
          <cell r="I279">
            <v>16269374</v>
          </cell>
          <cell r="J279" t="str">
            <v>TS.8.07</v>
          </cell>
        </row>
        <row r="280">
          <cell r="B280" t="str">
            <v>H2-5.4</v>
          </cell>
          <cell r="E280" t="str">
            <v>Galvanized pipe drain dia. 100 mm</v>
          </cell>
          <cell r="F280" t="str">
            <v>m</v>
          </cell>
          <cell r="G280">
            <v>66</v>
          </cell>
          <cell r="H280">
            <v>83894</v>
          </cell>
          <cell r="I280">
            <v>5537004</v>
          </cell>
          <cell r="J280" t="str">
            <v>TS.8.07</v>
          </cell>
        </row>
        <row r="281">
          <cell r="B281" t="str">
            <v>H2-5.5</v>
          </cell>
          <cell r="E281" t="str">
            <v>Handrail, galvanized steel pipe</v>
          </cell>
          <cell r="F281" t="str">
            <v>kg</v>
          </cell>
          <cell r="G281">
            <v>4170</v>
          </cell>
          <cell r="H281">
            <v>6963</v>
          </cell>
          <cell r="I281">
            <v>29035710</v>
          </cell>
          <cell r="J281" t="str">
            <v>TS.6.09</v>
          </cell>
        </row>
        <row r="282">
          <cell r="B282" t="str">
            <v>H2-5.6</v>
          </cell>
          <cell r="E282" t="str">
            <v>Concrete, type C1 for handrail post, curb and footpass</v>
          </cell>
          <cell r="F282" t="str">
            <v>m³</v>
          </cell>
          <cell r="G282">
            <v>66</v>
          </cell>
          <cell r="H282">
            <v>315498</v>
          </cell>
          <cell r="I282">
            <v>20822868</v>
          </cell>
          <cell r="J282" t="str">
            <v>TS.3.24</v>
          </cell>
        </row>
        <row r="283">
          <cell r="B283" t="str">
            <v>H2-5.7</v>
          </cell>
          <cell r="E283" t="str">
            <v>Formwork FW1</v>
          </cell>
          <cell r="F283" t="str">
            <v>m²</v>
          </cell>
          <cell r="G283">
            <v>295</v>
          </cell>
          <cell r="H283">
            <v>70833</v>
          </cell>
          <cell r="I283">
            <v>20895735</v>
          </cell>
          <cell r="J283" t="str">
            <v>TS.3.24</v>
          </cell>
        </row>
        <row r="284">
          <cell r="B284" t="str">
            <v>H2-5.8</v>
          </cell>
          <cell r="E284" t="str">
            <v>Name plate</v>
          </cell>
          <cell r="F284" t="str">
            <v>nos</v>
          </cell>
          <cell r="G284">
            <v>2</v>
          </cell>
          <cell r="H284">
            <v>999152</v>
          </cell>
          <cell r="I284">
            <v>1998304</v>
          </cell>
          <cell r="J284" t="str">
            <v>TS.8.07</v>
          </cell>
        </row>
        <row r="285">
          <cell r="B285" t="str">
            <v>H2.6</v>
          </cell>
          <cell r="E285" t="str">
            <v>DRAINAGE DITCH and RETAINING WALL for APPROACH ROAD</v>
          </cell>
        </row>
        <row r="286">
          <cell r="B286" t="str">
            <v>H2-6.1</v>
          </cell>
          <cell r="E286" t="str">
            <v>Backfill with gravel</v>
          </cell>
          <cell r="F286" t="str">
            <v>m³</v>
          </cell>
          <cell r="G286">
            <v>110</v>
          </cell>
          <cell r="H286">
            <v>77757</v>
          </cell>
          <cell r="I286">
            <v>8553270</v>
          </cell>
          <cell r="J286" t="str">
            <v>TS.4.14</v>
          </cell>
        </row>
        <row r="287">
          <cell r="B287" t="str">
            <v>H2-6.2</v>
          </cell>
          <cell r="E287" t="str">
            <v>Wet stone masonry (1:4) for drainage ditch</v>
          </cell>
          <cell r="F287" t="str">
            <v>m³</v>
          </cell>
          <cell r="G287">
            <v>1190</v>
          </cell>
          <cell r="H287">
            <v>163909</v>
          </cell>
          <cell r="I287">
            <v>195051710</v>
          </cell>
          <cell r="J287" t="str">
            <v>TS.4.14</v>
          </cell>
        </row>
        <row r="288">
          <cell r="B288" t="str">
            <v>H2-6.3</v>
          </cell>
          <cell r="E288" t="str">
            <v>Cement mortar plastering</v>
          </cell>
          <cell r="F288" t="str">
            <v>m²</v>
          </cell>
          <cell r="G288">
            <v>990</v>
          </cell>
          <cell r="H288">
            <v>12274</v>
          </cell>
          <cell r="I288">
            <v>12151260</v>
          </cell>
          <cell r="J288" t="str">
            <v>TS.4.14</v>
          </cell>
        </row>
        <row r="289">
          <cell r="B289" t="str">
            <v>H2-6.4</v>
          </cell>
          <cell r="E289" t="str">
            <v>Concrete, type C1</v>
          </cell>
          <cell r="F289" t="str">
            <v>m³</v>
          </cell>
          <cell r="G289">
            <v>9</v>
          </cell>
          <cell r="H289">
            <v>347458</v>
          </cell>
          <cell r="I289">
            <v>3127122</v>
          </cell>
          <cell r="J289" t="str">
            <v>TS.3.24</v>
          </cell>
        </row>
        <row r="290">
          <cell r="B290" t="str">
            <v>H2-6.5</v>
          </cell>
          <cell r="E290" t="str">
            <v>Concrete, type E</v>
          </cell>
          <cell r="F290" t="str">
            <v>m³</v>
          </cell>
          <cell r="G290">
            <v>4</v>
          </cell>
          <cell r="H290">
            <v>323505</v>
          </cell>
          <cell r="I290">
            <v>1294020</v>
          </cell>
          <cell r="J290" t="str">
            <v>TS.3.24</v>
          </cell>
        </row>
        <row r="291">
          <cell r="B291" t="str">
            <v>H2-6.6</v>
          </cell>
          <cell r="E291" t="str">
            <v>Reinforcing steel bar</v>
          </cell>
          <cell r="F291" t="str">
            <v>kg</v>
          </cell>
          <cell r="G291">
            <v>1160</v>
          </cell>
          <cell r="H291">
            <v>3554</v>
          </cell>
          <cell r="I291">
            <v>4122640</v>
          </cell>
          <cell r="J291" t="str">
            <v>TS.3.24</v>
          </cell>
        </row>
        <row r="292">
          <cell r="B292" t="str">
            <v>H2-6.7</v>
          </cell>
          <cell r="E292" t="str">
            <v>Formwork FW1</v>
          </cell>
          <cell r="F292" t="str">
            <v>m²</v>
          </cell>
          <cell r="G292">
            <v>470</v>
          </cell>
          <cell r="H292">
            <v>70833</v>
          </cell>
          <cell r="I292">
            <v>33291510</v>
          </cell>
          <cell r="J292" t="str">
            <v>TS.3.24</v>
          </cell>
        </row>
        <row r="293">
          <cell r="B293" t="str">
            <v>H2-6.8</v>
          </cell>
          <cell r="E293" t="str">
            <v>Weep hole, dia. 50 mm, including filter clotch L = 1.5 m</v>
          </cell>
          <cell r="F293" t="str">
            <v>nos</v>
          </cell>
          <cell r="G293">
            <v>240</v>
          </cell>
          <cell r="H293">
            <v>72163</v>
          </cell>
          <cell r="I293">
            <v>17319120</v>
          </cell>
          <cell r="J293" t="str">
            <v>TS.4.14</v>
          </cell>
        </row>
        <row r="294">
          <cell r="B294" t="str">
            <v>H2.7</v>
          </cell>
          <cell r="E294" t="str">
            <v>PAVEMENT (SUPERSTRUCTURE and APPROACH ROAD : CLASS II)</v>
          </cell>
        </row>
        <row r="295">
          <cell r="B295" t="str">
            <v>H2-7.1</v>
          </cell>
          <cell r="E295" t="str">
            <v>Sub-base course (class B)</v>
          </cell>
          <cell r="F295" t="str">
            <v>m³</v>
          </cell>
          <cell r="G295">
            <v>220</v>
          </cell>
          <cell r="H295">
            <v>108708</v>
          </cell>
          <cell r="I295">
            <v>23915760</v>
          </cell>
          <cell r="J295" t="str">
            <v>TS.7.09</v>
          </cell>
        </row>
        <row r="296">
          <cell r="B296" t="str">
            <v>H2-7.2</v>
          </cell>
          <cell r="E296" t="str">
            <v>Base course (class A)</v>
          </cell>
          <cell r="F296" t="str">
            <v>m³</v>
          </cell>
          <cell r="G296">
            <v>100</v>
          </cell>
          <cell r="H296">
            <v>115502</v>
          </cell>
          <cell r="I296">
            <v>11550200</v>
          </cell>
          <cell r="J296" t="str">
            <v>TS.7.09</v>
          </cell>
        </row>
        <row r="297">
          <cell r="B297" t="str">
            <v>H2-7.3</v>
          </cell>
          <cell r="E297" t="str">
            <v>Asphalt treatment base (A.T.B)</v>
          </cell>
          <cell r="F297" t="str">
            <v>ton</v>
          </cell>
          <cell r="G297">
            <v>150</v>
          </cell>
          <cell r="H297">
            <v>319328</v>
          </cell>
          <cell r="I297">
            <v>47899200</v>
          </cell>
          <cell r="J297" t="str">
            <v>TS.7.09</v>
          </cell>
        </row>
        <row r="298">
          <cell r="B298" t="str">
            <v>H2-7.4</v>
          </cell>
          <cell r="E298" t="str">
            <v>Bituminous prime coat</v>
          </cell>
          <cell r="F298" t="str">
            <v>liter</v>
          </cell>
          <cell r="G298">
            <v>1550</v>
          </cell>
          <cell r="H298">
            <v>3737</v>
          </cell>
          <cell r="I298">
            <v>5792350</v>
          </cell>
          <cell r="J298" t="str">
            <v>TS.7.09</v>
          </cell>
        </row>
        <row r="299">
          <cell r="B299" t="str">
            <v>H2-7.5</v>
          </cell>
          <cell r="E299" t="str">
            <v>Bituminous surface course 50 mm thick</v>
          </cell>
          <cell r="F299" t="str">
            <v>ton</v>
          </cell>
          <cell r="G299">
            <v>150</v>
          </cell>
          <cell r="H299">
            <v>322726</v>
          </cell>
          <cell r="I299">
            <v>48408900</v>
          </cell>
          <cell r="J299" t="str">
            <v>TS.7.09</v>
          </cell>
        </row>
        <row r="300">
          <cell r="B300" t="str">
            <v>H3</v>
          </cell>
          <cell r="E300" t="str">
            <v>PERKUBUNAN BRIDGE (P2)</v>
          </cell>
        </row>
        <row r="301">
          <cell r="B301" t="str">
            <v>H3.1</v>
          </cell>
          <cell r="E301" t="str">
            <v>EARTH WORK</v>
          </cell>
        </row>
        <row r="302">
          <cell r="B302" t="str">
            <v>H3-1.1</v>
          </cell>
          <cell r="E302" t="str">
            <v>Excavation (common)</v>
          </cell>
          <cell r="F302" t="str">
            <v>m³</v>
          </cell>
          <cell r="G302">
            <v>2990</v>
          </cell>
          <cell r="H302">
            <v>6921</v>
          </cell>
          <cell r="I302">
            <v>20693790</v>
          </cell>
          <cell r="J302" t="str">
            <v>TS.2.10</v>
          </cell>
        </row>
        <row r="303">
          <cell r="B303" t="str">
            <v>H3-1.2</v>
          </cell>
          <cell r="E303" t="str">
            <v>Embankment</v>
          </cell>
          <cell r="F303" t="str">
            <v>m³</v>
          </cell>
          <cell r="G303">
            <v>4720</v>
          </cell>
          <cell r="H303">
            <v>5574</v>
          </cell>
          <cell r="I303">
            <v>26309280</v>
          </cell>
          <cell r="J303" t="str">
            <v>TS.2.10</v>
          </cell>
        </row>
        <row r="304">
          <cell r="B304" t="str">
            <v>H3-1.3</v>
          </cell>
          <cell r="E304" t="str">
            <v>Backfill with selected soil</v>
          </cell>
          <cell r="F304" t="str">
            <v>m³</v>
          </cell>
          <cell r="G304">
            <v>830</v>
          </cell>
          <cell r="H304">
            <v>5530</v>
          </cell>
          <cell r="I304">
            <v>4589900</v>
          </cell>
          <cell r="J304" t="str">
            <v>TS.2.10</v>
          </cell>
        </row>
        <row r="305">
          <cell r="B305" t="str">
            <v>H3-1.4</v>
          </cell>
          <cell r="E305" t="str">
            <v>Solid sodding</v>
          </cell>
          <cell r="F305" t="str">
            <v>m²</v>
          </cell>
          <cell r="G305">
            <v>640</v>
          </cell>
          <cell r="H305">
            <v>6139</v>
          </cell>
          <cell r="I305">
            <v>3928960</v>
          </cell>
          <cell r="J305" t="str">
            <v>TS.4.14</v>
          </cell>
        </row>
        <row r="306">
          <cell r="B306" t="str">
            <v>H3-1.5</v>
          </cell>
          <cell r="E306" t="str">
            <v>Demolition and removal of existing structure</v>
          </cell>
          <cell r="F306" t="str">
            <v>ls</v>
          </cell>
          <cell r="G306">
            <v>1</v>
          </cell>
          <cell r="H306">
            <v>20156373</v>
          </cell>
          <cell r="I306">
            <v>20156373</v>
          </cell>
          <cell r="J306" t="str">
            <v>TS.2.10</v>
          </cell>
        </row>
        <row r="307">
          <cell r="B307" t="str">
            <v>H3.2</v>
          </cell>
          <cell r="E307" t="str">
            <v>PILE FOUNDATION WORKS for PIER and ABUTMENT</v>
          </cell>
        </row>
        <row r="308">
          <cell r="B308" t="str">
            <v>H3-2.1</v>
          </cell>
          <cell r="E308" t="str">
            <v>SP pile for test pile, dia. 400 mm</v>
          </cell>
          <cell r="F308" t="str">
            <v>m</v>
          </cell>
          <cell r="G308">
            <v>20</v>
          </cell>
          <cell r="H308">
            <v>366915</v>
          </cell>
          <cell r="I308">
            <v>7338300</v>
          </cell>
          <cell r="J308" t="str">
            <v>TS.5.07</v>
          </cell>
        </row>
        <row r="309">
          <cell r="B309" t="str">
            <v>H3-2.2</v>
          </cell>
          <cell r="E309" t="str">
            <v>PC pile for test pile, dia. 400 mm, type B</v>
          </cell>
          <cell r="F309" t="str">
            <v>m</v>
          </cell>
          <cell r="G309">
            <v>20</v>
          </cell>
          <cell r="H309">
            <v>142967</v>
          </cell>
          <cell r="I309">
            <v>2859340</v>
          </cell>
          <cell r="J309" t="str">
            <v>TS.5.07</v>
          </cell>
        </row>
        <row r="310">
          <cell r="B310" t="str">
            <v>H3-2.3</v>
          </cell>
          <cell r="E310" t="str">
            <v>Static load test for SP and PC pile</v>
          </cell>
          <cell r="F310" t="str">
            <v>nos</v>
          </cell>
          <cell r="G310">
            <v>1</v>
          </cell>
          <cell r="H310">
            <v>19983031</v>
          </cell>
          <cell r="I310">
            <v>19983031</v>
          </cell>
          <cell r="J310" t="str">
            <v>TS.5.07</v>
          </cell>
        </row>
        <row r="311">
          <cell r="B311" t="str">
            <v>H3-2.4</v>
          </cell>
          <cell r="E311" t="str">
            <v>Supply and driving of SP piles, dia. 400 mm</v>
          </cell>
          <cell r="F311" t="str">
            <v>m</v>
          </cell>
          <cell r="G311">
            <v>480</v>
          </cell>
          <cell r="H311">
            <v>366915</v>
          </cell>
          <cell r="I311">
            <v>176119200</v>
          </cell>
          <cell r="J311" t="str">
            <v>TS.5.07</v>
          </cell>
        </row>
        <row r="312">
          <cell r="B312" t="str">
            <v>H3-2.5</v>
          </cell>
          <cell r="E312" t="str">
            <v>Supply and driving of PC piles, dia. 400 mm, type B</v>
          </cell>
          <cell r="F312" t="str">
            <v>m</v>
          </cell>
          <cell r="G312">
            <v>1150</v>
          </cell>
          <cell r="H312">
            <v>142967</v>
          </cell>
          <cell r="I312">
            <v>164412050</v>
          </cell>
          <cell r="J312" t="str">
            <v>TS.5.07</v>
          </cell>
        </row>
        <row r="313">
          <cell r="B313" t="str">
            <v>H3-2.6</v>
          </cell>
          <cell r="E313" t="str">
            <v>Reinforcing steel bar</v>
          </cell>
          <cell r="F313" t="str">
            <v>kg</v>
          </cell>
          <cell r="G313">
            <v>9820</v>
          </cell>
          <cell r="H313">
            <v>3554</v>
          </cell>
          <cell r="I313">
            <v>34900280</v>
          </cell>
          <cell r="J313" t="str">
            <v>TS.3.24</v>
          </cell>
        </row>
        <row r="314">
          <cell r="B314" t="str">
            <v>H3-2.7</v>
          </cell>
          <cell r="E314" t="str">
            <v>Concrete, type C1</v>
          </cell>
          <cell r="F314" t="str">
            <v>m³</v>
          </cell>
          <cell r="G314">
            <v>30</v>
          </cell>
          <cell r="H314">
            <v>321554</v>
          </cell>
          <cell r="I314">
            <v>9646620</v>
          </cell>
          <cell r="J314" t="str">
            <v>TS.3.24</v>
          </cell>
        </row>
        <row r="315">
          <cell r="B315" t="str">
            <v>H3.3</v>
          </cell>
          <cell r="E315" t="str">
            <v>CONCRETE WORKS for PIER, ABUTMENT and APPROACH SLAB</v>
          </cell>
        </row>
        <row r="316">
          <cell r="B316" t="str">
            <v>H3-3.1</v>
          </cell>
          <cell r="E316" t="str">
            <v>Concrete, type C1</v>
          </cell>
          <cell r="F316" t="str">
            <v>m³</v>
          </cell>
          <cell r="G316">
            <v>480</v>
          </cell>
          <cell r="H316">
            <v>314524</v>
          </cell>
          <cell r="I316">
            <v>150971520</v>
          </cell>
          <cell r="J316" t="str">
            <v>TS.3.24</v>
          </cell>
        </row>
        <row r="317">
          <cell r="B317" t="str">
            <v>H3-3.2</v>
          </cell>
          <cell r="E317" t="str">
            <v>Concrete, type E</v>
          </cell>
          <cell r="F317" t="str">
            <v>m³</v>
          </cell>
          <cell r="G317">
            <v>22</v>
          </cell>
          <cell r="H317">
            <v>289443</v>
          </cell>
          <cell r="I317">
            <v>6367746</v>
          </cell>
          <cell r="J317" t="str">
            <v>TS.3.24</v>
          </cell>
        </row>
        <row r="318">
          <cell r="B318" t="str">
            <v>H3-3.3</v>
          </cell>
          <cell r="E318" t="str">
            <v>Reinforcing steel bar</v>
          </cell>
          <cell r="F318" t="str">
            <v>kg</v>
          </cell>
          <cell r="G318">
            <v>71600</v>
          </cell>
          <cell r="H318">
            <v>3554</v>
          </cell>
          <cell r="I318">
            <v>254466400</v>
          </cell>
          <cell r="J318" t="str">
            <v>TS.3.24</v>
          </cell>
        </row>
        <row r="319">
          <cell r="B319" t="str">
            <v>H3-3.4</v>
          </cell>
          <cell r="E319" t="str">
            <v>Formwork FW1</v>
          </cell>
          <cell r="F319" t="str">
            <v>m²</v>
          </cell>
          <cell r="G319">
            <v>350</v>
          </cell>
          <cell r="H319">
            <v>70833</v>
          </cell>
          <cell r="I319">
            <v>24791550</v>
          </cell>
          <cell r="J319" t="str">
            <v>TS.3.24</v>
          </cell>
        </row>
        <row r="320">
          <cell r="B320" t="str">
            <v>H3-3.5</v>
          </cell>
          <cell r="E320" t="str">
            <v>Formwork FW2</v>
          </cell>
          <cell r="F320" t="str">
            <v>m²</v>
          </cell>
          <cell r="G320">
            <v>410</v>
          </cell>
          <cell r="H320">
            <v>84938</v>
          </cell>
          <cell r="I320">
            <v>34824580</v>
          </cell>
          <cell r="J320" t="str">
            <v>TS.3.24</v>
          </cell>
        </row>
        <row r="321">
          <cell r="B321" t="str">
            <v>H3-3.6</v>
          </cell>
          <cell r="E321" t="str">
            <v>Rubble stone bedding</v>
          </cell>
          <cell r="F321" t="str">
            <v>m³</v>
          </cell>
          <cell r="G321">
            <v>46</v>
          </cell>
          <cell r="H321">
            <v>75157</v>
          </cell>
          <cell r="I321">
            <v>3457222</v>
          </cell>
          <cell r="J321" t="str">
            <v>TS.4.14</v>
          </cell>
        </row>
        <row r="322">
          <cell r="B322" t="str">
            <v>H3.4</v>
          </cell>
          <cell r="E322" t="str">
            <v>CONCRETE WORKS for SUPER STRUCTURE</v>
          </cell>
        </row>
        <row r="323">
          <cell r="B323" t="str">
            <v>H3-4.1</v>
          </cell>
          <cell r="E323" t="str">
            <v>Precast prestressed concrete beam including tensioning and erection</v>
          </cell>
          <cell r="F323" t="str">
            <v>ls</v>
          </cell>
          <cell r="G323">
            <v>1</v>
          </cell>
          <cell r="H323">
            <v>1208990874</v>
          </cell>
          <cell r="I323">
            <v>1208990874</v>
          </cell>
          <cell r="J323" t="str">
            <v>TS.8.07</v>
          </cell>
        </row>
        <row r="324">
          <cell r="B324" t="str">
            <v>H3-4.2</v>
          </cell>
          <cell r="E324" t="str">
            <v>Precats prestressed concrete diaphragm</v>
          </cell>
          <cell r="F324" t="str">
            <v>ls</v>
          </cell>
          <cell r="G324">
            <v>1</v>
          </cell>
          <cell r="H324">
            <v>32324938</v>
          </cell>
          <cell r="I324">
            <v>32324938</v>
          </cell>
          <cell r="J324" t="str">
            <v>TS.8.07</v>
          </cell>
        </row>
        <row r="325">
          <cell r="B325" t="str">
            <v>H3-4.3</v>
          </cell>
          <cell r="E325" t="str">
            <v>Prestreed concrete panal for slab</v>
          </cell>
          <cell r="F325" t="str">
            <v>ls</v>
          </cell>
          <cell r="G325">
            <v>1</v>
          </cell>
          <cell r="H325">
            <v>149788277</v>
          </cell>
          <cell r="I325">
            <v>149788277</v>
          </cell>
          <cell r="J325" t="str">
            <v>TS.8.07</v>
          </cell>
        </row>
        <row r="326">
          <cell r="B326" t="str">
            <v>H3-4.4</v>
          </cell>
          <cell r="E326" t="str">
            <v>Concrete, type B for slab</v>
          </cell>
          <cell r="F326" t="str">
            <v>m³</v>
          </cell>
          <cell r="G326">
            <v>220</v>
          </cell>
          <cell r="H326">
            <v>412196</v>
          </cell>
          <cell r="I326">
            <v>90683120</v>
          </cell>
          <cell r="J326" t="str">
            <v>TS.3.24</v>
          </cell>
        </row>
        <row r="327">
          <cell r="B327" t="str">
            <v>H3-4.5</v>
          </cell>
          <cell r="E327" t="str">
            <v>Reinforcing steel bar</v>
          </cell>
          <cell r="F327" t="str">
            <v>kg</v>
          </cell>
          <cell r="G327">
            <v>45500</v>
          </cell>
          <cell r="H327">
            <v>3554</v>
          </cell>
          <cell r="I327">
            <v>161707000</v>
          </cell>
          <cell r="J327" t="str">
            <v>TS.3.24</v>
          </cell>
        </row>
        <row r="328">
          <cell r="B328" t="str">
            <v>H3-4.6</v>
          </cell>
          <cell r="E328" t="str">
            <v>Formwork FW2</v>
          </cell>
          <cell r="F328" t="str">
            <v>m²</v>
          </cell>
          <cell r="G328">
            <v>450</v>
          </cell>
          <cell r="H328">
            <v>84938</v>
          </cell>
          <cell r="I328">
            <v>38222100</v>
          </cell>
          <cell r="J328" t="str">
            <v>TS.3.24</v>
          </cell>
        </row>
        <row r="329">
          <cell r="B329" t="str">
            <v>H3.5</v>
          </cell>
          <cell r="E329" t="str">
            <v>MISCELLANEOUS WORKS</v>
          </cell>
        </row>
        <row r="330">
          <cell r="B330" t="str">
            <v>H3-5.1</v>
          </cell>
          <cell r="E330" t="str">
            <v>Expansion joint steel profile (75 mm x 75 mm x 6 mm)</v>
          </cell>
          <cell r="F330" t="str">
            <v>m</v>
          </cell>
          <cell r="G330">
            <v>32</v>
          </cell>
          <cell r="H330">
            <v>79130</v>
          </cell>
          <cell r="I330">
            <v>2532160</v>
          </cell>
          <cell r="J330" t="str">
            <v>TS.6.09</v>
          </cell>
        </row>
        <row r="331">
          <cell r="B331" t="str">
            <v>H3-5.2</v>
          </cell>
          <cell r="E331" t="str">
            <v>Elastomeric bearing pad for abutment 406 mm x 280 mm x 67 mm</v>
          </cell>
          <cell r="F331" t="str">
            <v>nos</v>
          </cell>
          <cell r="G331">
            <v>11</v>
          </cell>
          <cell r="H331">
            <v>739517</v>
          </cell>
          <cell r="I331">
            <v>8134687</v>
          </cell>
          <cell r="J331" t="str">
            <v>TS.8.07</v>
          </cell>
        </row>
        <row r="332">
          <cell r="B332" t="str">
            <v>H3-5.3</v>
          </cell>
          <cell r="E332" t="str">
            <v>Elastomeric bearing pad for pier 480 mm x 300 mm x 67 mm</v>
          </cell>
          <cell r="F332" t="str">
            <v>nos</v>
          </cell>
          <cell r="G332">
            <v>24</v>
          </cell>
          <cell r="H332">
            <v>946965</v>
          </cell>
          <cell r="I332">
            <v>22727160</v>
          </cell>
          <cell r="J332" t="str">
            <v>TS.8.07</v>
          </cell>
        </row>
        <row r="333">
          <cell r="B333" t="str">
            <v>H3-5.4</v>
          </cell>
          <cell r="E333" t="str">
            <v>Galvanized pipe drain dia. 100 mm</v>
          </cell>
          <cell r="F333" t="str">
            <v>m</v>
          </cell>
          <cell r="G333">
            <v>81</v>
          </cell>
          <cell r="H333">
            <v>83894</v>
          </cell>
          <cell r="I333">
            <v>6795414</v>
          </cell>
          <cell r="J333" t="str">
            <v>TS.8.07</v>
          </cell>
        </row>
        <row r="334">
          <cell r="B334" t="str">
            <v>H3-5.5</v>
          </cell>
          <cell r="E334" t="str">
            <v>Handrail, galvanized steel pipe</v>
          </cell>
          <cell r="F334" t="str">
            <v>kg</v>
          </cell>
          <cell r="G334">
            <v>5220</v>
          </cell>
          <cell r="H334">
            <v>6963</v>
          </cell>
          <cell r="I334">
            <v>36346860</v>
          </cell>
          <cell r="J334" t="str">
            <v>TS.6.09</v>
          </cell>
        </row>
        <row r="335">
          <cell r="B335" t="str">
            <v>H3-5.6</v>
          </cell>
          <cell r="E335" t="str">
            <v>Concrete, type C1 for handrail post, curb and footpass</v>
          </cell>
          <cell r="F335" t="str">
            <v>m³</v>
          </cell>
          <cell r="G335">
            <v>82</v>
          </cell>
          <cell r="H335">
            <v>314514</v>
          </cell>
          <cell r="I335">
            <v>25790148</v>
          </cell>
          <cell r="J335" t="str">
            <v>TS.3.24</v>
          </cell>
        </row>
        <row r="336">
          <cell r="B336" t="str">
            <v>H3-5.7</v>
          </cell>
          <cell r="E336" t="str">
            <v>Formwork FW1</v>
          </cell>
          <cell r="F336" t="str">
            <v>m²</v>
          </cell>
          <cell r="G336">
            <v>355</v>
          </cell>
          <cell r="H336">
            <v>70833</v>
          </cell>
          <cell r="I336">
            <v>25145715</v>
          </cell>
          <cell r="J336" t="str">
            <v>TS.3.24</v>
          </cell>
        </row>
        <row r="337">
          <cell r="B337" t="str">
            <v>H3-5.8</v>
          </cell>
          <cell r="E337" t="str">
            <v>Name plate</v>
          </cell>
          <cell r="F337" t="str">
            <v>nos</v>
          </cell>
          <cell r="G337">
            <v>2</v>
          </cell>
          <cell r="H337">
            <v>999152</v>
          </cell>
          <cell r="I337">
            <v>1998304</v>
          </cell>
          <cell r="J337" t="str">
            <v>TS.8.07</v>
          </cell>
        </row>
        <row r="338">
          <cell r="B338" t="str">
            <v>H3.6</v>
          </cell>
          <cell r="E338" t="str">
            <v>DRAINAGE DITCH and RETAINING WALL for APPROCH ROAD</v>
          </cell>
        </row>
        <row r="339">
          <cell r="B339" t="str">
            <v>H3-6.1</v>
          </cell>
          <cell r="E339" t="str">
            <v>Backfill with gravel</v>
          </cell>
          <cell r="F339" t="str">
            <v>m³</v>
          </cell>
          <cell r="G339">
            <v>240</v>
          </cell>
          <cell r="H339">
            <v>77757</v>
          </cell>
          <cell r="I339">
            <v>18661680</v>
          </cell>
          <cell r="J339" t="str">
            <v>TS.4.14</v>
          </cell>
        </row>
        <row r="340">
          <cell r="B340" t="str">
            <v>H3-6.2</v>
          </cell>
          <cell r="E340" t="str">
            <v>Wet stone masonry (1:4) for drainage ditch</v>
          </cell>
          <cell r="F340" t="str">
            <v>m³</v>
          </cell>
          <cell r="G340">
            <v>500</v>
          </cell>
          <cell r="H340">
            <v>163909</v>
          </cell>
          <cell r="I340">
            <v>81954500</v>
          </cell>
          <cell r="J340" t="str">
            <v>TS.4.14</v>
          </cell>
        </row>
        <row r="341">
          <cell r="B341" t="str">
            <v>H3-6.3</v>
          </cell>
          <cell r="E341" t="str">
            <v>Cement mortar plastering</v>
          </cell>
          <cell r="F341" t="str">
            <v>m²</v>
          </cell>
          <cell r="G341">
            <v>760</v>
          </cell>
          <cell r="H341">
            <v>12274</v>
          </cell>
          <cell r="I341">
            <v>9328240</v>
          </cell>
          <cell r="J341" t="str">
            <v>TS.4.14</v>
          </cell>
        </row>
        <row r="342">
          <cell r="B342" t="str">
            <v>H3-6.4</v>
          </cell>
          <cell r="E342" t="str">
            <v>Concrete, type C1</v>
          </cell>
          <cell r="F342" t="str">
            <v>m³</v>
          </cell>
          <cell r="G342">
            <v>7</v>
          </cell>
          <cell r="H342">
            <v>358031</v>
          </cell>
          <cell r="I342">
            <v>2506217</v>
          </cell>
          <cell r="J342" t="str">
            <v>TS.3.24</v>
          </cell>
        </row>
        <row r="343">
          <cell r="B343" t="str">
            <v>H3-6.5</v>
          </cell>
          <cell r="E343" t="str">
            <v>Concrete, type E</v>
          </cell>
          <cell r="F343" t="str">
            <v>m³</v>
          </cell>
          <cell r="G343">
            <v>5</v>
          </cell>
          <cell r="H343">
            <v>315179</v>
          </cell>
          <cell r="I343">
            <v>1575895</v>
          </cell>
          <cell r="J343" t="str">
            <v>TS.3.24</v>
          </cell>
        </row>
        <row r="344">
          <cell r="B344" t="str">
            <v>H3-6.6</v>
          </cell>
          <cell r="E344" t="str">
            <v>Reinforcing steel bar</v>
          </cell>
          <cell r="F344" t="str">
            <v>kg</v>
          </cell>
          <cell r="G344">
            <v>910</v>
          </cell>
          <cell r="H344">
            <v>3554</v>
          </cell>
          <cell r="I344">
            <v>3234140</v>
          </cell>
          <cell r="J344" t="str">
            <v>TS.3.24</v>
          </cell>
        </row>
        <row r="345">
          <cell r="B345" t="str">
            <v>H3-6.7</v>
          </cell>
          <cell r="E345" t="str">
            <v>Formwork FW1</v>
          </cell>
          <cell r="F345" t="str">
            <v>m²</v>
          </cell>
          <cell r="G345">
            <v>280</v>
          </cell>
          <cell r="H345">
            <v>70833</v>
          </cell>
          <cell r="I345">
            <v>19833240</v>
          </cell>
          <cell r="J345" t="str">
            <v>TS.3.24</v>
          </cell>
        </row>
        <row r="346">
          <cell r="B346" t="str">
            <v>H3-6.8</v>
          </cell>
          <cell r="E346" t="str">
            <v>Weep hole, dia. 50 mm, including filter clotch</v>
          </cell>
          <cell r="F346" t="str">
            <v>nos</v>
          </cell>
          <cell r="G346">
            <v>190</v>
          </cell>
          <cell r="H346">
            <v>72163</v>
          </cell>
          <cell r="I346">
            <v>13710970</v>
          </cell>
          <cell r="J346" t="str">
            <v>TS.4.14</v>
          </cell>
        </row>
        <row r="347">
          <cell r="B347" t="str">
            <v>H3.7</v>
          </cell>
          <cell r="E347" t="str">
            <v>PAVEMENT (SUPER STRUCTURE and APPROACH ROAD : CLASS II)</v>
          </cell>
        </row>
        <row r="348">
          <cell r="B348" t="str">
            <v>H3-7.1</v>
          </cell>
          <cell r="E348" t="str">
            <v>Sub-base course (class B)</v>
          </cell>
          <cell r="F348" t="str">
            <v>m³</v>
          </cell>
          <cell r="G348">
            <v>290</v>
          </cell>
          <cell r="H348">
            <v>108708</v>
          </cell>
          <cell r="I348">
            <v>31525320</v>
          </cell>
          <cell r="J348" t="str">
            <v>TS.7.09</v>
          </cell>
        </row>
        <row r="349">
          <cell r="B349" t="str">
            <v>H3-7.2</v>
          </cell>
          <cell r="E349" t="str">
            <v>Base course (class A)</v>
          </cell>
          <cell r="F349" t="str">
            <v>m³</v>
          </cell>
          <cell r="G349">
            <v>140</v>
          </cell>
          <cell r="H349">
            <v>115502</v>
          </cell>
          <cell r="I349">
            <v>16170280</v>
          </cell>
          <cell r="J349" t="str">
            <v>TS.7.09</v>
          </cell>
        </row>
        <row r="350">
          <cell r="B350" t="str">
            <v>H3-7.3</v>
          </cell>
          <cell r="E350" t="str">
            <v>Asphalt treatment base (A.T.B)</v>
          </cell>
          <cell r="F350" t="str">
            <v>ton</v>
          </cell>
          <cell r="G350">
            <v>190</v>
          </cell>
          <cell r="H350">
            <v>319328</v>
          </cell>
          <cell r="I350">
            <v>60672320</v>
          </cell>
          <cell r="J350" t="str">
            <v>TS.7.09</v>
          </cell>
        </row>
        <row r="351">
          <cell r="B351" t="str">
            <v>H3-7.4</v>
          </cell>
          <cell r="E351" t="str">
            <v>Bituminous prime coat</v>
          </cell>
          <cell r="F351" t="str">
            <v>liter</v>
          </cell>
          <cell r="G351">
            <v>2000</v>
          </cell>
          <cell r="H351">
            <v>3737</v>
          </cell>
          <cell r="I351">
            <v>7474000</v>
          </cell>
          <cell r="J351" t="str">
            <v>TS.7.09</v>
          </cell>
        </row>
        <row r="352">
          <cell r="B352" t="str">
            <v>H3-7.5</v>
          </cell>
          <cell r="E352" t="str">
            <v>Bituminous surface course 50 mm thick</v>
          </cell>
          <cell r="F352" t="str">
            <v>ton</v>
          </cell>
          <cell r="G352">
            <v>190</v>
          </cell>
          <cell r="H352">
            <v>322726</v>
          </cell>
          <cell r="I352">
            <v>61317940</v>
          </cell>
          <cell r="J352" t="str">
            <v>TS.7.09</v>
          </cell>
        </row>
        <row r="353">
          <cell r="B353" t="str">
            <v>H4</v>
          </cell>
          <cell r="E353" t="str">
            <v>TITI GANTUNG BRIDGE (P3)</v>
          </cell>
        </row>
        <row r="354">
          <cell r="B354" t="str">
            <v>H4.1</v>
          </cell>
          <cell r="E354" t="str">
            <v>EARTH WORK</v>
          </cell>
        </row>
        <row r="355">
          <cell r="B355" t="str">
            <v>H4-1.1</v>
          </cell>
          <cell r="E355" t="str">
            <v>Excavation (common)</v>
          </cell>
          <cell r="F355" t="str">
            <v>m³</v>
          </cell>
          <cell r="G355">
            <v>2940</v>
          </cell>
          <cell r="H355">
            <v>6921</v>
          </cell>
          <cell r="I355">
            <v>20347740</v>
          </cell>
          <cell r="J355" t="str">
            <v>TS.2.10</v>
          </cell>
        </row>
        <row r="356">
          <cell r="B356" t="str">
            <v>H4-1.2</v>
          </cell>
          <cell r="E356" t="str">
            <v>Embankment</v>
          </cell>
          <cell r="F356" t="str">
            <v>m³</v>
          </cell>
          <cell r="G356">
            <v>2980</v>
          </cell>
          <cell r="H356">
            <v>5574</v>
          </cell>
          <cell r="I356">
            <v>16610520</v>
          </cell>
          <cell r="J356" t="str">
            <v>TS.2.10</v>
          </cell>
        </row>
        <row r="357">
          <cell r="B357" t="str">
            <v>H4-1.3</v>
          </cell>
          <cell r="E357" t="str">
            <v>Backfill with selected soil</v>
          </cell>
          <cell r="F357" t="str">
            <v>m³</v>
          </cell>
          <cell r="G357">
            <v>970</v>
          </cell>
          <cell r="H357">
            <v>5530</v>
          </cell>
          <cell r="I357">
            <v>5364100</v>
          </cell>
          <cell r="J357" t="str">
            <v>TS.2.10</v>
          </cell>
        </row>
        <row r="358">
          <cell r="B358" t="str">
            <v>H4-1.4</v>
          </cell>
          <cell r="E358" t="str">
            <v>Solid sodding</v>
          </cell>
          <cell r="F358" t="str">
            <v>m²</v>
          </cell>
          <cell r="G358">
            <v>300</v>
          </cell>
          <cell r="H358">
            <v>6139</v>
          </cell>
          <cell r="I358">
            <v>1841700</v>
          </cell>
          <cell r="J358" t="str">
            <v>TS.4.14</v>
          </cell>
        </row>
        <row r="359">
          <cell r="B359" t="str">
            <v>H4-1.5</v>
          </cell>
          <cell r="E359" t="str">
            <v>Demolition and removal of existing structure</v>
          </cell>
          <cell r="F359" t="str">
            <v>ls</v>
          </cell>
          <cell r="G359">
            <v>1</v>
          </cell>
          <cell r="H359">
            <v>20156373</v>
          </cell>
          <cell r="I359">
            <v>20156373</v>
          </cell>
          <cell r="J359" t="str">
            <v>TS.2.10</v>
          </cell>
        </row>
        <row r="360">
          <cell r="B360" t="str">
            <v>H4.2</v>
          </cell>
          <cell r="E360" t="str">
            <v>PILE FOUNDATION WORKS for PIER and ABUTMENT</v>
          </cell>
        </row>
        <row r="361">
          <cell r="B361" t="str">
            <v>H4-2.1</v>
          </cell>
          <cell r="E361" t="str">
            <v>SP pile for test pile, dia. 400 mm</v>
          </cell>
          <cell r="F361" t="str">
            <v>m</v>
          </cell>
          <cell r="G361">
            <v>28</v>
          </cell>
          <cell r="H361">
            <v>366915</v>
          </cell>
          <cell r="I361">
            <v>10273620</v>
          </cell>
          <cell r="J361" t="str">
            <v>TS.5.07</v>
          </cell>
        </row>
        <row r="362">
          <cell r="B362" t="str">
            <v>H4-2.2</v>
          </cell>
          <cell r="E362" t="str">
            <v>Static load test for SP and PC pile</v>
          </cell>
          <cell r="F362" t="str">
            <v>nos</v>
          </cell>
          <cell r="G362">
            <v>1</v>
          </cell>
          <cell r="H362">
            <v>19983031</v>
          </cell>
          <cell r="I362">
            <v>19983031</v>
          </cell>
          <cell r="J362" t="str">
            <v>TS.5.07</v>
          </cell>
        </row>
        <row r="363">
          <cell r="B363" t="str">
            <v>H4-2.3</v>
          </cell>
          <cell r="E363" t="str">
            <v>Supply and driving of SP piles, dia. 400 mm</v>
          </cell>
          <cell r="F363" t="str">
            <v>m</v>
          </cell>
          <cell r="G363">
            <v>1880</v>
          </cell>
          <cell r="H363">
            <v>366915</v>
          </cell>
          <cell r="I363">
            <v>689800200</v>
          </cell>
          <cell r="J363" t="str">
            <v>TS.5.07</v>
          </cell>
        </row>
        <row r="364">
          <cell r="B364" t="str">
            <v>H4-2.4</v>
          </cell>
          <cell r="E364" t="str">
            <v>Reinforcing steel bar</v>
          </cell>
          <cell r="F364" t="str">
            <v>kg</v>
          </cell>
          <cell r="G364">
            <v>20900</v>
          </cell>
          <cell r="H364">
            <v>3554</v>
          </cell>
          <cell r="I364">
            <v>74278600</v>
          </cell>
          <cell r="J364" t="str">
            <v>TS.3.24</v>
          </cell>
        </row>
        <row r="365">
          <cell r="B365" t="str">
            <v>H4-2.5</v>
          </cell>
          <cell r="E365" t="str">
            <v>Concrete, type C1</v>
          </cell>
          <cell r="F365" t="str">
            <v>m³</v>
          </cell>
          <cell r="G365">
            <v>82</v>
          </cell>
          <cell r="H365">
            <v>314514</v>
          </cell>
          <cell r="I365">
            <v>25790148</v>
          </cell>
          <cell r="J365" t="str">
            <v>TS.3.24</v>
          </cell>
        </row>
        <row r="366">
          <cell r="B366" t="str">
            <v>H4.3</v>
          </cell>
          <cell r="E366" t="str">
            <v>CONCRETE WORKS for PIER, ABUTMENT and APPROACH SLAB</v>
          </cell>
        </row>
        <row r="367">
          <cell r="B367" t="str">
            <v>H4-3.1</v>
          </cell>
          <cell r="E367" t="str">
            <v>Concrete, type C1</v>
          </cell>
          <cell r="F367" t="str">
            <v>m³</v>
          </cell>
          <cell r="G367">
            <v>360</v>
          </cell>
          <cell r="H367">
            <v>314524</v>
          </cell>
          <cell r="I367">
            <v>113228640</v>
          </cell>
          <cell r="J367" t="str">
            <v>TS.3.24</v>
          </cell>
        </row>
        <row r="368">
          <cell r="B368" t="str">
            <v>H4-3.2</v>
          </cell>
          <cell r="E368" t="str">
            <v>Concrete, type E</v>
          </cell>
          <cell r="F368" t="str">
            <v>m³</v>
          </cell>
          <cell r="G368">
            <v>15</v>
          </cell>
          <cell r="H368">
            <v>292976</v>
          </cell>
          <cell r="I368">
            <v>4394640</v>
          </cell>
          <cell r="J368" t="str">
            <v>TS.3.24</v>
          </cell>
        </row>
        <row r="369">
          <cell r="B369" t="str">
            <v>H4-3.3</v>
          </cell>
          <cell r="E369" t="str">
            <v>Reinforcing steel bar</v>
          </cell>
          <cell r="F369" t="str">
            <v>kg</v>
          </cell>
          <cell r="G369">
            <v>52100</v>
          </cell>
          <cell r="H369">
            <v>3554</v>
          </cell>
          <cell r="I369">
            <v>185163400</v>
          </cell>
          <cell r="J369" t="str">
            <v>TS.3.24</v>
          </cell>
        </row>
        <row r="370">
          <cell r="B370" t="str">
            <v>H4-3.4</v>
          </cell>
          <cell r="E370" t="str">
            <v>Formwork FW1</v>
          </cell>
          <cell r="F370" t="str">
            <v>m²</v>
          </cell>
          <cell r="G370">
            <v>250</v>
          </cell>
          <cell r="H370">
            <v>70833</v>
          </cell>
          <cell r="I370">
            <v>17708250</v>
          </cell>
          <cell r="J370" t="str">
            <v>TS.3.24</v>
          </cell>
        </row>
        <row r="371">
          <cell r="B371" t="str">
            <v>H4-3.5</v>
          </cell>
          <cell r="E371" t="str">
            <v>Formwork FW2</v>
          </cell>
          <cell r="F371" t="str">
            <v>m²</v>
          </cell>
          <cell r="G371">
            <v>330</v>
          </cell>
          <cell r="H371">
            <v>84938</v>
          </cell>
          <cell r="I371">
            <v>28029540</v>
          </cell>
          <cell r="J371" t="str">
            <v>TS.3.24</v>
          </cell>
        </row>
        <row r="372">
          <cell r="B372" t="str">
            <v>H4-3.6</v>
          </cell>
          <cell r="E372" t="str">
            <v>Rubble stone bedding</v>
          </cell>
          <cell r="F372" t="str">
            <v>m³</v>
          </cell>
          <cell r="G372">
            <v>20</v>
          </cell>
          <cell r="H372">
            <v>75157</v>
          </cell>
          <cell r="I372">
            <v>1503140</v>
          </cell>
          <cell r="J372" t="str">
            <v>TS.4.14</v>
          </cell>
        </row>
        <row r="373">
          <cell r="B373" t="str">
            <v>H4.4</v>
          </cell>
          <cell r="E373" t="str">
            <v>CONCRETE WORKS for SUPER STRUCTURE</v>
          </cell>
        </row>
        <row r="374">
          <cell r="B374" t="str">
            <v>H4-4.1</v>
          </cell>
          <cell r="E374" t="str">
            <v>Precast prestressed concrete beam including tensioning and erection</v>
          </cell>
          <cell r="F374" t="str">
            <v>ls</v>
          </cell>
          <cell r="G374">
            <v>1</v>
          </cell>
          <cell r="H374">
            <v>727392159</v>
          </cell>
          <cell r="I374">
            <v>727392159</v>
          </cell>
          <cell r="J374" t="str">
            <v>TS.8.07</v>
          </cell>
        </row>
        <row r="375">
          <cell r="B375" t="str">
            <v>H4-4.2</v>
          </cell>
          <cell r="E375" t="str">
            <v>Precats prestressed concrete diaphragm</v>
          </cell>
          <cell r="F375" t="str">
            <v>ls</v>
          </cell>
          <cell r="G375">
            <v>1</v>
          </cell>
          <cell r="H375">
            <v>22532906</v>
          </cell>
          <cell r="I375">
            <v>22532906</v>
          </cell>
          <cell r="J375" t="str">
            <v>TS.8.07</v>
          </cell>
        </row>
        <row r="376">
          <cell r="B376" t="str">
            <v>H4-4.3</v>
          </cell>
          <cell r="E376" t="str">
            <v>Prestreed concrete panel for slab</v>
          </cell>
          <cell r="F376" t="str">
            <v>ls</v>
          </cell>
          <cell r="G376">
            <v>1</v>
          </cell>
          <cell r="H376">
            <v>88474521</v>
          </cell>
          <cell r="I376">
            <v>88474521</v>
          </cell>
          <cell r="J376" t="str">
            <v>TS.8.07</v>
          </cell>
        </row>
        <row r="377">
          <cell r="B377" t="str">
            <v>H4-4.4</v>
          </cell>
          <cell r="E377" t="str">
            <v>Concrete, type B for slab</v>
          </cell>
          <cell r="F377" t="str">
            <v>m³</v>
          </cell>
          <cell r="G377">
            <v>120</v>
          </cell>
          <cell r="H377">
            <v>413457</v>
          </cell>
          <cell r="I377">
            <v>49614840</v>
          </cell>
          <cell r="J377" t="str">
            <v>TS.3.24</v>
          </cell>
        </row>
        <row r="378">
          <cell r="B378" t="str">
            <v>H4-4.5</v>
          </cell>
          <cell r="E378" t="str">
            <v>Reinforcing steel bar</v>
          </cell>
          <cell r="F378" t="str">
            <v>kg</v>
          </cell>
          <cell r="G378">
            <v>25300</v>
          </cell>
          <cell r="H378">
            <v>3554</v>
          </cell>
          <cell r="I378">
            <v>89916200</v>
          </cell>
          <cell r="J378" t="str">
            <v>TS.3.24</v>
          </cell>
        </row>
        <row r="379">
          <cell r="B379" t="str">
            <v>H4-4.6</v>
          </cell>
          <cell r="E379" t="str">
            <v>Formwork FW2</v>
          </cell>
          <cell r="F379" t="str">
            <v>m²</v>
          </cell>
          <cell r="G379">
            <v>250</v>
          </cell>
          <cell r="H379">
            <v>84938</v>
          </cell>
          <cell r="I379">
            <v>21234500</v>
          </cell>
          <cell r="J379" t="str">
            <v>TS.3.24</v>
          </cell>
        </row>
        <row r="380">
          <cell r="B380" t="str">
            <v>H4.5</v>
          </cell>
          <cell r="E380" t="str">
            <v>MISCELLANEOUS WORKS</v>
          </cell>
        </row>
        <row r="381">
          <cell r="B381" t="str">
            <v>H4-5.1</v>
          </cell>
          <cell r="E381" t="str">
            <v>Expansion joint steel profile (75 mm x 75 mm x 6 mm)</v>
          </cell>
          <cell r="F381" t="str">
            <v>m</v>
          </cell>
          <cell r="G381">
            <v>24</v>
          </cell>
          <cell r="H381">
            <v>79130</v>
          </cell>
          <cell r="I381">
            <v>1899120</v>
          </cell>
          <cell r="J381" t="str">
            <v>TS.6.09</v>
          </cell>
        </row>
        <row r="382">
          <cell r="B382" t="str">
            <v>H4-5.2</v>
          </cell>
          <cell r="E382" t="str">
            <v>Elastomeric bearing pad for abutment 406 mm x 280 mm x 67 mm</v>
          </cell>
          <cell r="F382" t="str">
            <v>nos</v>
          </cell>
          <cell r="G382">
            <v>12</v>
          </cell>
          <cell r="H382">
            <v>739517</v>
          </cell>
          <cell r="I382">
            <v>8874204</v>
          </cell>
          <cell r="J382" t="str">
            <v>TS.8.07</v>
          </cell>
        </row>
        <row r="383">
          <cell r="B383" t="str">
            <v>H4-5.3</v>
          </cell>
          <cell r="E383" t="str">
            <v>Elastomeric bearing pad for pier 480 mm x 300 mm x 67 mm</v>
          </cell>
          <cell r="F383" t="str">
            <v>nos</v>
          </cell>
          <cell r="G383">
            <v>12</v>
          </cell>
          <cell r="H383">
            <v>946965</v>
          </cell>
          <cell r="I383">
            <v>11363580</v>
          </cell>
          <cell r="J383" t="str">
            <v>TS.8.07</v>
          </cell>
        </row>
        <row r="384">
          <cell r="B384" t="str">
            <v>H4-5.4</v>
          </cell>
          <cell r="E384" t="str">
            <v>Galvanized pipe drain dia. 100 mm</v>
          </cell>
          <cell r="F384" t="str">
            <v>m</v>
          </cell>
          <cell r="G384">
            <v>46</v>
          </cell>
          <cell r="H384">
            <v>83894</v>
          </cell>
          <cell r="I384">
            <v>3859124</v>
          </cell>
          <cell r="J384" t="str">
            <v>TS.8.07</v>
          </cell>
        </row>
        <row r="385">
          <cell r="B385" t="str">
            <v>H4-5.5</v>
          </cell>
          <cell r="E385" t="str">
            <v>Handrail, galvanized steel pipe</v>
          </cell>
          <cell r="F385" t="str">
            <v>kg</v>
          </cell>
          <cell r="G385">
            <v>2890</v>
          </cell>
          <cell r="H385">
            <v>6963</v>
          </cell>
          <cell r="I385">
            <v>20123070</v>
          </cell>
          <cell r="J385" t="str">
            <v>TS.6.09</v>
          </cell>
        </row>
        <row r="386">
          <cell r="B386" t="str">
            <v>H4-5.6</v>
          </cell>
          <cell r="E386" t="str">
            <v>Concrete, type C1 for handrail post, curb and footpass</v>
          </cell>
          <cell r="F386" t="str">
            <v>m³</v>
          </cell>
          <cell r="G386">
            <v>59</v>
          </cell>
          <cell r="H386">
            <v>316097</v>
          </cell>
          <cell r="I386">
            <v>18649723</v>
          </cell>
          <cell r="J386" t="str">
            <v>TS.3.24</v>
          </cell>
        </row>
        <row r="387">
          <cell r="B387" t="str">
            <v>H4-5.7</v>
          </cell>
          <cell r="E387" t="str">
            <v>Formwork FW1</v>
          </cell>
          <cell r="F387" t="str">
            <v>m²</v>
          </cell>
          <cell r="G387">
            <v>200</v>
          </cell>
          <cell r="H387">
            <v>70833</v>
          </cell>
          <cell r="I387">
            <v>14166600</v>
          </cell>
          <cell r="J387" t="str">
            <v>TS.3.24</v>
          </cell>
        </row>
        <row r="388">
          <cell r="B388" t="str">
            <v>H4-5.8</v>
          </cell>
          <cell r="E388" t="str">
            <v>Name plate</v>
          </cell>
          <cell r="F388" t="str">
            <v>nos</v>
          </cell>
          <cell r="G388">
            <v>2</v>
          </cell>
          <cell r="H388">
            <v>999152</v>
          </cell>
          <cell r="I388">
            <v>1998304</v>
          </cell>
          <cell r="J388" t="str">
            <v>TS.8.07</v>
          </cell>
        </row>
        <row r="389">
          <cell r="B389" t="str">
            <v>H4.6</v>
          </cell>
          <cell r="E389" t="str">
            <v>DRAINAGE DITCH and RETAINING WALL for APPROCH ROAD</v>
          </cell>
        </row>
        <row r="390">
          <cell r="B390" t="str">
            <v>H4-6.1</v>
          </cell>
          <cell r="E390" t="str">
            <v>Backfill with gravel</v>
          </cell>
          <cell r="F390" t="str">
            <v>m³</v>
          </cell>
          <cell r="G390">
            <v>340</v>
          </cell>
          <cell r="H390">
            <v>77757</v>
          </cell>
          <cell r="I390">
            <v>26437380</v>
          </cell>
          <cell r="J390" t="str">
            <v>TS.4.14</v>
          </cell>
        </row>
        <row r="391">
          <cell r="B391" t="str">
            <v>H4-6.2</v>
          </cell>
          <cell r="E391" t="str">
            <v>Wet stone masonry (1:4) for drainage ditch</v>
          </cell>
          <cell r="F391" t="str">
            <v>m³</v>
          </cell>
          <cell r="G391">
            <v>460</v>
          </cell>
          <cell r="H391">
            <v>163909</v>
          </cell>
          <cell r="I391">
            <v>75398140</v>
          </cell>
          <cell r="J391" t="str">
            <v>TS.4.14</v>
          </cell>
        </row>
        <row r="392">
          <cell r="B392" t="str">
            <v>H4-6.3</v>
          </cell>
          <cell r="E392" t="str">
            <v>Cement mortar plastering</v>
          </cell>
          <cell r="F392" t="str">
            <v>m²</v>
          </cell>
          <cell r="G392">
            <v>570</v>
          </cell>
          <cell r="H392">
            <v>12274</v>
          </cell>
          <cell r="I392">
            <v>6996180</v>
          </cell>
          <cell r="J392" t="str">
            <v>TS.4.14</v>
          </cell>
        </row>
        <row r="393">
          <cell r="B393" t="str">
            <v>H4-6.4</v>
          </cell>
          <cell r="E393" t="str">
            <v>Concrete, type C1</v>
          </cell>
          <cell r="F393" t="str">
            <v>m³</v>
          </cell>
          <cell r="G393">
            <v>5</v>
          </cell>
          <cell r="H393">
            <v>377062</v>
          </cell>
          <cell r="I393">
            <v>1885310</v>
          </cell>
          <cell r="J393" t="str">
            <v>TS.3.24</v>
          </cell>
        </row>
        <row r="394">
          <cell r="B394" t="str">
            <v>H4-6.5</v>
          </cell>
          <cell r="E394" t="str">
            <v>Concrete, type E</v>
          </cell>
          <cell r="F394" t="str">
            <v>m³</v>
          </cell>
          <cell r="G394">
            <v>4</v>
          </cell>
          <cell r="H394">
            <v>323505</v>
          </cell>
          <cell r="I394">
            <v>1294020</v>
          </cell>
          <cell r="J394" t="str">
            <v>TS.3.24</v>
          </cell>
        </row>
        <row r="395">
          <cell r="B395" t="str">
            <v>H4-6.6</v>
          </cell>
          <cell r="E395" t="str">
            <v>Reinforcing steel bar</v>
          </cell>
          <cell r="F395" t="str">
            <v>kg</v>
          </cell>
          <cell r="G395">
            <v>640</v>
          </cell>
          <cell r="H395">
            <v>3554</v>
          </cell>
          <cell r="I395">
            <v>2274560</v>
          </cell>
          <cell r="J395" t="str">
            <v>TS.3.24</v>
          </cell>
        </row>
        <row r="396">
          <cell r="B396" t="str">
            <v>H4-6.7</v>
          </cell>
          <cell r="E396" t="str">
            <v>Formwork FW1</v>
          </cell>
          <cell r="F396" t="str">
            <v>m²</v>
          </cell>
          <cell r="G396">
            <v>250</v>
          </cell>
          <cell r="H396">
            <v>70833</v>
          </cell>
          <cell r="I396">
            <v>17708250</v>
          </cell>
          <cell r="J396" t="str">
            <v>TS.3.24</v>
          </cell>
        </row>
        <row r="397">
          <cell r="B397" t="str">
            <v>H4-6.8</v>
          </cell>
          <cell r="E397" t="str">
            <v>Weep hole, dia. 50 mm, including filter clotch</v>
          </cell>
          <cell r="F397" t="str">
            <v>nos</v>
          </cell>
          <cell r="G397">
            <v>200</v>
          </cell>
          <cell r="H397">
            <v>72163</v>
          </cell>
          <cell r="I397">
            <v>14432600</v>
          </cell>
          <cell r="J397" t="str">
            <v>TS.4.14</v>
          </cell>
        </row>
        <row r="398">
          <cell r="B398" t="str">
            <v>H4.7</v>
          </cell>
          <cell r="E398" t="str">
            <v>PAVEMENT (SUPER STRUCTURE and APPROACH ROAD : CLASS II)</v>
          </cell>
        </row>
        <row r="399">
          <cell r="B399" t="str">
            <v>H4-7.1</v>
          </cell>
          <cell r="E399" t="str">
            <v>Sub-base course (class B)</v>
          </cell>
          <cell r="F399" t="str">
            <v>m³</v>
          </cell>
          <cell r="G399">
            <v>170</v>
          </cell>
          <cell r="H399">
            <v>108708</v>
          </cell>
          <cell r="I399">
            <v>18480360</v>
          </cell>
          <cell r="J399" t="str">
            <v>TS.7.09</v>
          </cell>
        </row>
        <row r="400">
          <cell r="B400" t="str">
            <v>H4-7.2</v>
          </cell>
          <cell r="E400" t="str">
            <v>Base course (class A)</v>
          </cell>
          <cell r="F400" t="str">
            <v>m³</v>
          </cell>
          <cell r="G400">
            <v>89</v>
          </cell>
          <cell r="H400">
            <v>115502</v>
          </cell>
          <cell r="I400">
            <v>10279678</v>
          </cell>
          <cell r="J400" t="str">
            <v>TS.7.09</v>
          </cell>
        </row>
        <row r="401">
          <cell r="B401" t="str">
            <v>H4-7.3</v>
          </cell>
          <cell r="E401" t="str">
            <v>Asphalt treatment base (A.T.B)</v>
          </cell>
          <cell r="F401" t="str">
            <v>ton</v>
          </cell>
          <cell r="G401">
            <v>130</v>
          </cell>
          <cell r="H401">
            <v>319328</v>
          </cell>
          <cell r="I401">
            <v>41512640</v>
          </cell>
          <cell r="J401" t="str">
            <v>TS.7.09</v>
          </cell>
        </row>
        <row r="402">
          <cell r="B402" t="str">
            <v>H4-7.4</v>
          </cell>
          <cell r="E402" t="str">
            <v>Bituminous prime coat</v>
          </cell>
          <cell r="F402" t="str">
            <v>liter</v>
          </cell>
          <cell r="G402">
            <v>1200</v>
          </cell>
          <cell r="H402">
            <v>3737</v>
          </cell>
          <cell r="I402">
            <v>4484400</v>
          </cell>
          <cell r="J402" t="str">
            <v>TS.7.09</v>
          </cell>
        </row>
        <row r="403">
          <cell r="B403" t="str">
            <v>H4-7.5</v>
          </cell>
          <cell r="E403" t="str">
            <v>Bituminous surface course 50 mm thick</v>
          </cell>
          <cell r="F403" t="str">
            <v>ton</v>
          </cell>
          <cell r="G403">
            <v>110</v>
          </cell>
          <cell r="H403">
            <v>322726</v>
          </cell>
          <cell r="I403">
            <v>35499860</v>
          </cell>
          <cell r="J403" t="str">
            <v>TS.7.09</v>
          </cell>
        </row>
        <row r="404">
          <cell r="B404" t="str">
            <v>H5 - H22</v>
          </cell>
          <cell r="E404" t="str">
            <v>(Not Applicable)</v>
          </cell>
        </row>
        <row r="406">
          <cell r="B406" t="str">
            <v>I</v>
          </cell>
          <cell r="E406" t="str">
            <v>OTHER WORKS</v>
          </cell>
        </row>
        <row r="407">
          <cell r="B407" t="str">
            <v>I1</v>
          </cell>
          <cell r="E407" t="str">
            <v>(Not Applicable)</v>
          </cell>
        </row>
        <row r="409">
          <cell r="B409" t="str">
            <v>I2</v>
          </cell>
          <cell r="E409" t="str">
            <v>DRAINAGE CHANNEL EXCAVATION (PE95+35 to PE105+30)</v>
          </cell>
        </row>
        <row r="410">
          <cell r="B410" t="str">
            <v>I2.1</v>
          </cell>
          <cell r="E410" t="str">
            <v>Clearing and grubbing</v>
          </cell>
          <cell r="F410" t="str">
            <v>m²</v>
          </cell>
          <cell r="G410">
            <v>10290</v>
          </cell>
          <cell r="H410">
            <v>4019</v>
          </cell>
          <cell r="I410">
            <v>41355510</v>
          </cell>
          <cell r="J410" t="str">
            <v>TS.2.10</v>
          </cell>
        </row>
        <row r="411">
          <cell r="B411" t="str">
            <v>I2.2</v>
          </cell>
          <cell r="E411" t="str">
            <v>Excavation (river channel)</v>
          </cell>
          <cell r="F411" t="str">
            <v>m³</v>
          </cell>
          <cell r="G411">
            <v>9130</v>
          </cell>
          <cell r="H411">
            <v>30448</v>
          </cell>
          <cell r="I411">
            <v>277990240</v>
          </cell>
          <cell r="J411" t="str">
            <v>TS.2.10</v>
          </cell>
        </row>
        <row r="412">
          <cell r="B412" t="str">
            <v>I2.3</v>
          </cell>
          <cell r="E412" t="str">
            <v>Stripping of top soil</v>
          </cell>
          <cell r="F412" t="str">
            <v>m³</v>
          </cell>
          <cell r="G412">
            <v>980</v>
          </cell>
          <cell r="H412">
            <v>21302</v>
          </cell>
          <cell r="I412">
            <v>20875960</v>
          </cell>
          <cell r="J412" t="str">
            <v>TS.2.10</v>
          </cell>
        </row>
        <row r="413">
          <cell r="B413" t="str">
            <v>I2.4</v>
          </cell>
          <cell r="E413" t="str">
            <v>Embankment</v>
          </cell>
          <cell r="F413" t="str">
            <v>m³</v>
          </cell>
          <cell r="G413">
            <v>2810</v>
          </cell>
          <cell r="H413">
            <v>5574</v>
          </cell>
          <cell r="I413">
            <v>15662940</v>
          </cell>
          <cell r="J413" t="str">
            <v>TS.2.10</v>
          </cell>
        </row>
        <row r="415">
          <cell r="B415" t="str">
            <v>I3</v>
          </cell>
          <cell r="E415" t="str">
            <v>(Not Applicable)</v>
          </cell>
        </row>
        <row r="417">
          <cell r="B417" t="str">
            <v>I4</v>
          </cell>
          <cell r="E417" t="str">
            <v>RELOCATION of EXISTING FARM ROAD (PE82 TO PE97) CLASS IV</v>
          </cell>
        </row>
        <row r="418">
          <cell r="B418" t="str">
            <v>I4.1</v>
          </cell>
          <cell r="E418" t="str">
            <v>Clearing and grubbing</v>
          </cell>
          <cell r="F418" t="str">
            <v>m²</v>
          </cell>
          <cell r="G418">
            <v>14000</v>
          </cell>
          <cell r="H418">
            <v>4019</v>
          </cell>
          <cell r="I418">
            <v>56266000</v>
          </cell>
          <cell r="J418" t="str">
            <v>TS.2.10</v>
          </cell>
        </row>
        <row r="419">
          <cell r="B419" t="str">
            <v>I4.2</v>
          </cell>
          <cell r="E419" t="str">
            <v>Stripping of top soil</v>
          </cell>
          <cell r="F419" t="str">
            <v>m³</v>
          </cell>
          <cell r="G419">
            <v>3280</v>
          </cell>
          <cell r="H419">
            <v>21302</v>
          </cell>
          <cell r="I419">
            <v>69870560</v>
          </cell>
          <cell r="J419" t="str">
            <v>TS.2.10</v>
          </cell>
        </row>
        <row r="420">
          <cell r="B420" t="str">
            <v>I4.3</v>
          </cell>
          <cell r="E420" t="str">
            <v>Embankment</v>
          </cell>
          <cell r="F420" t="str">
            <v>m³</v>
          </cell>
          <cell r="G420">
            <v>4750</v>
          </cell>
          <cell r="H420">
            <v>5574</v>
          </cell>
          <cell r="I420">
            <v>26476500</v>
          </cell>
          <cell r="J420" t="str">
            <v>TS.2.10</v>
          </cell>
        </row>
        <row r="421">
          <cell r="B421" t="str">
            <v>I4.4</v>
          </cell>
          <cell r="E421" t="str">
            <v>Gravel pavement, 200 mm thick</v>
          </cell>
          <cell r="F421" t="str">
            <v>m³</v>
          </cell>
          <cell r="G421">
            <v>1570</v>
          </cell>
          <cell r="H421">
            <v>77757</v>
          </cell>
          <cell r="I421">
            <v>122078490</v>
          </cell>
          <cell r="J421" t="str">
            <v>TS.7.09</v>
          </cell>
        </row>
        <row r="422">
          <cell r="B422" t="str">
            <v>I4.5</v>
          </cell>
          <cell r="E422" t="str">
            <v>Sodding</v>
          </cell>
          <cell r="F422" t="str">
            <v>m²</v>
          </cell>
          <cell r="G422">
            <v>7390</v>
          </cell>
          <cell r="H422">
            <v>6139</v>
          </cell>
          <cell r="I422">
            <v>45367210</v>
          </cell>
          <cell r="J422" t="str">
            <v>TS.4.14</v>
          </cell>
        </row>
        <row r="424">
          <cell r="B424" t="str">
            <v>I5 - I10</v>
          </cell>
          <cell r="E424" t="str">
            <v>(Not Applicable)</v>
          </cell>
        </row>
        <row r="425">
          <cell r="E425" t="str">
            <v>Total</v>
          </cell>
          <cell r="I425">
            <v>41655340867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F "/>
      <sheetName val="Table Profil"/>
      <sheetName val="Castella "/>
      <sheetName val="Cutting List"/>
    </sheetNames>
    <sheetDataSet>
      <sheetData sheetId="0"/>
      <sheetData sheetId="1"/>
      <sheetData sheetId="2"/>
      <sheetData sheetId="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DFT KUAN&amp;HRG"/>
      <sheetName val="ANALISA"/>
      <sheetName val="d personil"/>
      <sheetName val="UPH &amp; BHN"/>
      <sheetName val="ANAL TEK"/>
      <sheetName val="METODA LAKSANAN"/>
      <sheetName val="d alat"/>
      <sheetName val="jadual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si"/>
      <sheetName val="Basic Price"/>
      <sheetName val="Peralatan"/>
      <sheetName val="Analisa Quarry"/>
      <sheetName val="HK"/>
      <sheetName val="A"/>
      <sheetName val="B"/>
      <sheetName val="C"/>
      <sheetName val="Rekap"/>
      <sheetName val="RAB"/>
      <sheetName val="TIME SCHEDULE"/>
      <sheetName val="ts (Alt &amp; Bhn)"/>
      <sheetName val="HIT ALt"/>
      <sheetName val="5a"/>
      <sheetName val="5b"/>
      <sheetName val="Mutu"/>
      <sheetName val="LAMP 6"/>
      <sheetName val="Mobilisasi"/>
      <sheetName val="2"/>
      <sheetName val="3"/>
      <sheetName val="4"/>
      <sheetName val="5"/>
      <sheetName val="6"/>
      <sheetName val="6 (2)"/>
      <sheetName val="7"/>
      <sheetName val="7 (2)"/>
      <sheetName val="8"/>
      <sheetName val="9"/>
      <sheetName val="10"/>
      <sheetName val="3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"/>
      <sheetName val="rab"/>
      <sheetName val="analisa"/>
      <sheetName val="rekap"/>
      <sheetName val="DRUP (ASLI)"/>
      <sheetName val="cover"/>
      <sheetName val="Pengesahan"/>
      <sheetName val="Analis"/>
      <sheetName val="H.b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puL"/>
      <sheetName val="DIPDA"/>
      <sheetName val="DIPDA (2)"/>
      <sheetName val="DASK"/>
      <sheetName val="PO"/>
      <sheetName val="PO Air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BR-KJR"/>
      <sheetName val="Engineer Estimate (EE)"/>
      <sheetName val="DAB"/>
      <sheetName val="Rkp. DAP"/>
      <sheetName val="Daftar Harga Satuan"/>
      <sheetName val="Time Schedule"/>
    </sheetNames>
    <sheetDataSet>
      <sheetData sheetId="0"/>
      <sheetData sheetId="1"/>
      <sheetData sheetId="2">
        <row r="1">
          <cell r="A1" t="str">
            <v>DAFTAR ANALISA BIAYA</v>
          </cell>
        </row>
        <row r="2">
          <cell r="A2" t="str">
            <v>NAMA PROYEK</v>
          </cell>
          <cell r="C2" t="str">
            <v xml:space="preserve">:  PEMBANGUNAN SARANA AIR BERSIH (SAB) </v>
          </cell>
        </row>
        <row r="3">
          <cell r="A3" t="str">
            <v>PEKERJAAN</v>
          </cell>
          <cell r="C3" t="str">
            <v>:  PENGADAAN DAN PEMASANGAN PIPA - KOMPLEK KANTOR BUPATI</v>
          </cell>
        </row>
        <row r="4">
          <cell r="A4" t="str">
            <v>SUMBER DANA</v>
          </cell>
          <cell r="C4" t="str">
            <v>:  DAK / APBD II</v>
          </cell>
        </row>
        <row r="5">
          <cell r="A5" t="str">
            <v>TAHUN ANGGARAN</v>
          </cell>
          <cell r="C5" t="str">
            <v>:  2007</v>
          </cell>
        </row>
        <row r="6">
          <cell r="A6" t="str">
            <v>VOLUME</v>
          </cell>
          <cell r="C6" t="str">
            <v>:  3,000 Meter</v>
          </cell>
        </row>
        <row r="7">
          <cell r="A7" t="str">
            <v>LOKASI</v>
          </cell>
          <cell r="C7" t="str">
            <v>:  KECAMATAN BUKIT</v>
          </cell>
        </row>
        <row r="8">
          <cell r="A8" t="str">
            <v>DISIAPKAN OLEH</v>
          </cell>
          <cell r="C8" t="str">
            <v>:  CV. CEUDAH CONSULTANT</v>
          </cell>
        </row>
        <row r="9">
          <cell r="A9" t="str">
            <v>Propinsi</v>
          </cell>
          <cell r="C9" t="str">
            <v>:  Nanggroe Aceh Darussalam</v>
          </cell>
          <cell r="H9" t="str">
            <v>Sumber Dana</v>
          </cell>
          <cell r="I9" t="str">
            <v>:  DAK / APBD II</v>
          </cell>
        </row>
        <row r="10">
          <cell r="A10" t="str">
            <v>Kabupaten</v>
          </cell>
          <cell r="C10" t="str">
            <v>:  Bener Meriah</v>
          </cell>
          <cell r="H10" t="str">
            <v>Tahun Anggaran</v>
          </cell>
          <cell r="I10" t="str">
            <v>:  2007</v>
          </cell>
        </row>
        <row r="11">
          <cell r="A11" t="str">
            <v>Sub Pekerjaan</v>
          </cell>
          <cell r="C11" t="str">
            <v>:  Sumber Daya Air</v>
          </cell>
          <cell r="H11" t="str">
            <v>Kode Kegiatan</v>
          </cell>
          <cell r="I11" t="str">
            <v xml:space="preserve">:  </v>
          </cell>
        </row>
        <row r="12">
          <cell r="A12" t="str">
            <v>NO</v>
          </cell>
          <cell r="B12" t="str">
            <v>URAIAN PEKERJAAN</v>
          </cell>
          <cell r="D12" t="str">
            <v>ANALISA</v>
          </cell>
          <cell r="E12" t="str">
            <v>VOL / SAT</v>
          </cell>
          <cell r="G12" t="str">
            <v>HARGA SATUAN</v>
          </cell>
          <cell r="I12" t="str">
            <v>JUMLAH HARGA</v>
          </cell>
          <cell r="K12" t="str">
            <v>JUMLAH TOTAL (Rp.)</v>
          </cell>
        </row>
        <row r="13">
          <cell r="G13" t="str">
            <v>UPAH (Rp.)</v>
          </cell>
          <cell r="H13" t="str">
            <v>BAHAN (Rp.)</v>
          </cell>
          <cell r="I13" t="str">
            <v>UPAH (Rp.)</v>
          </cell>
          <cell r="J13" t="str">
            <v>BAHAN (Rp.)</v>
          </cell>
        </row>
        <row r="14">
          <cell r="A14">
            <v>1</v>
          </cell>
          <cell r="B14">
            <v>2</v>
          </cell>
          <cell r="D14">
            <v>3</v>
          </cell>
          <cell r="E14">
            <v>4</v>
          </cell>
          <cell r="G14">
            <v>5</v>
          </cell>
          <cell r="H14">
            <v>6</v>
          </cell>
          <cell r="I14">
            <v>7</v>
          </cell>
          <cell r="J14">
            <v>8</v>
          </cell>
          <cell r="K14">
            <v>9</v>
          </cell>
        </row>
        <row r="16">
          <cell r="A16" t="str">
            <v>I.</v>
          </cell>
          <cell r="B16" t="str">
            <v>PEKERJAAN PERSIAPAN</v>
          </cell>
        </row>
        <row r="28">
          <cell r="A28">
            <v>1</v>
          </cell>
          <cell r="B28" t="str">
            <v>1    -    M²</v>
          </cell>
          <cell r="C28" t="str">
            <v>Pembersihan Lapangan dan Perataan</v>
          </cell>
          <cell r="D28" t="str">
            <v>SNI 03-2835-6.8</v>
          </cell>
        </row>
        <row r="29">
          <cell r="C29" t="str">
            <v>Pekerja</v>
          </cell>
          <cell r="E29">
            <v>0.1</v>
          </cell>
          <cell r="F29" t="str">
            <v>Org</v>
          </cell>
          <cell r="G29">
            <v>45400</v>
          </cell>
          <cell r="I29">
            <v>4540</v>
          </cell>
          <cell r="J29">
            <v>0</v>
          </cell>
        </row>
        <row r="30">
          <cell r="C30" t="str">
            <v>Mandor</v>
          </cell>
          <cell r="E30">
            <v>0.05</v>
          </cell>
          <cell r="F30" t="str">
            <v>Org</v>
          </cell>
          <cell r="G30">
            <v>59400</v>
          </cell>
          <cell r="I30">
            <v>2970</v>
          </cell>
          <cell r="J30">
            <v>0</v>
          </cell>
        </row>
        <row r="31">
          <cell r="G31" t="str">
            <v>Sub Jumlah</v>
          </cell>
          <cell r="I31">
            <v>7510</v>
          </cell>
          <cell r="J31">
            <v>0</v>
          </cell>
        </row>
        <row r="32">
          <cell r="I32" t="str">
            <v>Jumlah</v>
          </cell>
          <cell r="K32">
            <v>7510</v>
          </cell>
        </row>
        <row r="33">
          <cell r="A33">
            <v>2</v>
          </cell>
          <cell r="B33" t="str">
            <v>1    -    M³</v>
          </cell>
          <cell r="C33" t="str">
            <v>Galian Tanah Biasa Sedalam 1 Meter</v>
          </cell>
          <cell r="D33" t="str">
            <v>SNI 03-2829-6.1</v>
          </cell>
        </row>
        <row r="34">
          <cell r="C34" t="str">
            <v>Pekerja</v>
          </cell>
          <cell r="E34">
            <v>0.4</v>
          </cell>
          <cell r="F34" t="str">
            <v>Org</v>
          </cell>
          <cell r="G34">
            <v>45400</v>
          </cell>
          <cell r="I34">
            <v>18160</v>
          </cell>
          <cell r="J34">
            <v>0</v>
          </cell>
        </row>
        <row r="35">
          <cell r="C35" t="str">
            <v>Mandor</v>
          </cell>
          <cell r="E35">
            <v>0.04</v>
          </cell>
          <cell r="F35" t="str">
            <v>Org</v>
          </cell>
          <cell r="G35">
            <v>59400</v>
          </cell>
          <cell r="I35">
            <v>2376</v>
          </cell>
          <cell r="J35">
            <v>0</v>
          </cell>
        </row>
        <row r="36">
          <cell r="G36" t="str">
            <v>Sub Jumlah</v>
          </cell>
          <cell r="I36">
            <v>20536</v>
          </cell>
          <cell r="J36">
            <v>0</v>
          </cell>
        </row>
        <row r="37">
          <cell r="I37" t="str">
            <v>Jumlah</v>
          </cell>
          <cell r="K37">
            <v>20536</v>
          </cell>
        </row>
        <row r="38">
          <cell r="A38">
            <v>3</v>
          </cell>
          <cell r="B38" t="str">
            <v>1    -    M³</v>
          </cell>
          <cell r="C38" t="str">
            <v>Galian Tanah Keras Sedalam 1 Meter</v>
          </cell>
          <cell r="D38" t="str">
            <v>SNI 03-2829-6.4</v>
          </cell>
        </row>
        <row r="39">
          <cell r="C39" t="str">
            <v>Pekerja</v>
          </cell>
          <cell r="E39">
            <v>0.625</v>
          </cell>
          <cell r="F39" t="str">
            <v>Org</v>
          </cell>
          <cell r="G39">
            <v>45400</v>
          </cell>
          <cell r="I39">
            <v>28375</v>
          </cell>
          <cell r="J39">
            <v>0</v>
          </cell>
        </row>
        <row r="40">
          <cell r="C40" t="str">
            <v>Mandor</v>
          </cell>
          <cell r="E40">
            <v>6.2E-2</v>
          </cell>
          <cell r="F40" t="str">
            <v>Org</v>
          </cell>
          <cell r="G40">
            <v>59400</v>
          </cell>
          <cell r="I40">
            <v>3682.8</v>
          </cell>
          <cell r="J40">
            <v>0</v>
          </cell>
        </row>
        <row r="41">
          <cell r="G41" t="str">
            <v>Sub Jumlah</v>
          </cell>
          <cell r="I41">
            <v>32057.8</v>
          </cell>
          <cell r="J41">
            <v>0</v>
          </cell>
        </row>
        <row r="42">
          <cell r="I42" t="str">
            <v>Jumlah</v>
          </cell>
          <cell r="K42">
            <v>32057.8</v>
          </cell>
        </row>
        <row r="43">
          <cell r="A43">
            <v>4</v>
          </cell>
          <cell r="B43" t="str">
            <v>1    -    M³</v>
          </cell>
          <cell r="C43" t="str">
            <v>Galian Tanah Cadas Sedalam 1 Meter</v>
          </cell>
          <cell r="D43" t="str">
            <v>SNI 03-2829-6.5</v>
          </cell>
        </row>
        <row r="44">
          <cell r="C44" t="str">
            <v>Pekerja</v>
          </cell>
          <cell r="E44">
            <v>1.25</v>
          </cell>
          <cell r="F44" t="str">
            <v>Org</v>
          </cell>
          <cell r="G44">
            <v>45400</v>
          </cell>
          <cell r="I44">
            <v>56750</v>
          </cell>
          <cell r="J44">
            <v>0</v>
          </cell>
        </row>
        <row r="45">
          <cell r="C45" t="str">
            <v>Mandor</v>
          </cell>
          <cell r="E45">
            <v>0.125</v>
          </cell>
          <cell r="F45" t="str">
            <v>Org</v>
          </cell>
          <cell r="G45">
            <v>59400</v>
          </cell>
          <cell r="I45">
            <v>7425</v>
          </cell>
          <cell r="J45">
            <v>0</v>
          </cell>
        </row>
        <row r="46">
          <cell r="G46" t="str">
            <v>Sub Jumlah</v>
          </cell>
          <cell r="I46">
            <v>64175</v>
          </cell>
          <cell r="J46">
            <v>0</v>
          </cell>
        </row>
        <row r="47">
          <cell r="I47" t="str">
            <v>Jumlah</v>
          </cell>
          <cell r="K47">
            <v>64175</v>
          </cell>
        </row>
        <row r="48">
          <cell r="A48">
            <v>5</v>
          </cell>
          <cell r="B48" t="str">
            <v>1    -    M³</v>
          </cell>
          <cell r="C48" t="str">
            <v>Pembuangan Tanah Sejauh 150 Meter</v>
          </cell>
          <cell r="D48" t="str">
            <v>SNI 03-2829-6.8</v>
          </cell>
        </row>
        <row r="49">
          <cell r="C49" t="str">
            <v>Pekerja</v>
          </cell>
          <cell r="E49">
            <v>0.51600000000000001</v>
          </cell>
          <cell r="F49" t="str">
            <v>Org</v>
          </cell>
          <cell r="G49">
            <v>45400</v>
          </cell>
          <cell r="I49">
            <v>23426.400000000001</v>
          </cell>
          <cell r="J49">
            <v>0</v>
          </cell>
        </row>
        <row r="50">
          <cell r="C50" t="str">
            <v>Mandor</v>
          </cell>
          <cell r="E50">
            <v>0.05</v>
          </cell>
          <cell r="F50" t="str">
            <v>Org</v>
          </cell>
          <cell r="G50">
            <v>59400</v>
          </cell>
          <cell r="I50">
            <v>2970</v>
          </cell>
          <cell r="J50">
            <v>0</v>
          </cell>
        </row>
        <row r="51">
          <cell r="G51" t="str">
            <v>Sub Jumlah</v>
          </cell>
          <cell r="I51">
            <v>26396.400000000001</v>
          </cell>
          <cell r="J51">
            <v>0</v>
          </cell>
        </row>
        <row r="52">
          <cell r="I52" t="str">
            <v>Jumlah</v>
          </cell>
          <cell r="K52">
            <v>26396.400000000001</v>
          </cell>
        </row>
        <row r="53">
          <cell r="A53">
            <v>6</v>
          </cell>
          <cell r="B53" t="str">
            <v>1    -    M³</v>
          </cell>
          <cell r="C53" t="str">
            <v>Urugan Kembali</v>
          </cell>
          <cell r="D53" t="str">
            <v>SNI 03-2829-6.9</v>
          </cell>
        </row>
        <row r="54">
          <cell r="C54" t="str">
            <v>Pekerja</v>
          </cell>
          <cell r="E54">
            <v>0.5</v>
          </cell>
          <cell r="F54" t="str">
            <v>Org</v>
          </cell>
          <cell r="G54">
            <v>45400</v>
          </cell>
          <cell r="I54">
            <v>22700</v>
          </cell>
          <cell r="J54">
            <v>0</v>
          </cell>
        </row>
        <row r="55">
          <cell r="C55" t="str">
            <v>Mandor</v>
          </cell>
          <cell r="E55">
            <v>0.05</v>
          </cell>
          <cell r="F55" t="str">
            <v>Org</v>
          </cell>
          <cell r="G55">
            <v>59400</v>
          </cell>
          <cell r="I55">
            <v>2970</v>
          </cell>
          <cell r="J55">
            <v>0</v>
          </cell>
        </row>
        <row r="56">
          <cell r="G56" t="str">
            <v>Sub Jumlah</v>
          </cell>
          <cell r="I56">
            <v>25670</v>
          </cell>
          <cell r="J56">
            <v>0</v>
          </cell>
        </row>
        <row r="57">
          <cell r="I57" t="str">
            <v>Jumlah</v>
          </cell>
          <cell r="K57">
            <v>25670</v>
          </cell>
        </row>
        <row r="58">
          <cell r="A58">
            <v>7</v>
          </cell>
          <cell r="B58" t="str">
            <v>1    -    M³</v>
          </cell>
          <cell r="C58" t="str">
            <v>Urugan Pasir</v>
          </cell>
          <cell r="D58" t="str">
            <v>SNI 03-2829-6.11</v>
          </cell>
        </row>
        <row r="59">
          <cell r="C59" t="str">
            <v>Pekerja</v>
          </cell>
          <cell r="E59">
            <v>0.5</v>
          </cell>
          <cell r="F59" t="str">
            <v>Org</v>
          </cell>
          <cell r="G59">
            <v>45400</v>
          </cell>
          <cell r="I59">
            <v>22700</v>
          </cell>
          <cell r="J59">
            <v>0</v>
          </cell>
        </row>
        <row r="60">
          <cell r="C60" t="str">
            <v>Mandor</v>
          </cell>
          <cell r="E60">
            <v>0.05</v>
          </cell>
          <cell r="F60" t="str">
            <v>Org</v>
          </cell>
          <cell r="G60">
            <v>59400</v>
          </cell>
          <cell r="I60">
            <v>2970</v>
          </cell>
          <cell r="J60">
            <v>0</v>
          </cell>
        </row>
        <row r="61">
          <cell r="C61" t="str">
            <v>Pasir Urug</v>
          </cell>
          <cell r="E61">
            <v>1.2</v>
          </cell>
          <cell r="F61" t="str">
            <v>M³</v>
          </cell>
          <cell r="H61">
            <v>101700</v>
          </cell>
          <cell r="I61">
            <v>0</v>
          </cell>
          <cell r="J61">
            <v>122040</v>
          </cell>
        </row>
        <row r="62">
          <cell r="G62" t="str">
            <v>Sub Jumlah</v>
          </cell>
          <cell r="I62">
            <v>25670</v>
          </cell>
          <cell r="J62">
            <v>122040</v>
          </cell>
        </row>
        <row r="63">
          <cell r="I63" t="str">
            <v>Jumlah</v>
          </cell>
          <cell r="K63">
            <v>147710</v>
          </cell>
        </row>
        <row r="64">
          <cell r="A64">
            <v>8</v>
          </cell>
          <cell r="B64" t="str">
            <v>1    -    M³</v>
          </cell>
          <cell r="C64" t="str">
            <v>Pasangan Batu Kali 1 Pc : 3 Ps</v>
          </cell>
          <cell r="D64" t="str">
            <v>SNI 03-2836-6.4</v>
          </cell>
        </row>
        <row r="65">
          <cell r="C65" t="str">
            <v>Pekerja</v>
          </cell>
          <cell r="E65">
            <v>1.5</v>
          </cell>
          <cell r="F65" t="str">
            <v>Org</v>
          </cell>
          <cell r="G65">
            <v>45400</v>
          </cell>
          <cell r="I65">
            <v>68100</v>
          </cell>
          <cell r="J65">
            <v>0</v>
          </cell>
        </row>
        <row r="66">
          <cell r="C66" t="str">
            <v>Tukang Batu</v>
          </cell>
          <cell r="E66">
            <v>0.6</v>
          </cell>
          <cell r="F66" t="str">
            <v>Org</v>
          </cell>
          <cell r="G66">
            <v>65900</v>
          </cell>
          <cell r="I66">
            <v>39540</v>
          </cell>
          <cell r="J66">
            <v>0</v>
          </cell>
        </row>
        <row r="67">
          <cell r="C67" t="str">
            <v>Kepala Tukang</v>
          </cell>
          <cell r="E67">
            <v>0.06</v>
          </cell>
          <cell r="F67" t="str">
            <v>Org</v>
          </cell>
          <cell r="G67">
            <v>82100</v>
          </cell>
          <cell r="I67">
            <v>4926</v>
          </cell>
          <cell r="J67">
            <v>0</v>
          </cell>
        </row>
        <row r="68">
          <cell r="C68" t="str">
            <v>Mandor</v>
          </cell>
          <cell r="E68">
            <v>7.4999999999999997E-2</v>
          </cell>
          <cell r="F68" t="str">
            <v>Org</v>
          </cell>
          <cell r="G68">
            <v>59400</v>
          </cell>
          <cell r="I68">
            <v>4455</v>
          </cell>
          <cell r="J68">
            <v>0</v>
          </cell>
        </row>
        <row r="69">
          <cell r="C69" t="str">
            <v>Batu Belah 15/20</v>
          </cell>
          <cell r="E69">
            <v>1.1000000000000001</v>
          </cell>
          <cell r="F69" t="str">
            <v>M³</v>
          </cell>
          <cell r="H69">
            <v>179000</v>
          </cell>
          <cell r="I69">
            <v>0</v>
          </cell>
          <cell r="J69">
            <v>196900.00000000003</v>
          </cell>
        </row>
        <row r="70">
          <cell r="C70" t="str">
            <v>Semen Portland</v>
          </cell>
          <cell r="E70">
            <v>202</v>
          </cell>
          <cell r="F70" t="str">
            <v>Kg</v>
          </cell>
          <cell r="H70">
            <v>1075</v>
          </cell>
          <cell r="I70">
            <v>0</v>
          </cell>
          <cell r="J70">
            <v>217150</v>
          </cell>
        </row>
        <row r="71">
          <cell r="C71" t="str">
            <v>Pasir Pasang</v>
          </cell>
          <cell r="E71">
            <v>0.48499999999999999</v>
          </cell>
          <cell r="F71" t="str">
            <v>M³</v>
          </cell>
          <cell r="H71">
            <v>91500</v>
          </cell>
          <cell r="I71">
            <v>0</v>
          </cell>
          <cell r="J71">
            <v>44377.5</v>
          </cell>
        </row>
        <row r="72">
          <cell r="G72" t="str">
            <v>Sub Jumlah</v>
          </cell>
          <cell r="I72">
            <v>117021</v>
          </cell>
          <cell r="J72">
            <v>458427.5</v>
          </cell>
        </row>
        <row r="73">
          <cell r="I73" t="str">
            <v>Jumlah</v>
          </cell>
          <cell r="K73">
            <v>575448.5</v>
          </cell>
        </row>
        <row r="74">
          <cell r="A74">
            <v>9</v>
          </cell>
          <cell r="B74" t="str">
            <v>1    -    M³</v>
          </cell>
          <cell r="C74" t="str">
            <v>Pasangan Batu Kosong</v>
          </cell>
          <cell r="D74" t="str">
            <v>SNI 03-2836-6.14</v>
          </cell>
        </row>
        <row r="75">
          <cell r="C75" t="str">
            <v>Pekerja</v>
          </cell>
          <cell r="E75">
            <v>0.78</v>
          </cell>
          <cell r="F75" t="str">
            <v>Org</v>
          </cell>
          <cell r="G75">
            <v>45400</v>
          </cell>
          <cell r="I75">
            <v>35412</v>
          </cell>
          <cell r="J75">
            <v>0</v>
          </cell>
        </row>
        <row r="76">
          <cell r="C76" t="str">
            <v>Tukang Batu</v>
          </cell>
          <cell r="E76">
            <v>0.39</v>
          </cell>
          <cell r="F76" t="str">
            <v>Org</v>
          </cell>
          <cell r="G76">
            <v>65900</v>
          </cell>
          <cell r="I76">
            <v>25701</v>
          </cell>
          <cell r="J76">
            <v>0</v>
          </cell>
        </row>
        <row r="77">
          <cell r="C77" t="str">
            <v>Kepala Tukang</v>
          </cell>
          <cell r="E77">
            <v>3.9E-2</v>
          </cell>
          <cell r="F77" t="str">
            <v>Org</v>
          </cell>
          <cell r="G77">
            <v>82100</v>
          </cell>
          <cell r="I77">
            <v>3201.9</v>
          </cell>
          <cell r="J77">
            <v>0</v>
          </cell>
        </row>
        <row r="78">
          <cell r="C78" t="str">
            <v>Mandor</v>
          </cell>
          <cell r="E78">
            <v>3.9E-2</v>
          </cell>
          <cell r="F78" t="str">
            <v>Org</v>
          </cell>
          <cell r="G78">
            <v>59400</v>
          </cell>
          <cell r="I78">
            <v>2316.6</v>
          </cell>
          <cell r="J78">
            <v>0</v>
          </cell>
        </row>
        <row r="79">
          <cell r="C79" t="str">
            <v>Batu Belah 15/20</v>
          </cell>
          <cell r="E79">
            <v>1.2</v>
          </cell>
          <cell r="F79" t="str">
            <v>M³</v>
          </cell>
          <cell r="H79">
            <v>179000</v>
          </cell>
          <cell r="I79">
            <v>0</v>
          </cell>
          <cell r="J79">
            <v>214800</v>
          </cell>
        </row>
        <row r="80">
          <cell r="C80" t="str">
            <v>Pasir Urug</v>
          </cell>
          <cell r="E80">
            <v>0.3</v>
          </cell>
          <cell r="F80" t="str">
            <v>M³</v>
          </cell>
          <cell r="H80">
            <v>101700</v>
          </cell>
          <cell r="I80">
            <v>0</v>
          </cell>
          <cell r="J80">
            <v>30510</v>
          </cell>
        </row>
        <row r="81">
          <cell r="G81" t="str">
            <v>Sub Jumlah</v>
          </cell>
          <cell r="I81">
            <v>66631.5</v>
          </cell>
          <cell r="J81">
            <v>245310</v>
          </cell>
        </row>
        <row r="82">
          <cell r="I82" t="str">
            <v>Jumlah</v>
          </cell>
          <cell r="K82">
            <v>311941.5</v>
          </cell>
        </row>
        <row r="83">
          <cell r="A83">
            <v>10</v>
          </cell>
          <cell r="B83" t="str">
            <v>1    -    Kg</v>
          </cell>
          <cell r="C83" t="str">
            <v>Pembesian Besi Polos</v>
          </cell>
          <cell r="D83" t="str">
            <v>SNI 03-2830-6.25</v>
          </cell>
        </row>
        <row r="84">
          <cell r="C84" t="str">
            <v>Pekerja</v>
          </cell>
          <cell r="E84">
            <v>7.0000000000000001E-3</v>
          </cell>
          <cell r="F84" t="str">
            <v>Org</v>
          </cell>
          <cell r="G84">
            <v>45400</v>
          </cell>
          <cell r="I84">
            <v>317.8</v>
          </cell>
          <cell r="J84">
            <v>0</v>
          </cell>
        </row>
        <row r="85">
          <cell r="C85" t="str">
            <v>Tukang Batu</v>
          </cell>
          <cell r="E85">
            <v>7.0000000000000001E-3</v>
          </cell>
          <cell r="F85" t="str">
            <v>Org</v>
          </cell>
          <cell r="G85">
            <v>65900</v>
          </cell>
          <cell r="I85">
            <v>461.3</v>
          </cell>
          <cell r="J85">
            <v>0</v>
          </cell>
        </row>
        <row r="86">
          <cell r="C86" t="str">
            <v>Kepala Tukang</v>
          </cell>
          <cell r="E86">
            <v>6.9999999999999999E-4</v>
          </cell>
          <cell r="F86" t="str">
            <v>Org</v>
          </cell>
          <cell r="G86">
            <v>82100</v>
          </cell>
          <cell r="I86">
            <v>57.47</v>
          </cell>
          <cell r="J86">
            <v>0</v>
          </cell>
        </row>
        <row r="87">
          <cell r="C87" t="str">
            <v>Mandor</v>
          </cell>
          <cell r="E87">
            <v>3.9E-2</v>
          </cell>
          <cell r="F87" t="str">
            <v>Org</v>
          </cell>
          <cell r="G87">
            <v>59400</v>
          </cell>
          <cell r="I87">
            <v>2316.6</v>
          </cell>
          <cell r="J87">
            <v>0</v>
          </cell>
        </row>
        <row r="88">
          <cell r="C88" t="str">
            <v>Besi Beton (Polos/Ulir)</v>
          </cell>
          <cell r="E88">
            <v>1.05</v>
          </cell>
          <cell r="F88" t="str">
            <v>Kg</v>
          </cell>
          <cell r="H88">
            <v>6500</v>
          </cell>
          <cell r="I88">
            <v>0</v>
          </cell>
          <cell r="J88">
            <v>6825</v>
          </cell>
        </row>
        <row r="89">
          <cell r="C89" t="str">
            <v>Kawat Beton</v>
          </cell>
          <cell r="E89">
            <v>1.4999999999999999E-2</v>
          </cell>
          <cell r="F89" t="str">
            <v>Kg</v>
          </cell>
          <cell r="H89">
            <v>9950</v>
          </cell>
          <cell r="I89">
            <v>0</v>
          </cell>
          <cell r="J89">
            <v>149.25</v>
          </cell>
        </row>
        <row r="90">
          <cell r="G90" t="str">
            <v>Sub Jumlah</v>
          </cell>
          <cell r="I90">
            <v>3153.17</v>
          </cell>
          <cell r="J90">
            <v>6974.25</v>
          </cell>
        </row>
        <row r="91">
          <cell r="I91" t="str">
            <v>Jumlah</v>
          </cell>
          <cell r="K91">
            <v>10127.42</v>
          </cell>
        </row>
        <row r="92">
          <cell r="A92">
            <v>11</v>
          </cell>
          <cell r="B92" t="str">
            <v>1    -    M²</v>
          </cell>
          <cell r="C92" t="str">
            <v>Pasang Bekisting untuk Pondasi</v>
          </cell>
          <cell r="D92" t="str">
            <v>SNI 03-2830-6.28</v>
          </cell>
        </row>
        <row r="93">
          <cell r="C93" t="str">
            <v>Pekerja</v>
          </cell>
          <cell r="E93">
            <v>0.3</v>
          </cell>
          <cell r="F93" t="str">
            <v>Org</v>
          </cell>
          <cell r="G93">
            <v>45400</v>
          </cell>
          <cell r="I93">
            <v>13620</v>
          </cell>
          <cell r="J93">
            <v>0</v>
          </cell>
        </row>
        <row r="94">
          <cell r="C94" t="str">
            <v>Tukang Batu</v>
          </cell>
          <cell r="E94">
            <v>0.26</v>
          </cell>
          <cell r="F94" t="str">
            <v>Org</v>
          </cell>
          <cell r="G94">
            <v>65900</v>
          </cell>
          <cell r="I94">
            <v>17134</v>
          </cell>
          <cell r="J94">
            <v>0</v>
          </cell>
        </row>
        <row r="95">
          <cell r="C95" t="str">
            <v>Kepala Tukang</v>
          </cell>
          <cell r="E95">
            <v>2.5999999999999999E-2</v>
          </cell>
          <cell r="F95" t="str">
            <v>Org</v>
          </cell>
          <cell r="G95">
            <v>82100</v>
          </cell>
          <cell r="I95">
            <v>2134.6</v>
          </cell>
          <cell r="J95">
            <v>0</v>
          </cell>
        </row>
        <row r="96">
          <cell r="C96" t="str">
            <v>Mandor</v>
          </cell>
          <cell r="E96">
            <v>5.0000000000000001E-3</v>
          </cell>
          <cell r="F96" t="str">
            <v>Org</v>
          </cell>
          <cell r="G96">
            <v>59400</v>
          </cell>
          <cell r="I96">
            <v>297</v>
          </cell>
          <cell r="J96">
            <v>0</v>
          </cell>
        </row>
        <row r="97">
          <cell r="C97" t="str">
            <v>Kayu Terentang</v>
          </cell>
          <cell r="E97">
            <v>0.04</v>
          </cell>
          <cell r="F97" t="str">
            <v>M³</v>
          </cell>
          <cell r="H97">
            <v>2380400</v>
          </cell>
          <cell r="I97">
            <v>0</v>
          </cell>
          <cell r="J97">
            <v>95216</v>
          </cell>
        </row>
        <row r="98">
          <cell r="C98" t="str">
            <v>Paku biasa 2" - 5"</v>
          </cell>
          <cell r="E98">
            <v>0.3</v>
          </cell>
          <cell r="F98" t="str">
            <v>Kg</v>
          </cell>
          <cell r="H98">
            <v>10000</v>
          </cell>
          <cell r="I98">
            <v>0</v>
          </cell>
          <cell r="J98">
            <v>3000</v>
          </cell>
        </row>
        <row r="99">
          <cell r="C99" t="str">
            <v>Minyak Bekisting</v>
          </cell>
          <cell r="E99">
            <v>0.1</v>
          </cell>
          <cell r="F99" t="str">
            <v>Ltr</v>
          </cell>
          <cell r="H99">
            <v>13500</v>
          </cell>
          <cell r="I99">
            <v>0</v>
          </cell>
          <cell r="J99">
            <v>1350</v>
          </cell>
        </row>
        <row r="100">
          <cell r="G100" t="str">
            <v>Sub Jumlah</v>
          </cell>
          <cell r="I100">
            <v>33185.599999999999</v>
          </cell>
          <cell r="J100">
            <v>99566</v>
          </cell>
        </row>
        <row r="101">
          <cell r="I101" t="str">
            <v>Jumlah</v>
          </cell>
          <cell r="K101">
            <v>132751.6</v>
          </cell>
        </row>
        <row r="102">
          <cell r="A102">
            <v>12</v>
          </cell>
          <cell r="B102" t="str">
            <v>1    -    M²</v>
          </cell>
          <cell r="C102" t="str">
            <v>Pasang Bekisting untuk Sloof</v>
          </cell>
          <cell r="D102" t="str">
            <v>SNI 03-2830-6.29</v>
          </cell>
        </row>
        <row r="103">
          <cell r="C103" t="str">
            <v>Pekerja</v>
          </cell>
          <cell r="E103">
            <v>0.3</v>
          </cell>
          <cell r="F103" t="str">
            <v>Org</v>
          </cell>
          <cell r="G103">
            <v>45400</v>
          </cell>
          <cell r="I103">
            <v>13620</v>
          </cell>
          <cell r="J103">
            <v>0</v>
          </cell>
        </row>
        <row r="104">
          <cell r="C104" t="str">
            <v>Tukang Batu</v>
          </cell>
          <cell r="E104">
            <v>0.26</v>
          </cell>
          <cell r="F104" t="str">
            <v>Org</v>
          </cell>
          <cell r="G104">
            <v>65900</v>
          </cell>
          <cell r="I104">
            <v>17134</v>
          </cell>
          <cell r="J104">
            <v>0</v>
          </cell>
        </row>
        <row r="105">
          <cell r="C105" t="str">
            <v>Kepala Tukang</v>
          </cell>
          <cell r="E105">
            <v>2.5999999999999999E-2</v>
          </cell>
          <cell r="F105" t="str">
            <v>Org</v>
          </cell>
          <cell r="G105">
            <v>82100</v>
          </cell>
          <cell r="I105">
            <v>2134.6</v>
          </cell>
          <cell r="J105">
            <v>0</v>
          </cell>
        </row>
        <row r="106">
          <cell r="C106" t="str">
            <v>Mandor</v>
          </cell>
          <cell r="E106">
            <v>5.0000000000000001E-3</v>
          </cell>
          <cell r="F106" t="str">
            <v>Org</v>
          </cell>
          <cell r="G106">
            <v>59400</v>
          </cell>
          <cell r="I106">
            <v>297</v>
          </cell>
          <cell r="J106">
            <v>0</v>
          </cell>
        </row>
        <row r="107">
          <cell r="C107" t="str">
            <v>Kayu Terentang</v>
          </cell>
          <cell r="E107">
            <v>4.4999999999999998E-2</v>
          </cell>
          <cell r="F107" t="str">
            <v>M³</v>
          </cell>
          <cell r="H107">
            <v>2380400</v>
          </cell>
          <cell r="I107">
            <v>0</v>
          </cell>
          <cell r="J107">
            <v>107118</v>
          </cell>
        </row>
        <row r="108">
          <cell r="C108" t="str">
            <v>Paku biasa 2" - 5"</v>
          </cell>
          <cell r="E108">
            <v>0.3</v>
          </cell>
          <cell r="F108" t="str">
            <v>Kg</v>
          </cell>
          <cell r="H108">
            <v>10000</v>
          </cell>
          <cell r="I108">
            <v>0</v>
          </cell>
          <cell r="J108">
            <v>3000</v>
          </cell>
        </row>
        <row r="109">
          <cell r="C109" t="str">
            <v>Minyak Bekisting</v>
          </cell>
          <cell r="E109">
            <v>0.1</v>
          </cell>
          <cell r="F109" t="str">
            <v>Ltr</v>
          </cell>
          <cell r="H109">
            <v>13500</v>
          </cell>
          <cell r="I109">
            <v>0</v>
          </cell>
          <cell r="J109">
            <v>1350</v>
          </cell>
        </row>
        <row r="110">
          <cell r="G110" t="str">
            <v>Sub Jumlah</v>
          </cell>
          <cell r="I110">
            <v>33185.599999999999</v>
          </cell>
          <cell r="J110">
            <v>111468</v>
          </cell>
        </row>
        <row r="111">
          <cell r="I111" t="str">
            <v>Jumlah</v>
          </cell>
          <cell r="K111">
            <v>144653.6</v>
          </cell>
        </row>
        <row r="112">
          <cell r="A112">
            <v>13</v>
          </cell>
          <cell r="B112" t="str">
            <v>1    -    M²</v>
          </cell>
          <cell r="C112" t="str">
            <v>Pasang Bekisting untuk Kolom</v>
          </cell>
          <cell r="D112" t="str">
            <v>SNI 03-2830-6.30</v>
          </cell>
        </row>
        <row r="113">
          <cell r="C113" t="str">
            <v>Pekerja</v>
          </cell>
          <cell r="E113">
            <v>0.3</v>
          </cell>
          <cell r="F113" t="str">
            <v>Org</v>
          </cell>
          <cell r="G113">
            <v>45400</v>
          </cell>
          <cell r="I113">
            <v>13620</v>
          </cell>
          <cell r="J113">
            <v>0</v>
          </cell>
        </row>
        <row r="114">
          <cell r="C114" t="str">
            <v>Tukang Batu</v>
          </cell>
          <cell r="E114">
            <v>0.33</v>
          </cell>
          <cell r="F114" t="str">
            <v>Org</v>
          </cell>
          <cell r="G114">
            <v>65900</v>
          </cell>
          <cell r="I114">
            <v>21747</v>
          </cell>
          <cell r="J114">
            <v>0</v>
          </cell>
        </row>
        <row r="115">
          <cell r="C115" t="str">
            <v>Kepala Tukang</v>
          </cell>
          <cell r="E115">
            <v>3.3000000000000002E-2</v>
          </cell>
          <cell r="F115" t="str">
            <v>Org</v>
          </cell>
          <cell r="G115">
            <v>82100</v>
          </cell>
          <cell r="I115">
            <v>2709.3</v>
          </cell>
          <cell r="J115">
            <v>0</v>
          </cell>
        </row>
        <row r="116">
          <cell r="C116" t="str">
            <v>Mandor</v>
          </cell>
          <cell r="E116">
            <v>0.06</v>
          </cell>
          <cell r="F116" t="str">
            <v>Org</v>
          </cell>
          <cell r="G116">
            <v>59400</v>
          </cell>
          <cell r="I116">
            <v>3564</v>
          </cell>
          <cell r="J116">
            <v>0</v>
          </cell>
        </row>
        <row r="117">
          <cell r="C117" t="str">
            <v>Kayu Terentang</v>
          </cell>
          <cell r="E117">
            <v>0.04</v>
          </cell>
          <cell r="F117" t="str">
            <v>M³</v>
          </cell>
          <cell r="H117">
            <v>2380400</v>
          </cell>
          <cell r="I117">
            <v>0</v>
          </cell>
          <cell r="J117">
            <v>95216</v>
          </cell>
        </row>
        <row r="118">
          <cell r="C118" t="str">
            <v>Paku biasa 2" - 5"</v>
          </cell>
          <cell r="E118">
            <v>0.4</v>
          </cell>
          <cell r="F118" t="str">
            <v>Kg</v>
          </cell>
          <cell r="H118">
            <v>10000</v>
          </cell>
          <cell r="I118">
            <v>0</v>
          </cell>
          <cell r="J118">
            <v>4000</v>
          </cell>
        </row>
        <row r="119">
          <cell r="C119" t="str">
            <v>Minyak Bekisting</v>
          </cell>
          <cell r="E119">
            <v>0.2</v>
          </cell>
          <cell r="F119" t="str">
            <v>Ltr</v>
          </cell>
          <cell r="H119">
            <v>13500</v>
          </cell>
          <cell r="I119">
            <v>0</v>
          </cell>
          <cell r="J119">
            <v>2700</v>
          </cell>
        </row>
        <row r="120">
          <cell r="C120" t="str">
            <v>Balok Kayu Borneo</v>
          </cell>
          <cell r="E120">
            <v>1.4999999999999999E-2</v>
          </cell>
          <cell r="F120" t="str">
            <v>M³</v>
          </cell>
          <cell r="H120">
            <v>2691700</v>
          </cell>
          <cell r="I120">
            <v>0</v>
          </cell>
          <cell r="J120">
            <v>40375.5</v>
          </cell>
        </row>
        <row r="121">
          <cell r="C121" t="str">
            <v>Plywood tebal 9 mm</v>
          </cell>
          <cell r="E121">
            <v>0.35</v>
          </cell>
          <cell r="F121" t="str">
            <v>Lbr</v>
          </cell>
          <cell r="H121">
            <v>108000</v>
          </cell>
          <cell r="I121">
            <v>0</v>
          </cell>
          <cell r="J121">
            <v>37800</v>
          </cell>
        </row>
        <row r="122">
          <cell r="C122" t="str">
            <v>Dolken Kayu Galam Ø 8-10/4 m</v>
          </cell>
          <cell r="E122">
            <v>2</v>
          </cell>
          <cell r="F122" t="str">
            <v>Btg</v>
          </cell>
          <cell r="H122">
            <v>35000</v>
          </cell>
          <cell r="I122">
            <v>0</v>
          </cell>
          <cell r="J122">
            <v>70000</v>
          </cell>
        </row>
        <row r="123">
          <cell r="G123" t="str">
            <v>Sub Jumlah</v>
          </cell>
          <cell r="I123">
            <v>41640.300000000003</v>
          </cell>
          <cell r="J123">
            <v>250091.5</v>
          </cell>
        </row>
        <row r="124">
          <cell r="I124" t="str">
            <v>Jumlah</v>
          </cell>
          <cell r="K124">
            <v>291731.8</v>
          </cell>
        </row>
        <row r="125">
          <cell r="A125" t="str">
            <v>14.</v>
          </cell>
          <cell r="B125" t="str">
            <v>1    -    M²</v>
          </cell>
          <cell r="C125" t="str">
            <v>Pasang Bekisting untuk Balok</v>
          </cell>
          <cell r="D125" t="str">
            <v>SNI 03-2830-6.31</v>
          </cell>
        </row>
        <row r="126">
          <cell r="C126" t="str">
            <v>Pekerja</v>
          </cell>
          <cell r="E126">
            <v>0.32</v>
          </cell>
          <cell r="F126" t="str">
            <v>Org</v>
          </cell>
          <cell r="G126">
            <v>45400</v>
          </cell>
          <cell r="I126">
            <v>14528</v>
          </cell>
          <cell r="J126">
            <v>0</v>
          </cell>
        </row>
        <row r="127">
          <cell r="C127" t="str">
            <v>Tukang Batu</v>
          </cell>
          <cell r="E127">
            <v>0.33</v>
          </cell>
          <cell r="F127" t="str">
            <v>Org</v>
          </cell>
          <cell r="G127">
            <v>65900</v>
          </cell>
          <cell r="I127">
            <v>21747</v>
          </cell>
          <cell r="J127">
            <v>0</v>
          </cell>
        </row>
        <row r="128">
          <cell r="C128" t="str">
            <v>Kepala Tukang</v>
          </cell>
          <cell r="E128">
            <v>3.3000000000000002E-2</v>
          </cell>
          <cell r="F128" t="str">
            <v>Org</v>
          </cell>
          <cell r="G128">
            <v>82100</v>
          </cell>
          <cell r="I128">
            <v>2709.3</v>
          </cell>
          <cell r="J128">
            <v>0</v>
          </cell>
        </row>
        <row r="129">
          <cell r="C129" t="str">
            <v>Mandor</v>
          </cell>
          <cell r="E129">
            <v>6.0000000000000001E-3</v>
          </cell>
          <cell r="F129" t="str">
            <v>Org</v>
          </cell>
          <cell r="G129">
            <v>59400</v>
          </cell>
          <cell r="I129">
            <v>356.40000000000003</v>
          </cell>
          <cell r="J129">
            <v>0</v>
          </cell>
        </row>
        <row r="130">
          <cell r="C130" t="str">
            <v>Kayu Terentang</v>
          </cell>
          <cell r="E130">
            <v>0.04</v>
          </cell>
          <cell r="F130" t="str">
            <v>M³</v>
          </cell>
          <cell r="H130">
            <v>2380400</v>
          </cell>
          <cell r="I130">
            <v>0</v>
          </cell>
          <cell r="J130">
            <v>95216</v>
          </cell>
        </row>
        <row r="131">
          <cell r="C131" t="str">
            <v>Paku biasa 2" - 5"</v>
          </cell>
          <cell r="E131">
            <v>0.4</v>
          </cell>
          <cell r="F131" t="str">
            <v>Kg</v>
          </cell>
          <cell r="H131">
            <v>10000</v>
          </cell>
          <cell r="I131">
            <v>0</v>
          </cell>
          <cell r="J131">
            <v>4000</v>
          </cell>
        </row>
        <row r="132">
          <cell r="C132" t="str">
            <v>Minyak Bekisting</v>
          </cell>
          <cell r="E132">
            <v>0.2</v>
          </cell>
          <cell r="F132" t="str">
            <v>Ltr</v>
          </cell>
          <cell r="H132">
            <v>13500</v>
          </cell>
          <cell r="I132">
            <v>0</v>
          </cell>
          <cell r="J132">
            <v>2700</v>
          </cell>
        </row>
        <row r="133">
          <cell r="C133" t="str">
            <v>Balok Kayu Borneo</v>
          </cell>
          <cell r="E133">
            <v>1.7999999999999999E-2</v>
          </cell>
          <cell r="F133" t="str">
            <v>M³</v>
          </cell>
          <cell r="H133">
            <v>2691700</v>
          </cell>
          <cell r="I133">
            <v>0</v>
          </cell>
          <cell r="J133">
            <v>48450.6</v>
          </cell>
        </row>
        <row r="134">
          <cell r="C134" t="str">
            <v>Plywood tebal 9 mm</v>
          </cell>
          <cell r="E134">
            <v>0.35</v>
          </cell>
          <cell r="F134" t="str">
            <v>Lbr</v>
          </cell>
          <cell r="H134">
            <v>108000</v>
          </cell>
          <cell r="I134">
            <v>0</v>
          </cell>
          <cell r="J134">
            <v>37800</v>
          </cell>
        </row>
        <row r="135">
          <cell r="C135" t="str">
            <v>Dolken Kayu Galam Ø 8-10/4 m</v>
          </cell>
          <cell r="E135">
            <v>2</v>
          </cell>
          <cell r="F135" t="str">
            <v>Btg</v>
          </cell>
          <cell r="H135">
            <v>35000</v>
          </cell>
          <cell r="I135">
            <v>0</v>
          </cell>
          <cell r="J135">
            <v>70000</v>
          </cell>
        </row>
        <row r="136">
          <cell r="G136" t="str">
            <v>Sub Jumlah</v>
          </cell>
          <cell r="I136">
            <v>39340.700000000004</v>
          </cell>
          <cell r="J136">
            <v>258166.6</v>
          </cell>
        </row>
        <row r="137">
          <cell r="I137" t="str">
            <v>Jumlah</v>
          </cell>
          <cell r="K137">
            <v>297507.3</v>
          </cell>
        </row>
        <row r="138">
          <cell r="A138" t="str">
            <v>15.</v>
          </cell>
          <cell r="B138" t="str">
            <v>1    -    M²</v>
          </cell>
          <cell r="C138" t="str">
            <v>Pasang Bekisting untuk Lantai</v>
          </cell>
          <cell r="D138" t="str">
            <v>SNI 03-2830-6.32</v>
          </cell>
        </row>
        <row r="139">
          <cell r="C139" t="str">
            <v>Pekerja</v>
          </cell>
          <cell r="E139">
            <v>0.32</v>
          </cell>
          <cell r="F139" t="str">
            <v>Org</v>
          </cell>
          <cell r="G139">
            <v>45400</v>
          </cell>
          <cell r="I139">
            <v>14528</v>
          </cell>
          <cell r="J139">
            <v>0</v>
          </cell>
        </row>
        <row r="140">
          <cell r="C140" t="str">
            <v>Tukang Batu</v>
          </cell>
          <cell r="E140">
            <v>0.33</v>
          </cell>
          <cell r="F140" t="str">
            <v>Org</v>
          </cell>
          <cell r="G140">
            <v>65900</v>
          </cell>
          <cell r="I140">
            <v>21747</v>
          </cell>
          <cell r="J140">
            <v>0</v>
          </cell>
        </row>
        <row r="141">
          <cell r="C141" t="str">
            <v>Kepala Tukang</v>
          </cell>
          <cell r="E141">
            <v>3.3000000000000002E-2</v>
          </cell>
          <cell r="F141" t="str">
            <v>Org</v>
          </cell>
          <cell r="G141">
            <v>82100</v>
          </cell>
          <cell r="I141">
            <v>2709.3</v>
          </cell>
          <cell r="J141">
            <v>0</v>
          </cell>
        </row>
        <row r="142">
          <cell r="C142" t="str">
            <v>Mandor</v>
          </cell>
          <cell r="E142">
            <v>6.0000000000000001E-3</v>
          </cell>
          <cell r="F142" t="str">
            <v>Org</v>
          </cell>
          <cell r="G142">
            <v>59400</v>
          </cell>
          <cell r="I142">
            <v>356.40000000000003</v>
          </cell>
          <cell r="J142">
            <v>0</v>
          </cell>
        </row>
        <row r="143">
          <cell r="C143" t="str">
            <v>Kayu Terentang</v>
          </cell>
          <cell r="E143">
            <v>0.04</v>
          </cell>
          <cell r="F143" t="str">
            <v>M³</v>
          </cell>
          <cell r="H143">
            <v>2380400</v>
          </cell>
          <cell r="I143">
            <v>0</v>
          </cell>
          <cell r="J143">
            <v>95216</v>
          </cell>
        </row>
        <row r="144">
          <cell r="C144" t="str">
            <v>Paku biasa 2" - 5"</v>
          </cell>
          <cell r="E144">
            <v>0.4</v>
          </cell>
          <cell r="F144" t="str">
            <v>Kg</v>
          </cell>
          <cell r="H144">
            <v>10000</v>
          </cell>
          <cell r="I144">
            <v>0</v>
          </cell>
          <cell r="J144">
            <v>4000</v>
          </cell>
        </row>
        <row r="145">
          <cell r="C145" t="str">
            <v>Minyak Bekisting</v>
          </cell>
          <cell r="E145">
            <v>0.2</v>
          </cell>
          <cell r="F145" t="str">
            <v>Ltr</v>
          </cell>
          <cell r="H145">
            <v>13500</v>
          </cell>
          <cell r="I145">
            <v>0</v>
          </cell>
          <cell r="J145">
            <v>2700</v>
          </cell>
        </row>
        <row r="146">
          <cell r="C146" t="str">
            <v>Balok Kayu Borneo</v>
          </cell>
          <cell r="E146">
            <v>1.4999999999999999E-2</v>
          </cell>
          <cell r="F146" t="str">
            <v>M³</v>
          </cell>
          <cell r="H146">
            <v>2691700</v>
          </cell>
          <cell r="I146">
            <v>0</v>
          </cell>
          <cell r="J146">
            <v>40375.5</v>
          </cell>
        </row>
        <row r="147">
          <cell r="C147" t="str">
            <v>Plywood tebal 9 mm</v>
          </cell>
          <cell r="E147">
            <v>0.35</v>
          </cell>
          <cell r="F147" t="str">
            <v>Lbr</v>
          </cell>
          <cell r="H147">
            <v>108000</v>
          </cell>
          <cell r="I147">
            <v>0</v>
          </cell>
          <cell r="J147">
            <v>37800</v>
          </cell>
        </row>
        <row r="148">
          <cell r="C148" t="str">
            <v>Dolken Kayu Galam Ø 8-10/4 m</v>
          </cell>
          <cell r="E148">
            <v>6</v>
          </cell>
          <cell r="F148" t="str">
            <v>Btg</v>
          </cell>
          <cell r="H148">
            <v>35000</v>
          </cell>
          <cell r="I148">
            <v>0</v>
          </cell>
          <cell r="J148">
            <v>210000</v>
          </cell>
        </row>
        <row r="149">
          <cell r="G149" t="str">
            <v>Sub Jumlah</v>
          </cell>
          <cell r="I149">
            <v>39340.700000000004</v>
          </cell>
          <cell r="J149">
            <v>390091.5</v>
          </cell>
        </row>
        <row r="150">
          <cell r="I150" t="str">
            <v>Jumlah</v>
          </cell>
          <cell r="K150">
            <v>429432.2</v>
          </cell>
        </row>
        <row r="151">
          <cell r="A151" t="str">
            <v>16.</v>
          </cell>
          <cell r="B151" t="str">
            <v>1    -    M²</v>
          </cell>
          <cell r="C151" t="str">
            <v>Pasang Bekisting untuk Dinding</v>
          </cell>
          <cell r="D151" t="str">
            <v>SNI 03-2830-6.33</v>
          </cell>
        </row>
        <row r="152">
          <cell r="C152" t="str">
            <v>Pekerja</v>
          </cell>
          <cell r="E152">
            <v>0.32</v>
          </cell>
          <cell r="F152" t="str">
            <v>Org</v>
          </cell>
          <cell r="G152">
            <v>45400</v>
          </cell>
          <cell r="I152">
            <v>14528</v>
          </cell>
          <cell r="J152">
            <v>0</v>
          </cell>
        </row>
        <row r="153">
          <cell r="C153" t="str">
            <v>Tukang Batu</v>
          </cell>
          <cell r="E153">
            <v>0.33</v>
          </cell>
          <cell r="F153" t="str">
            <v>Org</v>
          </cell>
          <cell r="G153">
            <v>65900</v>
          </cell>
          <cell r="I153">
            <v>21747</v>
          </cell>
          <cell r="J153">
            <v>0</v>
          </cell>
        </row>
        <row r="154">
          <cell r="C154" t="str">
            <v>Kepala Tukang</v>
          </cell>
          <cell r="E154">
            <v>3.3000000000000002E-2</v>
          </cell>
          <cell r="F154" t="str">
            <v>Org</v>
          </cell>
          <cell r="G154">
            <v>82100</v>
          </cell>
          <cell r="I154">
            <v>2709.3</v>
          </cell>
          <cell r="J154">
            <v>0</v>
          </cell>
        </row>
        <row r="155">
          <cell r="C155" t="str">
            <v>Mandor</v>
          </cell>
          <cell r="E155">
            <v>6.0000000000000001E-3</v>
          </cell>
          <cell r="F155" t="str">
            <v>Org</v>
          </cell>
          <cell r="G155">
            <v>59400</v>
          </cell>
          <cell r="I155">
            <v>356.40000000000003</v>
          </cell>
          <cell r="J155">
            <v>0</v>
          </cell>
        </row>
        <row r="156">
          <cell r="C156" t="str">
            <v>Kayu Terentang</v>
          </cell>
          <cell r="E156">
            <v>0.03</v>
          </cell>
          <cell r="F156" t="str">
            <v>M³</v>
          </cell>
          <cell r="H156">
            <v>2380400</v>
          </cell>
          <cell r="I156">
            <v>0</v>
          </cell>
          <cell r="J156">
            <v>71412</v>
          </cell>
        </row>
        <row r="157">
          <cell r="C157" t="str">
            <v>Paku biasa 2" - 5"</v>
          </cell>
          <cell r="E157">
            <v>0.4</v>
          </cell>
          <cell r="F157" t="str">
            <v>Kg</v>
          </cell>
          <cell r="H157">
            <v>10000</v>
          </cell>
          <cell r="I157">
            <v>0</v>
          </cell>
          <cell r="J157">
            <v>4000</v>
          </cell>
        </row>
        <row r="158">
          <cell r="C158" t="str">
            <v>Minyak Bekisting</v>
          </cell>
          <cell r="E158">
            <v>0.2</v>
          </cell>
          <cell r="F158" t="str">
            <v>Ltr</v>
          </cell>
          <cell r="H158">
            <v>13500</v>
          </cell>
          <cell r="I158">
            <v>0</v>
          </cell>
          <cell r="J158">
            <v>2700</v>
          </cell>
        </row>
        <row r="159">
          <cell r="C159" t="str">
            <v>Balok Kayu Borneo</v>
          </cell>
          <cell r="E159">
            <v>0.02</v>
          </cell>
          <cell r="F159" t="str">
            <v>M³</v>
          </cell>
          <cell r="H159">
            <v>2691700</v>
          </cell>
          <cell r="I159">
            <v>0</v>
          </cell>
          <cell r="J159">
            <v>53834</v>
          </cell>
        </row>
        <row r="160">
          <cell r="C160" t="str">
            <v>Plywood tebal 9 mm</v>
          </cell>
          <cell r="E160">
            <v>0.35</v>
          </cell>
          <cell r="F160" t="str">
            <v>Lbr</v>
          </cell>
          <cell r="H160">
            <v>108000</v>
          </cell>
          <cell r="I160">
            <v>0</v>
          </cell>
          <cell r="J160">
            <v>37800</v>
          </cell>
        </row>
        <row r="161">
          <cell r="C161" t="str">
            <v>Dolken Kayu Galam Ø 8-10/4 m</v>
          </cell>
          <cell r="E161">
            <v>3</v>
          </cell>
          <cell r="F161" t="str">
            <v>Btg</v>
          </cell>
          <cell r="H161">
            <v>35000</v>
          </cell>
          <cell r="I161">
            <v>0</v>
          </cell>
          <cell r="J161">
            <v>105000</v>
          </cell>
        </row>
        <row r="162">
          <cell r="C162" t="str">
            <v>Formtie/Penjaga Jarak Bekisting/Spacer</v>
          </cell>
          <cell r="E162">
            <v>4</v>
          </cell>
          <cell r="F162" t="str">
            <v>Bh</v>
          </cell>
          <cell r="H162">
            <v>3000</v>
          </cell>
          <cell r="I162">
            <v>0</v>
          </cell>
          <cell r="J162">
            <v>12000</v>
          </cell>
        </row>
        <row r="163">
          <cell r="G163" t="str">
            <v>Sub Jumlah</v>
          </cell>
          <cell r="I163">
            <v>39340.700000000004</v>
          </cell>
          <cell r="J163">
            <v>286746</v>
          </cell>
        </row>
        <row r="164">
          <cell r="I164" t="str">
            <v>Jumlah</v>
          </cell>
          <cell r="K164">
            <v>326086.7</v>
          </cell>
        </row>
        <row r="165">
          <cell r="B165" t="str">
            <v>1    -    M³</v>
          </cell>
          <cell r="C165" t="str">
            <v>Membuat Beton Cor  1 Pc : 3Ps : 5 Kr</v>
          </cell>
          <cell r="D165" t="str">
            <v>SNI 03-2830-6.1</v>
          </cell>
        </row>
        <row r="166">
          <cell r="C166" t="str">
            <v>Pekerja</v>
          </cell>
          <cell r="E166">
            <v>1.65</v>
          </cell>
          <cell r="F166" t="str">
            <v>Org</v>
          </cell>
          <cell r="G166">
            <v>45400</v>
          </cell>
          <cell r="I166">
            <v>74910</v>
          </cell>
        </row>
        <row r="167">
          <cell r="C167" t="str">
            <v>Tukang Batu</v>
          </cell>
          <cell r="E167">
            <v>0.25</v>
          </cell>
          <cell r="F167" t="str">
            <v>Org</v>
          </cell>
          <cell r="G167">
            <v>65900</v>
          </cell>
          <cell r="I167">
            <v>16475</v>
          </cell>
        </row>
        <row r="168">
          <cell r="C168" t="str">
            <v>Kepala Tukang</v>
          </cell>
          <cell r="E168">
            <v>2.5000000000000001E-2</v>
          </cell>
          <cell r="F168" t="str">
            <v>Org</v>
          </cell>
          <cell r="G168">
            <v>82100</v>
          </cell>
          <cell r="I168">
            <v>2052.5</v>
          </cell>
        </row>
        <row r="169">
          <cell r="C169" t="str">
            <v>Mandor</v>
          </cell>
          <cell r="E169">
            <v>0.08</v>
          </cell>
          <cell r="F169" t="str">
            <v>Org</v>
          </cell>
          <cell r="G169">
            <v>59400</v>
          </cell>
          <cell r="I169">
            <v>4752</v>
          </cell>
        </row>
        <row r="170">
          <cell r="C170" t="str">
            <v>Semen Portland</v>
          </cell>
          <cell r="E170">
            <v>218</v>
          </cell>
          <cell r="F170" t="str">
            <v>Kg</v>
          </cell>
          <cell r="H170">
            <v>1075</v>
          </cell>
          <cell r="I170">
            <v>0</v>
          </cell>
          <cell r="J170">
            <v>234350</v>
          </cell>
        </row>
        <row r="171">
          <cell r="C171" t="str">
            <v>Pasir Beton</v>
          </cell>
          <cell r="E171">
            <v>0.52</v>
          </cell>
          <cell r="F171" t="str">
            <v>M³</v>
          </cell>
          <cell r="H171">
            <v>100800</v>
          </cell>
          <cell r="I171">
            <v>0</v>
          </cell>
          <cell r="J171">
            <v>52416</v>
          </cell>
        </row>
        <row r="172">
          <cell r="C172" t="str">
            <v>Koral Beton</v>
          </cell>
          <cell r="E172">
            <v>0.87</v>
          </cell>
          <cell r="F172" t="str">
            <v>M³</v>
          </cell>
          <cell r="H172">
            <v>98000</v>
          </cell>
          <cell r="I172">
            <v>0</v>
          </cell>
          <cell r="J172">
            <v>85260</v>
          </cell>
        </row>
        <row r="173">
          <cell r="G173" t="str">
            <v>Sub Jumlah</v>
          </cell>
          <cell r="I173">
            <v>98189.5</v>
          </cell>
          <cell r="J173">
            <v>372026</v>
          </cell>
        </row>
        <row r="174">
          <cell r="I174" t="str">
            <v>Jumlah</v>
          </cell>
          <cell r="K174">
            <v>470215.5</v>
          </cell>
        </row>
        <row r="175">
          <cell r="A175" t="str">
            <v>17.</v>
          </cell>
          <cell r="B175" t="str">
            <v>1    -    M³</v>
          </cell>
          <cell r="C175" t="str">
            <v>Membuat Beton Cor dengan Mutu K 225</v>
          </cell>
          <cell r="D175" t="str">
            <v>SNI 03-2830-6.35</v>
          </cell>
        </row>
        <row r="176">
          <cell r="C176" t="str">
            <v>Pekerja</v>
          </cell>
          <cell r="E176">
            <v>6</v>
          </cell>
          <cell r="F176" t="str">
            <v>Org</v>
          </cell>
          <cell r="G176">
            <v>45400</v>
          </cell>
          <cell r="I176">
            <v>272400</v>
          </cell>
          <cell r="J176">
            <v>0</v>
          </cell>
        </row>
        <row r="177">
          <cell r="C177" t="str">
            <v>Tukang Batu</v>
          </cell>
          <cell r="E177">
            <v>1</v>
          </cell>
          <cell r="F177" t="str">
            <v>Org</v>
          </cell>
          <cell r="G177">
            <v>65900</v>
          </cell>
          <cell r="I177">
            <v>65900</v>
          </cell>
          <cell r="J177">
            <v>0</v>
          </cell>
        </row>
        <row r="178">
          <cell r="C178" t="str">
            <v>Kepala Tukang</v>
          </cell>
          <cell r="E178">
            <v>0.1</v>
          </cell>
          <cell r="F178" t="str">
            <v>Org</v>
          </cell>
          <cell r="G178">
            <v>82100</v>
          </cell>
          <cell r="I178">
            <v>8210</v>
          </cell>
          <cell r="J178">
            <v>0</v>
          </cell>
        </row>
        <row r="179">
          <cell r="C179" t="str">
            <v>Mandor</v>
          </cell>
          <cell r="E179">
            <v>0.3</v>
          </cell>
          <cell r="F179" t="str">
            <v>Org</v>
          </cell>
          <cell r="G179">
            <v>59400</v>
          </cell>
          <cell r="I179">
            <v>17820</v>
          </cell>
          <cell r="J179">
            <v>0</v>
          </cell>
        </row>
        <row r="180">
          <cell r="C180" t="str">
            <v>Semen Portland</v>
          </cell>
          <cell r="E180">
            <v>388</v>
          </cell>
          <cell r="F180" t="str">
            <v>Kg</v>
          </cell>
          <cell r="H180">
            <v>1075</v>
          </cell>
          <cell r="I180">
            <v>0</v>
          </cell>
          <cell r="J180">
            <v>417100</v>
          </cell>
        </row>
        <row r="181">
          <cell r="C181" t="str">
            <v>Pasir Beton</v>
          </cell>
          <cell r="E181">
            <v>0.65</v>
          </cell>
          <cell r="F181" t="str">
            <v>M³</v>
          </cell>
          <cell r="H181">
            <v>100800</v>
          </cell>
          <cell r="I181">
            <v>0</v>
          </cell>
          <cell r="J181">
            <v>65520</v>
          </cell>
        </row>
        <row r="182">
          <cell r="C182" t="str">
            <v>Koral Beton</v>
          </cell>
          <cell r="E182">
            <v>0.65</v>
          </cell>
          <cell r="F182" t="str">
            <v>M³</v>
          </cell>
          <cell r="H182">
            <v>98000</v>
          </cell>
          <cell r="I182">
            <v>0</v>
          </cell>
          <cell r="J182">
            <v>63700</v>
          </cell>
        </row>
        <row r="183">
          <cell r="G183" t="str">
            <v>Sub Jumlah</v>
          </cell>
          <cell r="I183">
            <v>364330</v>
          </cell>
          <cell r="J183">
            <v>546320</v>
          </cell>
        </row>
        <row r="184">
          <cell r="I184" t="str">
            <v>Jumlah</v>
          </cell>
          <cell r="K184">
            <v>910650</v>
          </cell>
        </row>
        <row r="185">
          <cell r="A185" t="str">
            <v>18.</v>
          </cell>
          <cell r="B185" t="str">
            <v>1    -    M³</v>
          </cell>
          <cell r="C185" t="str">
            <v>Membuat Beton Cor dengan Mutu K 275</v>
          </cell>
          <cell r="D185" t="str">
            <v>SNI 03-2830-6.36</v>
          </cell>
        </row>
        <row r="186">
          <cell r="C186" t="str">
            <v>Pekerja</v>
          </cell>
          <cell r="E186">
            <v>6</v>
          </cell>
          <cell r="F186" t="str">
            <v>Org</v>
          </cell>
          <cell r="G186">
            <v>45400</v>
          </cell>
          <cell r="I186">
            <v>272400</v>
          </cell>
          <cell r="J186">
            <v>0</v>
          </cell>
        </row>
        <row r="187">
          <cell r="C187" t="str">
            <v>Tukang Batu</v>
          </cell>
          <cell r="E187">
            <v>1</v>
          </cell>
          <cell r="F187" t="str">
            <v>Org</v>
          </cell>
          <cell r="G187">
            <v>65900</v>
          </cell>
          <cell r="I187">
            <v>65900</v>
          </cell>
          <cell r="J187">
            <v>0</v>
          </cell>
        </row>
        <row r="188">
          <cell r="C188" t="str">
            <v>Kepala Tukang</v>
          </cell>
          <cell r="E188">
            <v>0.1</v>
          </cell>
          <cell r="F188" t="str">
            <v>Org</v>
          </cell>
          <cell r="G188">
            <v>82100</v>
          </cell>
          <cell r="I188">
            <v>8210</v>
          </cell>
          <cell r="J188">
            <v>0</v>
          </cell>
        </row>
        <row r="189">
          <cell r="C189" t="str">
            <v>Mandor</v>
          </cell>
          <cell r="E189">
            <v>0.3</v>
          </cell>
          <cell r="F189" t="str">
            <v>Org</v>
          </cell>
          <cell r="G189">
            <v>59400</v>
          </cell>
          <cell r="I189">
            <v>17820</v>
          </cell>
          <cell r="J189">
            <v>0</v>
          </cell>
        </row>
        <row r="190">
          <cell r="C190" t="str">
            <v>Semen Portland</v>
          </cell>
          <cell r="E190">
            <v>400</v>
          </cell>
          <cell r="F190" t="str">
            <v>Kg</v>
          </cell>
          <cell r="H190">
            <v>1075</v>
          </cell>
          <cell r="I190">
            <v>0</v>
          </cell>
          <cell r="J190">
            <v>430000</v>
          </cell>
        </row>
        <row r="191">
          <cell r="C191" t="str">
            <v>Pasir Beton</v>
          </cell>
          <cell r="E191">
            <v>0.4</v>
          </cell>
          <cell r="F191" t="str">
            <v>M³</v>
          </cell>
          <cell r="H191">
            <v>100800</v>
          </cell>
          <cell r="I191">
            <v>0</v>
          </cell>
          <cell r="J191">
            <v>40320</v>
          </cell>
        </row>
        <row r="192">
          <cell r="C192" t="str">
            <v>Koral Beton</v>
          </cell>
          <cell r="E192">
            <v>0.82</v>
          </cell>
          <cell r="F192" t="str">
            <v>M³</v>
          </cell>
          <cell r="H192">
            <v>98000</v>
          </cell>
          <cell r="I192">
            <v>0</v>
          </cell>
          <cell r="J192">
            <v>80360</v>
          </cell>
        </row>
        <row r="193">
          <cell r="G193" t="str">
            <v>Sub Jumlah</v>
          </cell>
          <cell r="I193">
            <v>364330</v>
          </cell>
          <cell r="J193">
            <v>550680</v>
          </cell>
        </row>
        <row r="194">
          <cell r="I194" t="str">
            <v>Jumlah</v>
          </cell>
          <cell r="K194">
            <v>915010</v>
          </cell>
        </row>
        <row r="195">
          <cell r="A195" t="str">
            <v>19.</v>
          </cell>
          <cell r="B195" t="str">
            <v>1    -    M³</v>
          </cell>
          <cell r="C195" t="str">
            <v>Membuat Pondasi Beton Bertulang (150 Kg + Bekisting)</v>
          </cell>
          <cell r="D195" t="str">
            <v>SNI 03-2830-6.38</v>
          </cell>
        </row>
        <row r="196">
          <cell r="C196" t="str">
            <v>Pekerja</v>
          </cell>
          <cell r="E196">
            <v>3.9</v>
          </cell>
          <cell r="F196" t="str">
            <v>Org</v>
          </cell>
          <cell r="G196">
            <v>45400</v>
          </cell>
          <cell r="I196">
            <v>177060</v>
          </cell>
          <cell r="J196">
            <v>0</v>
          </cell>
        </row>
        <row r="197">
          <cell r="C197" t="str">
            <v>Tukang Batu</v>
          </cell>
          <cell r="E197">
            <v>0.35</v>
          </cell>
          <cell r="F197" t="str">
            <v>Org</v>
          </cell>
          <cell r="G197">
            <v>65900</v>
          </cell>
          <cell r="I197">
            <v>23065</v>
          </cell>
          <cell r="J197">
            <v>0</v>
          </cell>
        </row>
        <row r="198">
          <cell r="C198" t="str">
            <v>Kepala Tukang</v>
          </cell>
          <cell r="E198">
            <v>0.245</v>
          </cell>
          <cell r="F198" t="str">
            <v>Org</v>
          </cell>
          <cell r="G198">
            <v>82100</v>
          </cell>
          <cell r="I198">
            <v>20114.5</v>
          </cell>
          <cell r="J198">
            <v>0</v>
          </cell>
        </row>
        <row r="199">
          <cell r="C199" t="str">
            <v>Mandor</v>
          </cell>
          <cell r="E199">
            <v>0.16500000000000001</v>
          </cell>
          <cell r="F199" t="str">
            <v>Org</v>
          </cell>
          <cell r="G199">
            <v>59400</v>
          </cell>
          <cell r="I199">
            <v>9801</v>
          </cell>
          <cell r="J199">
            <v>0</v>
          </cell>
        </row>
        <row r="200">
          <cell r="C200" t="str">
            <v>Tukang Kayu</v>
          </cell>
          <cell r="E200">
            <v>1.04</v>
          </cell>
          <cell r="F200" t="str">
            <v>Org</v>
          </cell>
          <cell r="G200">
            <v>65900</v>
          </cell>
          <cell r="I200">
            <v>68536</v>
          </cell>
          <cell r="J200">
            <v>0</v>
          </cell>
        </row>
        <row r="201">
          <cell r="C201" t="str">
            <v>Tukang Besi</v>
          </cell>
          <cell r="E201">
            <v>1.05</v>
          </cell>
          <cell r="F201" t="str">
            <v>Org</v>
          </cell>
          <cell r="G201">
            <v>65900</v>
          </cell>
          <cell r="I201">
            <v>69195</v>
          </cell>
          <cell r="J201">
            <v>0</v>
          </cell>
        </row>
        <row r="202">
          <cell r="C202" t="str">
            <v>Kayu Terentang</v>
          </cell>
          <cell r="E202">
            <v>0.2</v>
          </cell>
          <cell r="F202" t="str">
            <v>M³</v>
          </cell>
          <cell r="H202">
            <v>2380400</v>
          </cell>
          <cell r="I202">
            <v>0</v>
          </cell>
          <cell r="J202">
            <v>476080</v>
          </cell>
        </row>
        <row r="203">
          <cell r="C203" t="str">
            <v>Paku biasa 2" - 5"</v>
          </cell>
          <cell r="E203">
            <v>1.5</v>
          </cell>
          <cell r="F203" t="str">
            <v>Kg</v>
          </cell>
          <cell r="H203">
            <v>10000</v>
          </cell>
          <cell r="I203">
            <v>0</v>
          </cell>
          <cell r="J203">
            <v>15000</v>
          </cell>
        </row>
        <row r="204">
          <cell r="C204" t="str">
            <v>Minyak Bekisting</v>
          </cell>
          <cell r="E204">
            <v>0.4</v>
          </cell>
          <cell r="F204" t="str">
            <v>Ltr</v>
          </cell>
          <cell r="H204">
            <v>13500</v>
          </cell>
          <cell r="I204">
            <v>0</v>
          </cell>
          <cell r="J204">
            <v>5400</v>
          </cell>
        </row>
        <row r="205">
          <cell r="C205" t="str">
            <v>Besi Beton Polos</v>
          </cell>
          <cell r="E205">
            <v>150</v>
          </cell>
          <cell r="F205" t="str">
            <v>Kg</v>
          </cell>
          <cell r="H205">
            <v>6500</v>
          </cell>
          <cell r="I205">
            <v>0</v>
          </cell>
          <cell r="J205">
            <v>975000</v>
          </cell>
        </row>
        <row r="206">
          <cell r="C206" t="str">
            <v>Kawat Beton</v>
          </cell>
          <cell r="E206">
            <v>2.25</v>
          </cell>
          <cell r="F206" t="str">
            <v>Kg</v>
          </cell>
          <cell r="H206">
            <v>9950</v>
          </cell>
          <cell r="I206">
            <v>0</v>
          </cell>
          <cell r="J206">
            <v>22387.5</v>
          </cell>
        </row>
        <row r="207">
          <cell r="C207" t="str">
            <v>Sement Portland</v>
          </cell>
          <cell r="E207">
            <v>323</v>
          </cell>
          <cell r="F207" t="str">
            <v>Kg</v>
          </cell>
          <cell r="H207">
            <v>1075</v>
          </cell>
          <cell r="I207">
            <v>0</v>
          </cell>
          <cell r="J207">
            <v>347225</v>
          </cell>
        </row>
        <row r="208">
          <cell r="C208" t="str">
            <v>Pasir Beton</v>
          </cell>
          <cell r="E208">
            <v>0.52</v>
          </cell>
          <cell r="F208" t="str">
            <v>M³</v>
          </cell>
          <cell r="H208">
            <v>100800</v>
          </cell>
          <cell r="I208">
            <v>0</v>
          </cell>
          <cell r="J208">
            <v>52416</v>
          </cell>
        </row>
        <row r="209">
          <cell r="C209" t="str">
            <v>Koral Beton</v>
          </cell>
          <cell r="E209">
            <v>0.78</v>
          </cell>
          <cell r="F209" t="str">
            <v>M³</v>
          </cell>
          <cell r="H209">
            <v>98000</v>
          </cell>
          <cell r="I209">
            <v>0</v>
          </cell>
          <cell r="J209">
            <v>76440</v>
          </cell>
        </row>
        <row r="210">
          <cell r="G210" t="str">
            <v>Sub Jumlah</v>
          </cell>
          <cell r="I210">
            <v>367771.5</v>
          </cell>
          <cell r="J210">
            <v>1969948.5</v>
          </cell>
        </row>
        <row r="211">
          <cell r="I211" t="str">
            <v>Jumlah</v>
          </cell>
          <cell r="K211">
            <v>2337720</v>
          </cell>
        </row>
        <row r="212">
          <cell r="A212" t="str">
            <v>20.</v>
          </cell>
          <cell r="B212" t="str">
            <v>1    -    M³</v>
          </cell>
          <cell r="C212" t="str">
            <v>Membuat Sloof Beton Bertulang (200 Kg + Bekisting)</v>
          </cell>
          <cell r="D212" t="str">
            <v>SNI 03-2830-6.39</v>
          </cell>
        </row>
        <row r="213">
          <cell r="C213" t="str">
            <v>Pekerja</v>
          </cell>
          <cell r="E213">
            <v>4.8499999999999996</v>
          </cell>
          <cell r="F213" t="str">
            <v>Org</v>
          </cell>
          <cell r="G213">
            <v>45400</v>
          </cell>
          <cell r="I213">
            <v>220189.99999999997</v>
          </cell>
          <cell r="J213">
            <v>0</v>
          </cell>
        </row>
        <row r="214">
          <cell r="C214" t="str">
            <v>Tukang Batu</v>
          </cell>
          <cell r="E214">
            <v>0.35</v>
          </cell>
          <cell r="F214" t="str">
            <v>Org</v>
          </cell>
          <cell r="G214">
            <v>65900</v>
          </cell>
          <cell r="I214">
            <v>23065</v>
          </cell>
          <cell r="J214">
            <v>0</v>
          </cell>
        </row>
        <row r="215">
          <cell r="C215" t="str">
            <v>Kepala Tukang</v>
          </cell>
          <cell r="E215">
            <v>0.33100000000000002</v>
          </cell>
          <cell r="F215" t="str">
            <v>Org</v>
          </cell>
          <cell r="G215">
            <v>82100</v>
          </cell>
          <cell r="I215">
            <v>27175.100000000002</v>
          </cell>
          <cell r="J215">
            <v>0</v>
          </cell>
        </row>
        <row r="216">
          <cell r="C216" t="str">
            <v>Mandor</v>
          </cell>
          <cell r="E216">
            <v>0.17</v>
          </cell>
          <cell r="F216" t="str">
            <v>Org</v>
          </cell>
          <cell r="G216">
            <v>59400</v>
          </cell>
          <cell r="I216">
            <v>10098</v>
          </cell>
          <cell r="J216">
            <v>0</v>
          </cell>
        </row>
        <row r="217">
          <cell r="C217" t="str">
            <v>Tukang Kayu</v>
          </cell>
          <cell r="E217">
            <v>1.56</v>
          </cell>
          <cell r="F217" t="str">
            <v>Org</v>
          </cell>
          <cell r="G217">
            <v>65900</v>
          </cell>
          <cell r="I217">
            <v>102804</v>
          </cell>
          <cell r="J217">
            <v>0</v>
          </cell>
        </row>
        <row r="218">
          <cell r="C218" t="str">
            <v>Tukang Besi</v>
          </cell>
          <cell r="E218">
            <v>1.4</v>
          </cell>
          <cell r="F218" t="str">
            <v>Org</v>
          </cell>
          <cell r="G218">
            <v>65900</v>
          </cell>
          <cell r="I218">
            <v>92260</v>
          </cell>
          <cell r="J218">
            <v>0</v>
          </cell>
        </row>
        <row r="219">
          <cell r="C219" t="str">
            <v>Kayu Terentang</v>
          </cell>
          <cell r="E219">
            <v>0.2</v>
          </cell>
          <cell r="F219" t="str">
            <v>M³</v>
          </cell>
          <cell r="H219">
            <v>2380400</v>
          </cell>
          <cell r="I219">
            <v>0</v>
          </cell>
          <cell r="J219">
            <v>476080</v>
          </cell>
        </row>
        <row r="220">
          <cell r="C220" t="str">
            <v>Paku biasa 2" - 5"</v>
          </cell>
          <cell r="E220">
            <v>1.5</v>
          </cell>
          <cell r="F220" t="str">
            <v>Kg</v>
          </cell>
          <cell r="H220">
            <v>10000</v>
          </cell>
          <cell r="I220">
            <v>0</v>
          </cell>
          <cell r="J220">
            <v>15000</v>
          </cell>
        </row>
        <row r="221">
          <cell r="C221" t="str">
            <v>Minyak Bekisting</v>
          </cell>
          <cell r="E221">
            <v>0.4</v>
          </cell>
          <cell r="F221" t="str">
            <v>Ltr</v>
          </cell>
          <cell r="H221">
            <v>13500</v>
          </cell>
          <cell r="I221">
            <v>0</v>
          </cell>
          <cell r="J221">
            <v>5400</v>
          </cell>
        </row>
        <row r="222">
          <cell r="C222" t="str">
            <v>Besi Beton Polos</v>
          </cell>
          <cell r="E222">
            <v>200</v>
          </cell>
          <cell r="F222" t="str">
            <v>Kg</v>
          </cell>
          <cell r="H222">
            <v>6500</v>
          </cell>
          <cell r="I222">
            <v>0</v>
          </cell>
          <cell r="J222">
            <v>1300000</v>
          </cell>
        </row>
        <row r="223">
          <cell r="C223" t="str">
            <v>Kawat Beton</v>
          </cell>
          <cell r="E223">
            <v>2.25</v>
          </cell>
          <cell r="F223" t="str">
            <v>Kg</v>
          </cell>
          <cell r="H223">
            <v>9950</v>
          </cell>
          <cell r="I223">
            <v>0</v>
          </cell>
          <cell r="J223">
            <v>22387.5</v>
          </cell>
        </row>
        <row r="224">
          <cell r="C224" t="str">
            <v>Sement Portland</v>
          </cell>
          <cell r="E224">
            <v>323</v>
          </cell>
          <cell r="F224" t="str">
            <v>Kg</v>
          </cell>
          <cell r="H224">
            <v>1075</v>
          </cell>
          <cell r="I224">
            <v>0</v>
          </cell>
          <cell r="J224">
            <v>347225</v>
          </cell>
        </row>
        <row r="225">
          <cell r="C225" t="str">
            <v>Pasir Beton</v>
          </cell>
          <cell r="E225">
            <v>0.52</v>
          </cell>
          <cell r="F225" t="str">
            <v>M³</v>
          </cell>
          <cell r="H225">
            <v>100800</v>
          </cell>
          <cell r="I225">
            <v>0</v>
          </cell>
          <cell r="J225">
            <v>52416</v>
          </cell>
        </row>
        <row r="226">
          <cell r="C226" t="str">
            <v>Koral Beton</v>
          </cell>
          <cell r="E226">
            <v>0.78</v>
          </cell>
          <cell r="F226" t="str">
            <v>M³</v>
          </cell>
          <cell r="H226">
            <v>98000</v>
          </cell>
          <cell r="I226">
            <v>0</v>
          </cell>
          <cell r="J226">
            <v>76440</v>
          </cell>
        </row>
        <row r="227">
          <cell r="G227" t="str">
            <v>Sub Jumlah</v>
          </cell>
          <cell r="I227">
            <v>475592.1</v>
          </cell>
          <cell r="J227">
            <v>2294948.5</v>
          </cell>
        </row>
        <row r="228">
          <cell r="I228" t="str">
            <v>Jumlah</v>
          </cell>
          <cell r="K228">
            <v>2770540.6</v>
          </cell>
        </row>
        <row r="229">
          <cell r="A229" t="str">
            <v>21.</v>
          </cell>
          <cell r="B229" t="str">
            <v>1    -    M³</v>
          </cell>
          <cell r="C229" t="str">
            <v>Membuat  Kolom Beton Bertulang (150 Kg + Bekisting)</v>
          </cell>
          <cell r="D229" t="str">
            <v>SNI 03-2830-6.40</v>
          </cell>
        </row>
        <row r="230">
          <cell r="C230" t="str">
            <v>Pekerja</v>
          </cell>
          <cell r="E230">
            <v>7.3</v>
          </cell>
          <cell r="F230" t="str">
            <v>Org</v>
          </cell>
          <cell r="G230">
            <v>45400</v>
          </cell>
          <cell r="I230">
            <v>331420</v>
          </cell>
          <cell r="J230">
            <v>0</v>
          </cell>
        </row>
        <row r="231">
          <cell r="C231" t="str">
            <v>Tukang Batu</v>
          </cell>
          <cell r="E231">
            <v>0.35</v>
          </cell>
          <cell r="F231" t="str">
            <v>Org</v>
          </cell>
          <cell r="G231">
            <v>65900</v>
          </cell>
          <cell r="I231">
            <v>23065</v>
          </cell>
          <cell r="J231">
            <v>0</v>
          </cell>
        </row>
        <row r="232">
          <cell r="C232" t="str">
            <v>Kepala Tukang</v>
          </cell>
          <cell r="E232">
            <v>0.56999999999999995</v>
          </cell>
          <cell r="F232" t="str">
            <v>Org</v>
          </cell>
          <cell r="G232">
            <v>82100</v>
          </cell>
          <cell r="I232">
            <v>46796.999999999993</v>
          </cell>
          <cell r="J232">
            <v>0</v>
          </cell>
        </row>
        <row r="233">
          <cell r="C233" t="str">
            <v>Mandor</v>
          </cell>
          <cell r="E233">
            <v>0.25</v>
          </cell>
          <cell r="F233" t="str">
            <v>Org</v>
          </cell>
          <cell r="G233">
            <v>59400</v>
          </cell>
          <cell r="I233">
            <v>14850</v>
          </cell>
          <cell r="J233">
            <v>0</v>
          </cell>
        </row>
        <row r="234">
          <cell r="C234" t="str">
            <v>Tukang Kayu</v>
          </cell>
          <cell r="E234">
            <v>3.3</v>
          </cell>
          <cell r="F234" t="str">
            <v>Org</v>
          </cell>
          <cell r="G234">
            <v>65900</v>
          </cell>
          <cell r="I234">
            <v>217470</v>
          </cell>
          <cell r="J234">
            <v>0</v>
          </cell>
        </row>
        <row r="235">
          <cell r="C235" t="str">
            <v>Tukang Besi</v>
          </cell>
          <cell r="E235">
            <v>2.1</v>
          </cell>
          <cell r="F235" t="str">
            <v>Org</v>
          </cell>
          <cell r="G235">
            <v>65900</v>
          </cell>
          <cell r="I235">
            <v>138390</v>
          </cell>
          <cell r="J235">
            <v>0</v>
          </cell>
        </row>
        <row r="236">
          <cell r="C236" t="str">
            <v>Kayu Terentang</v>
          </cell>
          <cell r="E236">
            <v>0.4</v>
          </cell>
          <cell r="F236" t="str">
            <v>M³</v>
          </cell>
          <cell r="H236">
            <v>2380400</v>
          </cell>
          <cell r="I236">
            <v>0</v>
          </cell>
          <cell r="J236">
            <v>952160</v>
          </cell>
        </row>
        <row r="237">
          <cell r="C237" t="str">
            <v>Paku biasa 2" - 5"</v>
          </cell>
          <cell r="E237">
            <v>4</v>
          </cell>
          <cell r="F237" t="str">
            <v>Kg</v>
          </cell>
          <cell r="H237">
            <v>10000</v>
          </cell>
          <cell r="I237">
            <v>0</v>
          </cell>
          <cell r="J237">
            <v>40000</v>
          </cell>
        </row>
        <row r="238">
          <cell r="C238" t="str">
            <v>Minyak Bekisting</v>
          </cell>
          <cell r="E238">
            <v>2</v>
          </cell>
          <cell r="F238" t="str">
            <v>Ltr</v>
          </cell>
          <cell r="H238">
            <v>13500</v>
          </cell>
          <cell r="I238">
            <v>0</v>
          </cell>
          <cell r="J238">
            <v>27000</v>
          </cell>
        </row>
        <row r="239">
          <cell r="C239" t="str">
            <v>Besi Beton Polos</v>
          </cell>
          <cell r="E239">
            <v>150</v>
          </cell>
          <cell r="F239" t="str">
            <v>Kg</v>
          </cell>
          <cell r="H239">
            <v>6500</v>
          </cell>
          <cell r="I239">
            <v>0</v>
          </cell>
          <cell r="J239">
            <v>975000</v>
          </cell>
        </row>
        <row r="240">
          <cell r="C240" t="str">
            <v>Kawat Beton</v>
          </cell>
          <cell r="E240">
            <v>4.5</v>
          </cell>
          <cell r="F240" t="str">
            <v>Kg</v>
          </cell>
          <cell r="H240">
            <v>9950</v>
          </cell>
          <cell r="I240">
            <v>0</v>
          </cell>
          <cell r="J240">
            <v>44775</v>
          </cell>
        </row>
        <row r="241">
          <cell r="C241" t="str">
            <v>Sement Portland</v>
          </cell>
          <cell r="E241">
            <v>323</v>
          </cell>
          <cell r="F241" t="str">
            <v>Kg</v>
          </cell>
          <cell r="H241">
            <v>1075</v>
          </cell>
          <cell r="I241">
            <v>0</v>
          </cell>
          <cell r="J241">
            <v>347225</v>
          </cell>
        </row>
        <row r="242">
          <cell r="C242" t="str">
            <v>Pasir Beton</v>
          </cell>
          <cell r="E242">
            <v>0.52</v>
          </cell>
          <cell r="F242" t="str">
            <v>M³</v>
          </cell>
          <cell r="H242">
            <v>100800</v>
          </cell>
          <cell r="I242">
            <v>0</v>
          </cell>
          <cell r="J242">
            <v>52416</v>
          </cell>
        </row>
        <row r="243">
          <cell r="C243" t="str">
            <v>Koral Beton</v>
          </cell>
          <cell r="E243">
            <v>0.78</v>
          </cell>
          <cell r="F243" t="str">
            <v>M³</v>
          </cell>
          <cell r="H243">
            <v>98000</v>
          </cell>
          <cell r="I243">
            <v>0</v>
          </cell>
          <cell r="J243">
            <v>76440</v>
          </cell>
        </row>
        <row r="244">
          <cell r="C244" t="str">
            <v>Balok Kayu Borneo</v>
          </cell>
          <cell r="E244">
            <v>0.15</v>
          </cell>
          <cell r="F244" t="str">
            <v>M³</v>
          </cell>
          <cell r="H244">
            <v>2691700</v>
          </cell>
          <cell r="I244">
            <v>0</v>
          </cell>
          <cell r="J244">
            <v>403755</v>
          </cell>
        </row>
        <row r="245">
          <cell r="C245" t="str">
            <v>Plywood tebal 9 mm</v>
          </cell>
          <cell r="E245">
            <v>3.5</v>
          </cell>
          <cell r="F245" t="str">
            <v>Lbr</v>
          </cell>
          <cell r="H245">
            <v>108000</v>
          </cell>
          <cell r="I245">
            <v>0</v>
          </cell>
          <cell r="J245">
            <v>378000</v>
          </cell>
        </row>
        <row r="246">
          <cell r="C246" t="str">
            <v>Dolken Kayu Galam Ø 8-10/4 m</v>
          </cell>
          <cell r="E246">
            <v>20</v>
          </cell>
          <cell r="F246" t="str">
            <v>Btg</v>
          </cell>
          <cell r="H246">
            <v>3000</v>
          </cell>
          <cell r="I246">
            <v>0</v>
          </cell>
          <cell r="J246">
            <v>60000</v>
          </cell>
        </row>
        <row r="247">
          <cell r="G247" t="str">
            <v>Sub Jumlah</v>
          </cell>
          <cell r="I247">
            <v>771992</v>
          </cell>
          <cell r="J247">
            <v>3356771</v>
          </cell>
        </row>
        <row r="248">
          <cell r="I248" t="str">
            <v>Jumlah</v>
          </cell>
          <cell r="K248">
            <v>4128763</v>
          </cell>
        </row>
        <row r="249">
          <cell r="A249" t="str">
            <v>22.</v>
          </cell>
          <cell r="B249" t="str">
            <v>1    -    M³</v>
          </cell>
          <cell r="C249" t="str">
            <v>Membuat  Balok Beton Bertulang (150 Kg + Bekisting)</v>
          </cell>
          <cell r="D249" t="str">
            <v>SNI 03-2830-6.42</v>
          </cell>
        </row>
        <row r="250">
          <cell r="C250" t="str">
            <v>Pekerja</v>
          </cell>
          <cell r="E250">
            <v>5.8</v>
          </cell>
          <cell r="F250" t="str">
            <v>Org</v>
          </cell>
          <cell r="G250">
            <v>45400</v>
          </cell>
          <cell r="I250">
            <v>263320</v>
          </cell>
          <cell r="J250">
            <v>0</v>
          </cell>
        </row>
        <row r="251">
          <cell r="C251" t="str">
            <v>Tukang Batu</v>
          </cell>
          <cell r="E251">
            <v>0.35</v>
          </cell>
          <cell r="F251" t="str">
            <v>Org</v>
          </cell>
          <cell r="G251">
            <v>65900</v>
          </cell>
          <cell r="I251">
            <v>23065</v>
          </cell>
          <cell r="J251">
            <v>0</v>
          </cell>
        </row>
        <row r="252">
          <cell r="C252" t="str">
            <v>Kepala Tukang</v>
          </cell>
          <cell r="E252">
            <v>0.42</v>
          </cell>
          <cell r="F252" t="str">
            <v>Org</v>
          </cell>
          <cell r="G252">
            <v>82100</v>
          </cell>
          <cell r="I252">
            <v>34482</v>
          </cell>
          <cell r="J252">
            <v>0</v>
          </cell>
        </row>
        <row r="253">
          <cell r="C253" t="str">
            <v>Mandor</v>
          </cell>
          <cell r="E253">
            <v>0.185</v>
          </cell>
          <cell r="F253" t="str">
            <v>Org</v>
          </cell>
          <cell r="G253">
            <v>59400</v>
          </cell>
          <cell r="I253">
            <v>10989</v>
          </cell>
          <cell r="J253">
            <v>0</v>
          </cell>
        </row>
        <row r="254">
          <cell r="C254" t="str">
            <v>Tukang Kayu</v>
          </cell>
          <cell r="E254">
            <v>2.8</v>
          </cell>
          <cell r="F254" t="str">
            <v>Org</v>
          </cell>
          <cell r="G254">
            <v>65900</v>
          </cell>
          <cell r="I254">
            <v>184520</v>
          </cell>
          <cell r="J254">
            <v>0</v>
          </cell>
        </row>
        <row r="255">
          <cell r="C255" t="str">
            <v>Tukang Besi</v>
          </cell>
          <cell r="E255">
            <v>1.05</v>
          </cell>
          <cell r="F255" t="str">
            <v>Org</v>
          </cell>
          <cell r="G255">
            <v>65900</v>
          </cell>
          <cell r="I255">
            <v>69195</v>
          </cell>
          <cell r="J255">
            <v>0</v>
          </cell>
        </row>
        <row r="256">
          <cell r="C256" t="str">
            <v>Kayu Terentang</v>
          </cell>
          <cell r="E256">
            <v>0.32</v>
          </cell>
          <cell r="F256" t="str">
            <v>M³</v>
          </cell>
          <cell r="H256">
            <v>2380400</v>
          </cell>
          <cell r="I256">
            <v>0</v>
          </cell>
          <cell r="J256">
            <v>761728</v>
          </cell>
        </row>
        <row r="257">
          <cell r="C257" t="str">
            <v>Paku biasa 2" - 5"</v>
          </cell>
          <cell r="E257">
            <v>3.2</v>
          </cell>
          <cell r="F257" t="str">
            <v>Kg</v>
          </cell>
          <cell r="H257">
            <v>10000</v>
          </cell>
          <cell r="I257">
            <v>0</v>
          </cell>
          <cell r="J257">
            <v>32000</v>
          </cell>
        </row>
        <row r="258">
          <cell r="C258" t="str">
            <v>Minyak Bekisting</v>
          </cell>
          <cell r="E258">
            <v>1.6</v>
          </cell>
          <cell r="F258" t="str">
            <v>Ltr</v>
          </cell>
          <cell r="H258">
            <v>13500</v>
          </cell>
          <cell r="I258">
            <v>0</v>
          </cell>
          <cell r="J258">
            <v>21600</v>
          </cell>
        </row>
        <row r="259">
          <cell r="C259" t="str">
            <v>Besi Beton Polos</v>
          </cell>
          <cell r="E259">
            <v>150</v>
          </cell>
          <cell r="F259" t="str">
            <v>Kg</v>
          </cell>
          <cell r="H259">
            <v>6500</v>
          </cell>
          <cell r="I259">
            <v>0</v>
          </cell>
          <cell r="J259">
            <v>975000</v>
          </cell>
        </row>
        <row r="260">
          <cell r="C260" t="str">
            <v>Kawat Beton</v>
          </cell>
          <cell r="E260">
            <v>2.25</v>
          </cell>
          <cell r="F260" t="str">
            <v>Kg</v>
          </cell>
          <cell r="H260">
            <v>9950</v>
          </cell>
          <cell r="I260">
            <v>0</v>
          </cell>
          <cell r="J260">
            <v>22387.5</v>
          </cell>
        </row>
        <row r="261">
          <cell r="C261" t="str">
            <v>Sement Portland</v>
          </cell>
          <cell r="E261">
            <v>323</v>
          </cell>
          <cell r="F261" t="str">
            <v>Kg</v>
          </cell>
          <cell r="H261">
            <v>1075</v>
          </cell>
          <cell r="I261">
            <v>0</v>
          </cell>
          <cell r="J261">
            <v>347225</v>
          </cell>
        </row>
        <row r="262">
          <cell r="C262" t="str">
            <v>Pasir Beton</v>
          </cell>
          <cell r="E262">
            <v>0.52</v>
          </cell>
          <cell r="F262" t="str">
            <v>M³</v>
          </cell>
          <cell r="H262">
            <v>100800</v>
          </cell>
          <cell r="I262">
            <v>0</v>
          </cell>
          <cell r="J262">
            <v>52416</v>
          </cell>
        </row>
        <row r="263">
          <cell r="C263" t="str">
            <v>Koral Beton</v>
          </cell>
          <cell r="E263">
            <v>0.78</v>
          </cell>
          <cell r="F263" t="str">
            <v>M³</v>
          </cell>
          <cell r="H263">
            <v>98000</v>
          </cell>
          <cell r="I263">
            <v>0</v>
          </cell>
          <cell r="J263">
            <v>76440</v>
          </cell>
        </row>
        <row r="264">
          <cell r="C264" t="str">
            <v>Balok Kayu Borneo</v>
          </cell>
          <cell r="E264">
            <v>0.12</v>
          </cell>
          <cell r="F264" t="str">
            <v>M³</v>
          </cell>
          <cell r="H264">
            <v>2691700</v>
          </cell>
          <cell r="I264">
            <v>0</v>
          </cell>
          <cell r="J264">
            <v>323004</v>
          </cell>
        </row>
        <row r="265">
          <cell r="C265" t="str">
            <v>Plywood tebal 9 mm</v>
          </cell>
          <cell r="E265">
            <v>2.8</v>
          </cell>
          <cell r="F265" t="str">
            <v>Lbr</v>
          </cell>
          <cell r="H265">
            <v>108000</v>
          </cell>
          <cell r="I265">
            <v>0</v>
          </cell>
          <cell r="J265">
            <v>302400</v>
          </cell>
        </row>
        <row r="266">
          <cell r="C266" t="str">
            <v>Dolken Kayu Galam Ø 8-10/4 m</v>
          </cell>
          <cell r="E266">
            <v>32</v>
          </cell>
          <cell r="F266" t="str">
            <v>Btg</v>
          </cell>
          <cell r="H266">
            <v>35000</v>
          </cell>
          <cell r="I266">
            <v>0</v>
          </cell>
          <cell r="J266">
            <v>1120000</v>
          </cell>
        </row>
        <row r="267">
          <cell r="G267" t="str">
            <v>Sub Jumlah</v>
          </cell>
          <cell r="I267">
            <v>585571</v>
          </cell>
          <cell r="J267">
            <v>4034200.5</v>
          </cell>
        </row>
        <row r="268">
          <cell r="I268" t="str">
            <v>Jumlah</v>
          </cell>
          <cell r="K268">
            <v>4619771.5</v>
          </cell>
        </row>
        <row r="269">
          <cell r="A269" t="str">
            <v>23.</v>
          </cell>
          <cell r="B269" t="str">
            <v>1    -    M³</v>
          </cell>
          <cell r="C269" t="str">
            <v>Membuat  Dinding Beton Bertulang (150 Kg + Bekisting)</v>
          </cell>
          <cell r="D269" t="str">
            <v>SNI 03-2830-6.43</v>
          </cell>
        </row>
        <row r="270">
          <cell r="C270" t="str">
            <v>Pekerja</v>
          </cell>
          <cell r="E270">
            <v>5.8</v>
          </cell>
          <cell r="F270" t="str">
            <v>Org</v>
          </cell>
          <cell r="G270">
            <v>45400</v>
          </cell>
          <cell r="I270">
            <v>263320</v>
          </cell>
          <cell r="J270">
            <v>0</v>
          </cell>
        </row>
        <row r="271">
          <cell r="C271" t="str">
            <v>Tukang Batu</v>
          </cell>
          <cell r="E271">
            <v>0.35</v>
          </cell>
          <cell r="F271" t="str">
            <v>Org</v>
          </cell>
          <cell r="G271">
            <v>65900</v>
          </cell>
          <cell r="I271">
            <v>23065</v>
          </cell>
          <cell r="J271">
            <v>0</v>
          </cell>
        </row>
        <row r="272">
          <cell r="C272" t="str">
            <v>Kepala Tukang</v>
          </cell>
          <cell r="E272">
            <v>0.42</v>
          </cell>
          <cell r="F272" t="str">
            <v>Org</v>
          </cell>
          <cell r="G272">
            <v>82100</v>
          </cell>
          <cell r="I272">
            <v>34482</v>
          </cell>
          <cell r="J272">
            <v>0</v>
          </cell>
        </row>
        <row r="273">
          <cell r="C273" t="str">
            <v>Mandor</v>
          </cell>
          <cell r="E273">
            <v>0.185</v>
          </cell>
          <cell r="F273" t="str">
            <v>Org</v>
          </cell>
          <cell r="G273">
            <v>59400</v>
          </cell>
          <cell r="I273">
            <v>10989</v>
          </cell>
          <cell r="J273">
            <v>0</v>
          </cell>
        </row>
        <row r="274">
          <cell r="C274" t="str">
            <v>Tukang Kayu</v>
          </cell>
          <cell r="E274">
            <v>2.8</v>
          </cell>
          <cell r="F274" t="str">
            <v>Org</v>
          </cell>
          <cell r="G274">
            <v>65900</v>
          </cell>
          <cell r="I274">
            <v>184520</v>
          </cell>
          <cell r="J274">
            <v>0</v>
          </cell>
        </row>
        <row r="275">
          <cell r="C275" t="str">
            <v>Tukang Besi</v>
          </cell>
          <cell r="E275">
            <v>1.05</v>
          </cell>
          <cell r="F275" t="str">
            <v>Org</v>
          </cell>
          <cell r="G275">
            <v>65900</v>
          </cell>
          <cell r="I275">
            <v>69195</v>
          </cell>
          <cell r="J275">
            <v>0</v>
          </cell>
        </row>
        <row r="276">
          <cell r="C276" t="str">
            <v>Kayu Terentang</v>
          </cell>
          <cell r="E276">
            <v>0.32</v>
          </cell>
          <cell r="F276" t="str">
            <v>M³</v>
          </cell>
          <cell r="H276">
            <v>2380400</v>
          </cell>
          <cell r="I276">
            <v>0</v>
          </cell>
          <cell r="J276">
            <v>761728</v>
          </cell>
        </row>
        <row r="277">
          <cell r="C277" t="str">
            <v>Paku biasa 2" - 5"</v>
          </cell>
          <cell r="E277">
            <v>3.2</v>
          </cell>
          <cell r="F277" t="str">
            <v>Kg</v>
          </cell>
          <cell r="H277">
            <v>10000</v>
          </cell>
          <cell r="I277">
            <v>0</v>
          </cell>
          <cell r="J277">
            <v>32000</v>
          </cell>
        </row>
        <row r="278">
          <cell r="C278" t="str">
            <v>Minyak Bekisting</v>
          </cell>
          <cell r="E278">
            <v>1.6</v>
          </cell>
          <cell r="F278" t="str">
            <v>Ltr</v>
          </cell>
          <cell r="H278">
            <v>13500</v>
          </cell>
          <cell r="I278">
            <v>0</v>
          </cell>
          <cell r="J278">
            <v>21600</v>
          </cell>
        </row>
        <row r="279">
          <cell r="C279" t="str">
            <v>Besi Beton Polos</v>
          </cell>
          <cell r="E279">
            <v>150</v>
          </cell>
          <cell r="F279" t="str">
            <v>Kg</v>
          </cell>
          <cell r="H279">
            <v>6500</v>
          </cell>
          <cell r="I279">
            <v>0</v>
          </cell>
          <cell r="J279">
            <v>975000</v>
          </cell>
        </row>
        <row r="280">
          <cell r="C280" t="str">
            <v>Kawat Beton</v>
          </cell>
          <cell r="E280">
            <v>2.25</v>
          </cell>
          <cell r="F280" t="str">
            <v>Kg</v>
          </cell>
          <cell r="H280">
            <v>9950</v>
          </cell>
          <cell r="I280">
            <v>0</v>
          </cell>
          <cell r="J280">
            <v>22387.5</v>
          </cell>
        </row>
        <row r="281">
          <cell r="C281" t="str">
            <v>Sement Portland</v>
          </cell>
          <cell r="E281">
            <v>323</v>
          </cell>
          <cell r="F281" t="str">
            <v>Kg</v>
          </cell>
          <cell r="H281">
            <v>1075</v>
          </cell>
          <cell r="I281">
            <v>0</v>
          </cell>
          <cell r="J281">
            <v>347225</v>
          </cell>
        </row>
        <row r="282">
          <cell r="C282" t="str">
            <v>Pasir Beton</v>
          </cell>
          <cell r="E282">
            <v>0.52</v>
          </cell>
          <cell r="F282" t="str">
            <v>M³</v>
          </cell>
          <cell r="H282">
            <v>100800</v>
          </cell>
          <cell r="I282">
            <v>0</v>
          </cell>
          <cell r="J282">
            <v>52416</v>
          </cell>
        </row>
        <row r="283">
          <cell r="C283" t="str">
            <v>Koral Beton</v>
          </cell>
          <cell r="E283">
            <v>0.78</v>
          </cell>
          <cell r="F283" t="str">
            <v>M³</v>
          </cell>
          <cell r="H283">
            <v>98000</v>
          </cell>
          <cell r="I283">
            <v>0</v>
          </cell>
          <cell r="J283">
            <v>76440</v>
          </cell>
        </row>
        <row r="284">
          <cell r="C284" t="str">
            <v>Balok Kayu Borneo</v>
          </cell>
          <cell r="E284">
            <v>0.12</v>
          </cell>
          <cell r="F284" t="str">
            <v>M³</v>
          </cell>
          <cell r="H284">
            <v>2691700</v>
          </cell>
          <cell r="I284">
            <v>0</v>
          </cell>
          <cell r="J284">
            <v>323004</v>
          </cell>
        </row>
        <row r="285">
          <cell r="C285" t="str">
            <v>Plywood tebal 9 mm</v>
          </cell>
          <cell r="E285">
            <v>2.8</v>
          </cell>
          <cell r="F285" t="str">
            <v>Lbr</v>
          </cell>
          <cell r="H285">
            <v>108000</v>
          </cell>
          <cell r="I285">
            <v>0</v>
          </cell>
          <cell r="J285">
            <v>302400</v>
          </cell>
        </row>
        <row r="286">
          <cell r="C286" t="str">
            <v>Dolken Kayu Galam Ø 8-10/4 m</v>
          </cell>
          <cell r="E286">
            <v>32</v>
          </cell>
          <cell r="F286" t="str">
            <v>Btg</v>
          </cell>
          <cell r="H286">
            <v>35000</v>
          </cell>
          <cell r="I286">
            <v>0</v>
          </cell>
          <cell r="J286">
            <v>1120000</v>
          </cell>
        </row>
        <row r="287">
          <cell r="G287" t="str">
            <v>Sub Jumlah</v>
          </cell>
          <cell r="I287">
            <v>585571</v>
          </cell>
          <cell r="J287">
            <v>4034200.5</v>
          </cell>
        </row>
        <row r="288">
          <cell r="I288" t="str">
            <v>Jumlah</v>
          </cell>
          <cell r="K288">
            <v>4619771.5</v>
          </cell>
        </row>
        <row r="289">
          <cell r="A289" t="str">
            <v>24.</v>
          </cell>
          <cell r="B289" t="str">
            <v>1    -    M²</v>
          </cell>
          <cell r="C289" t="str">
            <v>Plesteran 1 Pc : 2 Ps, tebal 15 mm</v>
          </cell>
          <cell r="D289" t="str">
            <v>SNI 03-2837-6.2</v>
          </cell>
        </row>
        <row r="290">
          <cell r="C290" t="str">
            <v>Pekerja</v>
          </cell>
          <cell r="E290">
            <v>0.2</v>
          </cell>
          <cell r="F290" t="str">
            <v>Org</v>
          </cell>
          <cell r="G290">
            <v>45400</v>
          </cell>
          <cell r="I290">
            <v>9080</v>
          </cell>
          <cell r="J290">
            <v>0</v>
          </cell>
        </row>
        <row r="291">
          <cell r="C291" t="str">
            <v>Tukang Batu</v>
          </cell>
          <cell r="E291">
            <v>0.15</v>
          </cell>
          <cell r="F291" t="str">
            <v>Org</v>
          </cell>
          <cell r="G291">
            <v>65900</v>
          </cell>
          <cell r="I291">
            <v>9885</v>
          </cell>
          <cell r="J291">
            <v>0</v>
          </cell>
        </row>
        <row r="292">
          <cell r="C292" t="str">
            <v>Kepala Tukang</v>
          </cell>
          <cell r="E292">
            <v>1.4999999999999999E-2</v>
          </cell>
          <cell r="F292" t="str">
            <v>Org</v>
          </cell>
          <cell r="G292">
            <v>82100</v>
          </cell>
          <cell r="I292">
            <v>1231.5</v>
          </cell>
          <cell r="J292">
            <v>0</v>
          </cell>
        </row>
        <row r="293">
          <cell r="C293" t="str">
            <v>Mandor</v>
          </cell>
          <cell r="E293">
            <v>0.01</v>
          </cell>
          <cell r="F293" t="str">
            <v>Org</v>
          </cell>
          <cell r="G293">
            <v>59400</v>
          </cell>
          <cell r="I293">
            <v>594</v>
          </cell>
          <cell r="J293">
            <v>0</v>
          </cell>
        </row>
        <row r="294">
          <cell r="C294" t="str">
            <v>Semen Portland</v>
          </cell>
          <cell r="E294">
            <v>8.52</v>
          </cell>
          <cell r="F294" t="str">
            <v>Kg</v>
          </cell>
          <cell r="H294">
            <v>1075</v>
          </cell>
          <cell r="I294">
            <v>0</v>
          </cell>
          <cell r="J294">
            <v>9159</v>
          </cell>
        </row>
        <row r="295">
          <cell r="C295" t="str">
            <v>Pasir Pasang</v>
          </cell>
          <cell r="E295">
            <v>1.7000000000000001E-2</v>
          </cell>
          <cell r="F295" t="str">
            <v>M³</v>
          </cell>
          <cell r="H295">
            <v>91500</v>
          </cell>
          <cell r="I295">
            <v>0</v>
          </cell>
          <cell r="J295">
            <v>1555.5</v>
          </cell>
        </row>
        <row r="296">
          <cell r="G296" t="str">
            <v>Sub Jumlah</v>
          </cell>
          <cell r="I296">
            <v>20790.5</v>
          </cell>
          <cell r="J296">
            <v>10714.5</v>
          </cell>
        </row>
        <row r="297">
          <cell r="I297" t="str">
            <v>Jumlah</v>
          </cell>
          <cell r="K297">
            <v>31505</v>
          </cell>
        </row>
        <row r="298">
          <cell r="A298" t="str">
            <v>25.</v>
          </cell>
          <cell r="B298" t="str">
            <v>1    -    M²</v>
          </cell>
          <cell r="C298" t="str">
            <v>Plesteran 1 Pc : 3 Ps, tebal 15 mm</v>
          </cell>
          <cell r="D298" t="str">
            <v>SNI 03-2837-6.3</v>
          </cell>
        </row>
        <row r="299">
          <cell r="C299" t="str">
            <v>Pekerja</v>
          </cell>
          <cell r="E299">
            <v>0.2</v>
          </cell>
          <cell r="F299" t="str">
            <v>Org</v>
          </cell>
          <cell r="G299">
            <v>45400</v>
          </cell>
          <cell r="I299">
            <v>9080</v>
          </cell>
          <cell r="J299">
            <v>0</v>
          </cell>
        </row>
        <row r="300">
          <cell r="C300" t="str">
            <v>Tukang Batu</v>
          </cell>
          <cell r="E300">
            <v>0.15</v>
          </cell>
          <cell r="F300" t="str">
            <v>Org</v>
          </cell>
          <cell r="G300">
            <v>65900</v>
          </cell>
          <cell r="I300">
            <v>9885</v>
          </cell>
          <cell r="J300">
            <v>0</v>
          </cell>
        </row>
        <row r="301">
          <cell r="C301" t="str">
            <v>Kepala Tukang</v>
          </cell>
          <cell r="E301">
            <v>1.4999999999999999E-2</v>
          </cell>
          <cell r="F301" t="str">
            <v>Org</v>
          </cell>
          <cell r="G301">
            <v>82100</v>
          </cell>
          <cell r="I301">
            <v>1231.5</v>
          </cell>
          <cell r="J301">
            <v>0</v>
          </cell>
        </row>
        <row r="302">
          <cell r="C302" t="str">
            <v>Mandor</v>
          </cell>
          <cell r="E302">
            <v>0.01</v>
          </cell>
          <cell r="F302" t="str">
            <v>Org</v>
          </cell>
          <cell r="G302">
            <v>59400</v>
          </cell>
          <cell r="I302">
            <v>594</v>
          </cell>
          <cell r="J302">
            <v>0</v>
          </cell>
        </row>
        <row r="303">
          <cell r="C303" t="str">
            <v>Semen Portland</v>
          </cell>
          <cell r="E303">
            <v>6.48</v>
          </cell>
          <cell r="F303" t="str">
            <v>Kg</v>
          </cell>
          <cell r="H303">
            <v>1075</v>
          </cell>
          <cell r="I303">
            <v>0</v>
          </cell>
          <cell r="J303">
            <v>6966.0000000000009</v>
          </cell>
        </row>
        <row r="304">
          <cell r="C304" t="str">
            <v>Pasir Pasang</v>
          </cell>
          <cell r="E304">
            <v>1.9E-2</v>
          </cell>
          <cell r="F304" t="str">
            <v>M³</v>
          </cell>
          <cell r="H304">
            <v>91500</v>
          </cell>
          <cell r="I304">
            <v>0</v>
          </cell>
          <cell r="J304">
            <v>1738.5</v>
          </cell>
        </row>
        <row r="305">
          <cell r="G305" t="str">
            <v>Sub Jumlah</v>
          </cell>
          <cell r="I305">
            <v>20790.5</v>
          </cell>
          <cell r="J305">
            <v>8704.5</v>
          </cell>
        </row>
        <row r="306">
          <cell r="I306" t="str">
            <v>Jumlah</v>
          </cell>
          <cell r="K306">
            <v>29495</v>
          </cell>
        </row>
        <row r="307">
          <cell r="A307" t="str">
            <v>26.</v>
          </cell>
          <cell r="B307" t="str">
            <v>1    -    M²</v>
          </cell>
          <cell r="C307" t="str">
            <v>Plesteran 1 Pc : 4 Ps, tebal 15 mm</v>
          </cell>
          <cell r="D307" t="str">
            <v>SNI 03-2837-6.4</v>
          </cell>
        </row>
        <row r="308">
          <cell r="C308" t="str">
            <v>Pekerja</v>
          </cell>
          <cell r="E308">
            <v>0.2</v>
          </cell>
          <cell r="F308" t="str">
            <v>Org</v>
          </cell>
          <cell r="G308">
            <v>45400</v>
          </cell>
          <cell r="I308">
            <v>9080</v>
          </cell>
          <cell r="J308">
            <v>0</v>
          </cell>
        </row>
        <row r="309">
          <cell r="C309" t="str">
            <v>Tukang Batu</v>
          </cell>
          <cell r="E309">
            <v>0.15</v>
          </cell>
          <cell r="F309" t="str">
            <v>Org</v>
          </cell>
          <cell r="G309">
            <v>65900</v>
          </cell>
          <cell r="I309">
            <v>9885</v>
          </cell>
          <cell r="J309">
            <v>0</v>
          </cell>
        </row>
        <row r="310">
          <cell r="C310" t="str">
            <v>Kepala Tukang</v>
          </cell>
          <cell r="E310">
            <v>1.4999999999999999E-2</v>
          </cell>
          <cell r="F310" t="str">
            <v>Org</v>
          </cell>
          <cell r="G310">
            <v>82100</v>
          </cell>
          <cell r="I310">
            <v>1231.5</v>
          </cell>
          <cell r="J310">
            <v>0</v>
          </cell>
        </row>
        <row r="311">
          <cell r="C311" t="str">
            <v>Mandor</v>
          </cell>
          <cell r="E311">
            <v>0.01</v>
          </cell>
          <cell r="F311" t="str">
            <v>Org</v>
          </cell>
          <cell r="G311">
            <v>59400</v>
          </cell>
          <cell r="I311">
            <v>594</v>
          </cell>
          <cell r="J311">
            <v>0</v>
          </cell>
        </row>
        <row r="312">
          <cell r="C312" t="str">
            <v>Semen Portland</v>
          </cell>
          <cell r="E312">
            <v>5.2</v>
          </cell>
          <cell r="F312" t="str">
            <v>Kg</v>
          </cell>
          <cell r="H312">
            <v>1075</v>
          </cell>
          <cell r="I312">
            <v>0</v>
          </cell>
          <cell r="J312">
            <v>5590</v>
          </cell>
        </row>
        <row r="313">
          <cell r="C313" t="str">
            <v>Pasir Pasang</v>
          </cell>
          <cell r="E313">
            <v>0.02</v>
          </cell>
          <cell r="F313" t="str">
            <v>M³</v>
          </cell>
          <cell r="H313">
            <v>91500</v>
          </cell>
          <cell r="I313">
            <v>0</v>
          </cell>
          <cell r="J313">
            <v>1830</v>
          </cell>
        </row>
        <row r="314">
          <cell r="G314" t="str">
            <v>Sub Jumlah</v>
          </cell>
          <cell r="I314">
            <v>20790.5</v>
          </cell>
          <cell r="J314">
            <v>7420</v>
          </cell>
        </row>
        <row r="315">
          <cell r="I315" t="str">
            <v>Jumlah</v>
          </cell>
          <cell r="K315">
            <v>28210.5</v>
          </cell>
        </row>
        <row r="316">
          <cell r="A316" t="str">
            <v>27.</v>
          </cell>
          <cell r="B316" t="str">
            <v>1    -    M²</v>
          </cell>
          <cell r="C316" t="str">
            <v>Plesteran 1 Pc : 5 Ps, tebal 15 mm</v>
          </cell>
          <cell r="D316" t="str">
            <v>SNI 03-2837-6.5</v>
          </cell>
        </row>
        <row r="317">
          <cell r="C317" t="str">
            <v>Pekerja</v>
          </cell>
          <cell r="E317">
            <v>0.2</v>
          </cell>
          <cell r="F317" t="str">
            <v>Org</v>
          </cell>
          <cell r="G317">
            <v>45400</v>
          </cell>
          <cell r="I317">
            <v>9080</v>
          </cell>
          <cell r="J317">
            <v>0</v>
          </cell>
        </row>
        <row r="318">
          <cell r="C318" t="str">
            <v>Tukang Batu</v>
          </cell>
          <cell r="E318">
            <v>0.15</v>
          </cell>
          <cell r="F318" t="str">
            <v>Org</v>
          </cell>
          <cell r="G318">
            <v>65900</v>
          </cell>
          <cell r="I318">
            <v>9885</v>
          </cell>
          <cell r="J318">
            <v>0</v>
          </cell>
        </row>
        <row r="319">
          <cell r="C319" t="str">
            <v>Kepala Tukang</v>
          </cell>
          <cell r="E319">
            <v>1.4999999999999999E-2</v>
          </cell>
          <cell r="F319" t="str">
            <v>Org</v>
          </cell>
          <cell r="G319">
            <v>82100</v>
          </cell>
          <cell r="I319">
            <v>1231.5</v>
          </cell>
          <cell r="J319">
            <v>0</v>
          </cell>
        </row>
        <row r="320">
          <cell r="C320" t="str">
            <v>Mandor</v>
          </cell>
          <cell r="E320">
            <v>0.01</v>
          </cell>
          <cell r="F320" t="str">
            <v>Org</v>
          </cell>
          <cell r="G320">
            <v>59400</v>
          </cell>
          <cell r="I320">
            <v>594</v>
          </cell>
          <cell r="J320">
            <v>0</v>
          </cell>
        </row>
        <row r="321">
          <cell r="C321" t="str">
            <v>Semen Portland</v>
          </cell>
          <cell r="E321">
            <v>4.32</v>
          </cell>
          <cell r="F321" t="str">
            <v>Kg</v>
          </cell>
          <cell r="H321">
            <v>1075</v>
          </cell>
          <cell r="I321">
            <v>0</v>
          </cell>
          <cell r="J321">
            <v>4644</v>
          </cell>
        </row>
        <row r="322">
          <cell r="C322" t="str">
            <v>Pasir Pasang</v>
          </cell>
          <cell r="E322">
            <v>2.1999999999999999E-2</v>
          </cell>
          <cell r="F322" t="str">
            <v>M³</v>
          </cell>
          <cell r="H322">
            <v>91500</v>
          </cell>
          <cell r="I322">
            <v>0</v>
          </cell>
          <cell r="J322">
            <v>2012.9999999999998</v>
          </cell>
        </row>
        <row r="323">
          <cell r="G323" t="str">
            <v>Sub Jumlah</v>
          </cell>
          <cell r="I323">
            <v>20790.5</v>
          </cell>
          <cell r="J323">
            <v>6657</v>
          </cell>
        </row>
        <row r="324">
          <cell r="I324" t="str">
            <v>Jumlah</v>
          </cell>
          <cell r="K324">
            <v>27447.5</v>
          </cell>
        </row>
        <row r="325">
          <cell r="A325" t="str">
            <v>28.</v>
          </cell>
          <cell r="B325" t="str">
            <v>1    -    M²</v>
          </cell>
          <cell r="C325" t="str">
            <v>Pengecatan Tembok Baru</v>
          </cell>
          <cell r="D325" t="str">
            <v>SNI 03-2834-6.14</v>
          </cell>
        </row>
        <row r="326">
          <cell r="C326" t="str">
            <v>Pekerja</v>
          </cell>
          <cell r="E326">
            <v>0.02</v>
          </cell>
          <cell r="F326" t="str">
            <v>Org</v>
          </cell>
          <cell r="G326">
            <v>45400</v>
          </cell>
          <cell r="I326">
            <v>908</v>
          </cell>
          <cell r="J326">
            <v>0</v>
          </cell>
        </row>
        <row r="327">
          <cell r="C327" t="str">
            <v>Tukang Batu</v>
          </cell>
          <cell r="E327">
            <v>6.3E-2</v>
          </cell>
          <cell r="F327" t="str">
            <v>Org</v>
          </cell>
          <cell r="G327">
            <v>65900</v>
          </cell>
          <cell r="I327">
            <v>4151.7</v>
          </cell>
          <cell r="J327">
            <v>0</v>
          </cell>
        </row>
        <row r="328">
          <cell r="C328" t="str">
            <v>Kepala Tukang</v>
          </cell>
          <cell r="E328">
            <v>6.3E-3</v>
          </cell>
          <cell r="F328" t="str">
            <v>Org</v>
          </cell>
          <cell r="G328">
            <v>82100</v>
          </cell>
          <cell r="I328">
            <v>517.23</v>
          </cell>
          <cell r="J328">
            <v>0</v>
          </cell>
        </row>
        <row r="329">
          <cell r="C329" t="str">
            <v>Mandor</v>
          </cell>
          <cell r="E329">
            <v>2.5000000000000001E-3</v>
          </cell>
          <cell r="F329" t="str">
            <v>Org</v>
          </cell>
          <cell r="G329">
            <v>59400</v>
          </cell>
          <cell r="I329">
            <v>148.5</v>
          </cell>
          <cell r="J329">
            <v>0</v>
          </cell>
        </row>
        <row r="330">
          <cell r="C330" t="str">
            <v>Plamir</v>
          </cell>
          <cell r="E330">
            <v>0.1</v>
          </cell>
          <cell r="F330" t="str">
            <v>Kg</v>
          </cell>
          <cell r="H330">
            <v>18850</v>
          </cell>
          <cell r="I330">
            <v>0</v>
          </cell>
          <cell r="J330">
            <v>1885</v>
          </cell>
        </row>
        <row r="331">
          <cell r="C331" t="str">
            <v>Cat Dasar</v>
          </cell>
          <cell r="E331">
            <v>0.1</v>
          </cell>
          <cell r="F331" t="str">
            <v>Kg</v>
          </cell>
          <cell r="H331">
            <v>23750</v>
          </cell>
          <cell r="I331">
            <v>0</v>
          </cell>
          <cell r="J331">
            <v>2375</v>
          </cell>
        </row>
        <row r="332">
          <cell r="C332" t="str">
            <v>Cat Penutup 2 x</v>
          </cell>
          <cell r="E332">
            <v>0.26</v>
          </cell>
          <cell r="F332" t="str">
            <v>Kg</v>
          </cell>
          <cell r="H332">
            <v>26500</v>
          </cell>
          <cell r="I332">
            <v>0</v>
          </cell>
          <cell r="J332">
            <v>6890</v>
          </cell>
        </row>
        <row r="333">
          <cell r="G333" t="str">
            <v>Sub Jumlah</v>
          </cell>
          <cell r="I333">
            <v>5725.43</v>
          </cell>
          <cell r="J333">
            <v>11150</v>
          </cell>
        </row>
        <row r="334">
          <cell r="I334" t="str">
            <v>Jumlah</v>
          </cell>
          <cell r="K334">
            <v>16875.43</v>
          </cell>
        </row>
        <row r="335">
          <cell r="A335" t="str">
            <v>29.</v>
          </cell>
          <cell r="B335" t="str">
            <v>1    -    M'</v>
          </cell>
          <cell r="C335" t="str">
            <v>Pemasangan Pipa PVC Ø ½"</v>
          </cell>
          <cell r="D335" t="str">
            <v>SNI03-2839-6.25</v>
          </cell>
        </row>
        <row r="336">
          <cell r="C336" t="str">
            <v>Pipa PVC</v>
          </cell>
          <cell r="E336">
            <v>1.2</v>
          </cell>
          <cell r="F336" t="str">
            <v>M'</v>
          </cell>
          <cell r="H336">
            <v>3500</v>
          </cell>
          <cell r="I336">
            <v>0</v>
          </cell>
          <cell r="J336">
            <v>4200</v>
          </cell>
        </row>
        <row r="337">
          <cell r="C337" t="str">
            <v>Perlengkapan 35 % x harga Pipa</v>
          </cell>
          <cell r="E337">
            <v>0.35</v>
          </cell>
          <cell r="F337" t="str">
            <v>Ls</v>
          </cell>
          <cell r="H337">
            <v>1225</v>
          </cell>
          <cell r="I337">
            <v>0</v>
          </cell>
          <cell r="J337">
            <v>428.75</v>
          </cell>
        </row>
        <row r="338">
          <cell r="C338" t="str">
            <v>Pekerja</v>
          </cell>
          <cell r="E338">
            <v>3.5999999999999997E-2</v>
          </cell>
          <cell r="F338" t="str">
            <v>Org</v>
          </cell>
          <cell r="G338">
            <v>45400</v>
          </cell>
          <cell r="I338">
            <v>1634.3999999999999</v>
          </cell>
          <cell r="J338">
            <v>0</v>
          </cell>
        </row>
        <row r="339">
          <cell r="C339" t="str">
            <v>Tukang batu</v>
          </cell>
          <cell r="E339">
            <v>0.06</v>
          </cell>
          <cell r="F339" t="str">
            <v>Org</v>
          </cell>
          <cell r="G339">
            <v>65900</v>
          </cell>
          <cell r="I339">
            <v>3954</v>
          </cell>
          <cell r="J339">
            <v>0</v>
          </cell>
        </row>
        <row r="340">
          <cell r="C340" t="str">
            <v>Kepala tukang</v>
          </cell>
          <cell r="E340">
            <v>6.0000000000000001E-3</v>
          </cell>
          <cell r="F340" t="str">
            <v>Org</v>
          </cell>
          <cell r="G340">
            <v>82100</v>
          </cell>
          <cell r="I340">
            <v>492.6</v>
          </cell>
          <cell r="J340">
            <v>0</v>
          </cell>
        </row>
        <row r="341">
          <cell r="C341" t="str">
            <v>Mandor</v>
          </cell>
          <cell r="E341">
            <v>1.8E-3</v>
          </cell>
          <cell r="F341" t="str">
            <v>Org</v>
          </cell>
          <cell r="G341">
            <v>59400</v>
          </cell>
          <cell r="I341">
            <v>106.92</v>
          </cell>
          <cell r="J341">
            <v>0</v>
          </cell>
        </row>
        <row r="342">
          <cell r="G342" t="str">
            <v>Sub Jumlah</v>
          </cell>
          <cell r="I342">
            <v>6187.92</v>
          </cell>
          <cell r="J342">
            <v>4628.75</v>
          </cell>
        </row>
        <row r="343">
          <cell r="I343" t="str">
            <v>Jumlah</v>
          </cell>
          <cell r="K343">
            <v>10816.67</v>
          </cell>
        </row>
        <row r="344">
          <cell r="A344" t="str">
            <v>30.</v>
          </cell>
          <cell r="B344" t="str">
            <v>1    -    M'</v>
          </cell>
          <cell r="C344" t="str">
            <v>Pemasangan Pipa PVC Ø ¾"</v>
          </cell>
          <cell r="D344" t="str">
            <v>SNI03-2839-6.26</v>
          </cell>
        </row>
        <row r="345">
          <cell r="C345" t="str">
            <v>Pipa PVC</v>
          </cell>
          <cell r="E345">
            <v>1.2</v>
          </cell>
          <cell r="F345" t="str">
            <v>M</v>
          </cell>
          <cell r="H345">
            <v>6900</v>
          </cell>
          <cell r="I345">
            <v>0</v>
          </cell>
          <cell r="J345">
            <v>8280</v>
          </cell>
        </row>
        <row r="346">
          <cell r="C346" t="str">
            <v>Perlengkapan 35 % x harga Pipa</v>
          </cell>
          <cell r="E346">
            <v>0.35</v>
          </cell>
          <cell r="F346" t="str">
            <v>Ls</v>
          </cell>
          <cell r="H346">
            <v>2415</v>
          </cell>
          <cell r="I346">
            <v>0</v>
          </cell>
          <cell r="J346">
            <v>845.25</v>
          </cell>
        </row>
        <row r="347">
          <cell r="C347" t="str">
            <v>Pekerja</v>
          </cell>
          <cell r="E347">
            <v>3.5999999999999997E-2</v>
          </cell>
          <cell r="F347" t="str">
            <v>Org</v>
          </cell>
          <cell r="G347">
            <v>45400</v>
          </cell>
          <cell r="I347">
            <v>1634.3999999999999</v>
          </cell>
          <cell r="J347">
            <v>0</v>
          </cell>
        </row>
        <row r="348">
          <cell r="C348" t="str">
            <v>Tukang batu</v>
          </cell>
          <cell r="E348">
            <v>0.06</v>
          </cell>
          <cell r="F348" t="str">
            <v>Org</v>
          </cell>
          <cell r="G348">
            <v>65900</v>
          </cell>
          <cell r="I348">
            <v>3954</v>
          </cell>
          <cell r="J348">
            <v>0</v>
          </cell>
        </row>
        <row r="349">
          <cell r="C349" t="str">
            <v>Kepala tukang</v>
          </cell>
          <cell r="E349">
            <v>6.0000000000000001E-3</v>
          </cell>
          <cell r="F349" t="str">
            <v>Org</v>
          </cell>
          <cell r="G349">
            <v>82100</v>
          </cell>
          <cell r="I349">
            <v>492.6</v>
          </cell>
          <cell r="J349">
            <v>0</v>
          </cell>
        </row>
        <row r="350">
          <cell r="C350" t="str">
            <v>Mandor</v>
          </cell>
          <cell r="E350">
            <v>1.8E-3</v>
          </cell>
          <cell r="F350" t="str">
            <v>Org</v>
          </cell>
          <cell r="G350">
            <v>59400</v>
          </cell>
          <cell r="I350">
            <v>106.92</v>
          </cell>
          <cell r="J350">
            <v>0</v>
          </cell>
        </row>
        <row r="351">
          <cell r="G351" t="str">
            <v>Sub Jumlah</v>
          </cell>
          <cell r="I351">
            <v>6187.92</v>
          </cell>
          <cell r="J351">
            <v>9125.25</v>
          </cell>
        </row>
        <row r="352">
          <cell r="I352" t="str">
            <v>Jumlah</v>
          </cell>
          <cell r="K352">
            <v>15313.17</v>
          </cell>
        </row>
        <row r="353">
          <cell r="A353" t="str">
            <v>31.</v>
          </cell>
          <cell r="B353" t="str">
            <v>1    -    M'</v>
          </cell>
          <cell r="C353" t="str">
            <v>Pemasangan Pipa PVC Ø 1"</v>
          </cell>
          <cell r="D353" t="str">
            <v>SNI03-2839-6.27</v>
          </cell>
        </row>
        <row r="354">
          <cell r="C354" t="str">
            <v>Pipa PVC</v>
          </cell>
          <cell r="E354">
            <v>1.2</v>
          </cell>
          <cell r="F354" t="str">
            <v>M</v>
          </cell>
          <cell r="H354">
            <v>4700</v>
          </cell>
          <cell r="I354">
            <v>0</v>
          </cell>
          <cell r="J354">
            <v>5640</v>
          </cell>
        </row>
        <row r="355">
          <cell r="C355" t="str">
            <v>Perlengkapan 35 % x harga Pipa</v>
          </cell>
          <cell r="E355">
            <v>0.35</v>
          </cell>
          <cell r="F355" t="str">
            <v>Ls</v>
          </cell>
          <cell r="H355">
            <v>1645</v>
          </cell>
          <cell r="I355">
            <v>0</v>
          </cell>
          <cell r="J355">
            <v>575.75</v>
          </cell>
        </row>
        <row r="356">
          <cell r="C356" t="str">
            <v>Pekerja</v>
          </cell>
          <cell r="E356">
            <v>3.5999999999999997E-2</v>
          </cell>
          <cell r="F356" t="str">
            <v>Org</v>
          </cell>
          <cell r="G356">
            <v>45400</v>
          </cell>
          <cell r="I356">
            <v>1634.3999999999999</v>
          </cell>
          <cell r="J356">
            <v>0</v>
          </cell>
        </row>
        <row r="357">
          <cell r="C357" t="str">
            <v>Tukang batu</v>
          </cell>
          <cell r="E357">
            <v>0.06</v>
          </cell>
          <cell r="F357" t="str">
            <v>Org</v>
          </cell>
          <cell r="G357">
            <v>65900</v>
          </cell>
          <cell r="I357">
            <v>3954</v>
          </cell>
          <cell r="J357">
            <v>0</v>
          </cell>
        </row>
        <row r="358">
          <cell r="C358" t="str">
            <v>Kepala tukang</v>
          </cell>
          <cell r="E358">
            <v>6.0000000000000001E-3</v>
          </cell>
          <cell r="F358" t="str">
            <v>Org</v>
          </cell>
          <cell r="G358">
            <v>82100</v>
          </cell>
          <cell r="I358">
            <v>492.6</v>
          </cell>
          <cell r="J358">
            <v>0</v>
          </cell>
        </row>
        <row r="359">
          <cell r="C359" t="str">
            <v>Mandor</v>
          </cell>
          <cell r="E359">
            <v>1.8E-3</v>
          </cell>
          <cell r="F359" t="str">
            <v>Org</v>
          </cell>
          <cell r="G359">
            <v>59400</v>
          </cell>
          <cell r="I359">
            <v>106.92</v>
          </cell>
          <cell r="J359">
            <v>0</v>
          </cell>
        </row>
        <row r="360">
          <cell r="G360" t="str">
            <v>Sub Jumlah</v>
          </cell>
          <cell r="I360">
            <v>6187.92</v>
          </cell>
          <cell r="J360">
            <v>6215.75</v>
          </cell>
        </row>
        <row r="361">
          <cell r="I361" t="str">
            <v>Jumlah</v>
          </cell>
          <cell r="K361">
            <v>12403.67</v>
          </cell>
        </row>
        <row r="362">
          <cell r="A362" t="str">
            <v>32.</v>
          </cell>
          <cell r="B362" t="str">
            <v>1    -    M'</v>
          </cell>
          <cell r="C362" t="str">
            <v>Pemasangan Pipa PVC Ø  1½"</v>
          </cell>
          <cell r="D362" t="str">
            <v>SNI03-2839-6.28</v>
          </cell>
        </row>
        <row r="363">
          <cell r="C363" t="str">
            <v>Pipa PVC</v>
          </cell>
          <cell r="E363">
            <v>1.2</v>
          </cell>
          <cell r="F363" t="str">
            <v>M</v>
          </cell>
          <cell r="H363">
            <v>6516.666666666667</v>
          </cell>
          <cell r="I363">
            <v>0</v>
          </cell>
          <cell r="J363">
            <v>7820</v>
          </cell>
        </row>
        <row r="364">
          <cell r="C364" t="str">
            <v>Perlengkapan 35 % x harga Pipa</v>
          </cell>
          <cell r="E364">
            <v>0.35</v>
          </cell>
          <cell r="F364" t="str">
            <v>Ls</v>
          </cell>
          <cell r="H364">
            <v>2280.8333333333335</v>
          </cell>
          <cell r="I364">
            <v>0</v>
          </cell>
          <cell r="J364">
            <v>798.29166666666663</v>
          </cell>
        </row>
        <row r="365">
          <cell r="C365" t="str">
            <v>Pekerja</v>
          </cell>
          <cell r="E365">
            <v>3.5999999999999997E-2</v>
          </cell>
          <cell r="F365" t="str">
            <v>Org</v>
          </cell>
          <cell r="G365">
            <v>45400</v>
          </cell>
          <cell r="I365">
            <v>1634.3999999999999</v>
          </cell>
          <cell r="J365">
            <v>0</v>
          </cell>
        </row>
        <row r="366">
          <cell r="C366" t="str">
            <v>Tukang batu</v>
          </cell>
          <cell r="E366">
            <v>0.06</v>
          </cell>
          <cell r="F366" t="str">
            <v>Org</v>
          </cell>
          <cell r="G366">
            <v>65900</v>
          </cell>
          <cell r="I366">
            <v>3954</v>
          </cell>
          <cell r="J366">
            <v>0</v>
          </cell>
        </row>
        <row r="367">
          <cell r="C367" t="str">
            <v>Kepala tukang</v>
          </cell>
          <cell r="E367">
            <v>6.0000000000000001E-3</v>
          </cell>
          <cell r="F367" t="str">
            <v>Org</v>
          </cell>
          <cell r="G367">
            <v>82100</v>
          </cell>
          <cell r="I367">
            <v>492.6</v>
          </cell>
          <cell r="J367">
            <v>0</v>
          </cell>
        </row>
        <row r="368">
          <cell r="C368" t="str">
            <v>Mandor</v>
          </cell>
          <cell r="E368">
            <v>1.8E-3</v>
          </cell>
          <cell r="F368" t="str">
            <v>Org</v>
          </cell>
          <cell r="G368">
            <v>59400</v>
          </cell>
          <cell r="I368">
            <v>106.92</v>
          </cell>
          <cell r="J368">
            <v>0</v>
          </cell>
        </row>
        <row r="369">
          <cell r="G369" t="str">
            <v>Sub Jumlah</v>
          </cell>
          <cell r="I369">
            <v>6187.92</v>
          </cell>
          <cell r="J369">
            <v>8618.2916666666661</v>
          </cell>
        </row>
        <row r="370">
          <cell r="I370" t="str">
            <v>Jumlah</v>
          </cell>
          <cell r="K370">
            <v>14806.211666666666</v>
          </cell>
        </row>
        <row r="371">
          <cell r="A371" t="str">
            <v>33.</v>
          </cell>
          <cell r="B371" t="str">
            <v>1    -    M'</v>
          </cell>
          <cell r="C371" t="str">
            <v>Pemasangan Pipa PVC Ø  2"</v>
          </cell>
          <cell r="D371" t="str">
            <v>SNI03-2839-6.29</v>
          </cell>
        </row>
        <row r="372">
          <cell r="C372" t="str">
            <v>Pipa PVC</v>
          </cell>
          <cell r="E372">
            <v>1.2</v>
          </cell>
          <cell r="F372" t="str">
            <v>M</v>
          </cell>
          <cell r="H372">
            <v>12905.3</v>
          </cell>
          <cell r="I372">
            <v>0</v>
          </cell>
          <cell r="J372">
            <v>15486.359999999999</v>
          </cell>
        </row>
        <row r="373">
          <cell r="C373" t="str">
            <v>Perlengkapan 35 % x harga Pipa</v>
          </cell>
          <cell r="E373">
            <v>0.35</v>
          </cell>
          <cell r="F373" t="str">
            <v>Ls</v>
          </cell>
          <cell r="H373">
            <v>4516.8549999999996</v>
          </cell>
          <cell r="I373">
            <v>0</v>
          </cell>
          <cell r="J373">
            <v>1580.8992499999997</v>
          </cell>
        </row>
        <row r="374">
          <cell r="C374" t="str">
            <v>Pekerja</v>
          </cell>
          <cell r="E374">
            <v>5.3999999999999999E-2</v>
          </cell>
          <cell r="F374" t="str">
            <v>Org</v>
          </cell>
          <cell r="G374">
            <v>45400</v>
          </cell>
          <cell r="I374">
            <v>2451.6</v>
          </cell>
          <cell r="J374">
            <v>0</v>
          </cell>
        </row>
        <row r="375">
          <cell r="C375" t="str">
            <v>Tukang batu</v>
          </cell>
          <cell r="E375">
            <v>0.09</v>
          </cell>
          <cell r="F375" t="str">
            <v>Org</v>
          </cell>
          <cell r="G375">
            <v>65900</v>
          </cell>
          <cell r="I375">
            <v>5931</v>
          </cell>
          <cell r="J375">
            <v>0</v>
          </cell>
        </row>
        <row r="376">
          <cell r="C376" t="str">
            <v>Kepala tukang</v>
          </cell>
          <cell r="E376">
            <v>8.9999999999999993E-3</v>
          </cell>
          <cell r="F376" t="str">
            <v>Org</v>
          </cell>
          <cell r="G376">
            <v>82100</v>
          </cell>
          <cell r="I376">
            <v>738.9</v>
          </cell>
          <cell r="J376">
            <v>0</v>
          </cell>
        </row>
        <row r="377">
          <cell r="C377" t="str">
            <v>Mandor</v>
          </cell>
          <cell r="E377">
            <v>2.7000000000000001E-3</v>
          </cell>
          <cell r="F377" t="str">
            <v>Org</v>
          </cell>
          <cell r="G377">
            <v>59400</v>
          </cell>
          <cell r="I377">
            <v>160.38</v>
          </cell>
          <cell r="J377">
            <v>0</v>
          </cell>
        </row>
        <row r="378">
          <cell r="G378" t="str">
            <v>Sub Jumlah</v>
          </cell>
          <cell r="I378">
            <v>9281.8799999999992</v>
          </cell>
          <cell r="J378">
            <v>17067.259249999999</v>
          </cell>
        </row>
        <row r="379">
          <cell r="I379" t="str">
            <v>Jumlah</v>
          </cell>
          <cell r="K379">
            <v>26349.13925</v>
          </cell>
        </row>
        <row r="380">
          <cell r="A380" t="str">
            <v>34.</v>
          </cell>
          <cell r="B380" t="str">
            <v>1    -    M'</v>
          </cell>
          <cell r="C380" t="str">
            <v>Pemasangan Pipa PVC Ø  2½"</v>
          </cell>
          <cell r="D380" t="str">
            <v>SNI03-2839-6.30</v>
          </cell>
        </row>
        <row r="381">
          <cell r="C381" t="str">
            <v>Pipa PVC</v>
          </cell>
          <cell r="E381">
            <v>1.2</v>
          </cell>
          <cell r="F381" t="str">
            <v>M</v>
          </cell>
          <cell r="H381">
            <v>18619</v>
          </cell>
          <cell r="I381">
            <v>0</v>
          </cell>
          <cell r="J381">
            <v>22342.799999999999</v>
          </cell>
        </row>
        <row r="382">
          <cell r="C382" t="str">
            <v>Perlengkapan 35 % x harga Pipa</v>
          </cell>
          <cell r="E382">
            <v>0.35</v>
          </cell>
          <cell r="F382" t="str">
            <v>Ls</v>
          </cell>
          <cell r="H382">
            <v>6516.65</v>
          </cell>
          <cell r="I382">
            <v>0</v>
          </cell>
          <cell r="J382">
            <v>2280.8274999999999</v>
          </cell>
        </row>
        <row r="383">
          <cell r="C383" t="str">
            <v>Pekerja</v>
          </cell>
          <cell r="E383">
            <v>5.3999999999999999E-2</v>
          </cell>
          <cell r="F383" t="str">
            <v>Org</v>
          </cell>
          <cell r="G383">
            <v>45400</v>
          </cell>
          <cell r="I383">
            <v>2451.6</v>
          </cell>
          <cell r="J383">
            <v>0</v>
          </cell>
        </row>
        <row r="384">
          <cell r="C384" t="str">
            <v>Tukang batu</v>
          </cell>
          <cell r="E384">
            <v>0.09</v>
          </cell>
          <cell r="F384" t="str">
            <v>Org</v>
          </cell>
          <cell r="G384">
            <v>65900</v>
          </cell>
          <cell r="I384">
            <v>5931</v>
          </cell>
          <cell r="J384">
            <v>0</v>
          </cell>
        </row>
        <row r="385">
          <cell r="C385" t="str">
            <v>Kepala tukang</v>
          </cell>
          <cell r="E385">
            <v>8.9999999999999993E-3</v>
          </cell>
          <cell r="F385" t="str">
            <v>Org</v>
          </cell>
          <cell r="G385">
            <v>82100</v>
          </cell>
          <cell r="I385">
            <v>738.9</v>
          </cell>
          <cell r="J385">
            <v>0</v>
          </cell>
        </row>
        <row r="386">
          <cell r="C386" t="str">
            <v>Mandor</v>
          </cell>
          <cell r="E386">
            <v>2.7000000000000001E-3</v>
          </cell>
          <cell r="F386" t="str">
            <v>Org</v>
          </cell>
          <cell r="G386">
            <v>59400</v>
          </cell>
          <cell r="I386">
            <v>160.38</v>
          </cell>
          <cell r="J386">
            <v>0</v>
          </cell>
        </row>
        <row r="387">
          <cell r="G387" t="str">
            <v>Sub Jumlah</v>
          </cell>
          <cell r="I387">
            <v>9281.8799999999992</v>
          </cell>
          <cell r="J387">
            <v>24623.627499999999</v>
          </cell>
        </row>
        <row r="388">
          <cell r="I388" t="str">
            <v>Jumlah</v>
          </cell>
          <cell r="K388">
            <v>33905.5075</v>
          </cell>
        </row>
        <row r="389">
          <cell r="A389" t="str">
            <v>35.</v>
          </cell>
          <cell r="B389" t="str">
            <v>1    -    M'</v>
          </cell>
          <cell r="C389" t="str">
            <v>Pemasangan Pipa PVC Ø  3"</v>
          </cell>
          <cell r="D389" t="str">
            <v>SNI03-2839-6.31</v>
          </cell>
        </row>
        <row r="390">
          <cell r="C390" t="str">
            <v>Pipa PVC</v>
          </cell>
          <cell r="E390">
            <v>1.2</v>
          </cell>
          <cell r="F390" t="str">
            <v>M</v>
          </cell>
          <cell r="H390">
            <v>25658.6</v>
          </cell>
          <cell r="I390">
            <v>0</v>
          </cell>
          <cell r="J390">
            <v>30790.319999999996</v>
          </cell>
        </row>
        <row r="391">
          <cell r="C391" t="str">
            <v>Perlengkapan 35 % x harga Pipa</v>
          </cell>
          <cell r="E391">
            <v>0.35</v>
          </cell>
          <cell r="F391" t="str">
            <v>Ls</v>
          </cell>
          <cell r="H391">
            <v>8980.5099999999984</v>
          </cell>
          <cell r="I391">
            <v>0</v>
          </cell>
          <cell r="J391">
            <v>3143.1784999999991</v>
          </cell>
        </row>
        <row r="392">
          <cell r="C392" t="str">
            <v>Pekerja</v>
          </cell>
          <cell r="E392">
            <v>8.1000000000000003E-2</v>
          </cell>
          <cell r="F392" t="str">
            <v>Org</v>
          </cell>
          <cell r="G392">
            <v>45400</v>
          </cell>
          <cell r="I392">
            <v>3677.4</v>
          </cell>
          <cell r="J392">
            <v>0</v>
          </cell>
        </row>
        <row r="393">
          <cell r="C393" t="str">
            <v>Tukang batu</v>
          </cell>
          <cell r="E393">
            <v>0.13500000000000001</v>
          </cell>
          <cell r="F393" t="str">
            <v>Org</v>
          </cell>
          <cell r="G393">
            <v>65900</v>
          </cell>
          <cell r="I393">
            <v>8896.5</v>
          </cell>
          <cell r="J393">
            <v>0</v>
          </cell>
        </row>
        <row r="394">
          <cell r="C394" t="str">
            <v>Kepala tukang</v>
          </cell>
          <cell r="E394">
            <v>1.35E-2</v>
          </cell>
          <cell r="F394" t="str">
            <v>Org</v>
          </cell>
          <cell r="G394">
            <v>82100</v>
          </cell>
          <cell r="I394">
            <v>1108.3499999999999</v>
          </cell>
          <cell r="J394">
            <v>0</v>
          </cell>
        </row>
        <row r="395">
          <cell r="C395" t="str">
            <v>Mandor</v>
          </cell>
          <cell r="E395">
            <v>4.1000000000000003E-3</v>
          </cell>
          <cell r="F395" t="str">
            <v>Org</v>
          </cell>
          <cell r="G395">
            <v>59400</v>
          </cell>
          <cell r="I395">
            <v>243.54000000000002</v>
          </cell>
          <cell r="J395">
            <v>0</v>
          </cell>
        </row>
        <row r="396">
          <cell r="G396" t="str">
            <v>Sub Jumlah</v>
          </cell>
          <cell r="I396">
            <v>13925.79</v>
          </cell>
          <cell r="J396">
            <v>33933.498499999994</v>
          </cell>
        </row>
        <row r="397">
          <cell r="I397" t="str">
            <v>Jumlah</v>
          </cell>
          <cell r="K397">
            <v>47859.288499999995</v>
          </cell>
        </row>
        <row r="399">
          <cell r="A399" t="str">
            <v>36.</v>
          </cell>
          <cell r="B399" t="str">
            <v>1    -    M'</v>
          </cell>
          <cell r="C399" t="str">
            <v>Pemasangan Pipa PVC Ø  4"</v>
          </cell>
          <cell r="D399" t="str">
            <v>SNI03-2839-6.32</v>
          </cell>
        </row>
        <row r="400">
          <cell r="C400" t="str">
            <v>Pipa PVC</v>
          </cell>
          <cell r="E400">
            <v>1.2</v>
          </cell>
          <cell r="F400" t="str">
            <v>M</v>
          </cell>
          <cell r="H400">
            <v>38964</v>
          </cell>
          <cell r="I400">
            <v>0</v>
          </cell>
          <cell r="J400">
            <v>46756.799999999996</v>
          </cell>
        </row>
        <row r="401">
          <cell r="C401" t="str">
            <v>Perlengkapan 35 % x harga Pipa</v>
          </cell>
          <cell r="E401">
            <v>0.35</v>
          </cell>
          <cell r="F401" t="str">
            <v>Ls</v>
          </cell>
          <cell r="H401">
            <v>13637.4</v>
          </cell>
          <cell r="I401">
            <v>0</v>
          </cell>
          <cell r="J401">
            <v>4773.0899999999992</v>
          </cell>
        </row>
        <row r="402">
          <cell r="C402" t="str">
            <v>Pekerja</v>
          </cell>
          <cell r="E402">
            <v>8.1000000000000003E-2</v>
          </cell>
          <cell r="F402" t="str">
            <v>Org</v>
          </cell>
          <cell r="G402">
            <v>45400</v>
          </cell>
          <cell r="I402">
            <v>3677.4</v>
          </cell>
          <cell r="J402">
            <v>0</v>
          </cell>
        </row>
        <row r="403">
          <cell r="C403" t="str">
            <v>Tukang batu</v>
          </cell>
          <cell r="E403">
            <v>0.13500000000000001</v>
          </cell>
          <cell r="F403" t="str">
            <v>Org</v>
          </cell>
          <cell r="G403">
            <v>65900</v>
          </cell>
          <cell r="I403">
            <v>8896.5</v>
          </cell>
          <cell r="J403">
            <v>0</v>
          </cell>
        </row>
        <row r="404">
          <cell r="C404" t="str">
            <v>Kepala tukang</v>
          </cell>
          <cell r="E404">
            <v>1.35E-2</v>
          </cell>
          <cell r="F404" t="str">
            <v>Org</v>
          </cell>
          <cell r="G404">
            <v>82100</v>
          </cell>
          <cell r="I404">
            <v>1108.3499999999999</v>
          </cell>
          <cell r="J404">
            <v>0</v>
          </cell>
        </row>
        <row r="405">
          <cell r="C405" t="str">
            <v>Mandor</v>
          </cell>
          <cell r="E405">
            <v>4.1000000000000003E-3</v>
          </cell>
          <cell r="F405" t="str">
            <v>Org</v>
          </cell>
          <cell r="G405">
            <v>59400</v>
          </cell>
          <cell r="I405">
            <v>243.54000000000002</v>
          </cell>
          <cell r="J405">
            <v>0</v>
          </cell>
        </row>
        <row r="406">
          <cell r="G406" t="str">
            <v>Sub Jumlah</v>
          </cell>
          <cell r="I406">
            <v>13925.79</v>
          </cell>
          <cell r="J406">
            <v>51529.889999999992</v>
          </cell>
        </row>
        <row r="407">
          <cell r="I407" t="str">
            <v>Jumlah</v>
          </cell>
          <cell r="K407">
            <v>65455.679999999993</v>
          </cell>
        </row>
        <row r="408">
          <cell r="A408" t="str">
            <v>37.</v>
          </cell>
          <cell r="B408" t="str">
            <v>1    -    M'</v>
          </cell>
          <cell r="C408" t="str">
            <v>Pemasangan Pipa PVC Ø 6"</v>
          </cell>
          <cell r="D408" t="str">
            <v>SNI03-2839-6.32a</v>
          </cell>
        </row>
        <row r="409">
          <cell r="C409" t="str">
            <v>Pipa PVC</v>
          </cell>
          <cell r="E409">
            <v>1.2</v>
          </cell>
          <cell r="F409" t="str">
            <v>M</v>
          </cell>
          <cell r="H409">
            <v>82895</v>
          </cell>
          <cell r="I409">
            <v>0</v>
          </cell>
          <cell r="J409">
            <v>99474</v>
          </cell>
        </row>
        <row r="410">
          <cell r="C410" t="str">
            <v>Perlengkapan 35 % x harga Pipa</v>
          </cell>
          <cell r="E410">
            <v>0.35</v>
          </cell>
          <cell r="F410" t="str">
            <v>Ls</v>
          </cell>
          <cell r="H410">
            <v>29013.249999999996</v>
          </cell>
          <cell r="I410">
            <v>0</v>
          </cell>
          <cell r="J410">
            <v>10154.637499999999</v>
          </cell>
        </row>
        <row r="411">
          <cell r="C411" t="str">
            <v>Pekerja</v>
          </cell>
          <cell r="E411">
            <v>8.1000000000000003E-2</v>
          </cell>
          <cell r="F411" t="str">
            <v>Org</v>
          </cell>
          <cell r="G411">
            <v>45400</v>
          </cell>
          <cell r="I411">
            <v>3677.4</v>
          </cell>
          <cell r="J411">
            <v>0</v>
          </cell>
        </row>
        <row r="412">
          <cell r="C412" t="str">
            <v>Tukang batu</v>
          </cell>
          <cell r="E412">
            <v>0.13500000000000001</v>
          </cell>
          <cell r="F412" t="str">
            <v>Org</v>
          </cell>
          <cell r="G412">
            <v>65900</v>
          </cell>
          <cell r="I412">
            <v>8896.5</v>
          </cell>
          <cell r="J412">
            <v>0</v>
          </cell>
        </row>
        <row r="413">
          <cell r="C413" t="str">
            <v>Kepala tukang</v>
          </cell>
          <cell r="E413">
            <v>1.35E-2</v>
          </cell>
          <cell r="F413" t="str">
            <v>Org</v>
          </cell>
          <cell r="G413">
            <v>82100</v>
          </cell>
          <cell r="I413">
            <v>1108.3499999999999</v>
          </cell>
          <cell r="J413">
            <v>0</v>
          </cell>
        </row>
        <row r="414">
          <cell r="C414" t="str">
            <v>Mandor</v>
          </cell>
          <cell r="E414">
            <v>4.1000000000000003E-3</v>
          </cell>
          <cell r="F414" t="str">
            <v>Org</v>
          </cell>
          <cell r="G414">
            <v>59400</v>
          </cell>
          <cell r="I414">
            <v>243.54000000000002</v>
          </cell>
          <cell r="J414">
            <v>0</v>
          </cell>
        </row>
        <row r="415">
          <cell r="G415" t="str">
            <v>Sub Jumlah</v>
          </cell>
          <cell r="I415">
            <v>13925.79</v>
          </cell>
          <cell r="J415">
            <v>109628.6375</v>
          </cell>
        </row>
        <row r="416">
          <cell r="I416" t="str">
            <v>Jumlah</v>
          </cell>
          <cell r="K416">
            <v>123554.42749999999</v>
          </cell>
        </row>
        <row r="417">
          <cell r="A417" t="str">
            <v>38.</v>
          </cell>
          <cell r="B417" t="str">
            <v>1    -    M'</v>
          </cell>
          <cell r="C417" t="str">
            <v>Pemasangan Pipa PVC Ø  8"</v>
          </cell>
          <cell r="D417" t="str">
            <v>SNI03-2839-6.32b</v>
          </cell>
        </row>
        <row r="418">
          <cell r="C418" t="str">
            <v>Pipa PVC</v>
          </cell>
          <cell r="E418">
            <v>1.2</v>
          </cell>
          <cell r="F418" t="str">
            <v>M</v>
          </cell>
          <cell r="H418">
            <v>137088</v>
          </cell>
          <cell r="I418">
            <v>0</v>
          </cell>
          <cell r="J418">
            <v>164505.60000000001</v>
          </cell>
        </row>
        <row r="419">
          <cell r="C419" t="str">
            <v>Perlengkapan 35 % x harga Pipa</v>
          </cell>
          <cell r="E419">
            <v>0.35</v>
          </cell>
          <cell r="F419" t="str">
            <v>Ls</v>
          </cell>
          <cell r="H419">
            <v>47980.799999999996</v>
          </cell>
          <cell r="I419">
            <v>0</v>
          </cell>
          <cell r="J419">
            <v>16793.28</v>
          </cell>
        </row>
        <row r="420">
          <cell r="C420" t="str">
            <v>Pekerja</v>
          </cell>
          <cell r="E420">
            <v>8.1000000000000003E-2</v>
          </cell>
          <cell r="F420" t="str">
            <v>Org</v>
          </cell>
          <cell r="G420">
            <v>45400</v>
          </cell>
          <cell r="I420">
            <v>3677.4</v>
          </cell>
          <cell r="J420">
            <v>0</v>
          </cell>
        </row>
        <row r="421">
          <cell r="C421" t="str">
            <v>Tukang batu</v>
          </cell>
          <cell r="E421">
            <v>0.13500000000000001</v>
          </cell>
          <cell r="F421" t="str">
            <v>Org</v>
          </cell>
          <cell r="G421">
            <v>65900</v>
          </cell>
          <cell r="I421">
            <v>8896.5</v>
          </cell>
          <cell r="J421">
            <v>0</v>
          </cell>
        </row>
        <row r="422">
          <cell r="C422" t="str">
            <v>Kepala tukang</v>
          </cell>
          <cell r="E422">
            <v>1.35E-2</v>
          </cell>
          <cell r="F422" t="str">
            <v>Org</v>
          </cell>
          <cell r="G422">
            <v>82100</v>
          </cell>
          <cell r="I422">
            <v>1108.3499999999999</v>
          </cell>
          <cell r="J422">
            <v>0</v>
          </cell>
        </row>
        <row r="423">
          <cell r="C423" t="str">
            <v>Mandor</v>
          </cell>
          <cell r="E423">
            <v>4.1000000000000003E-3</v>
          </cell>
          <cell r="F423" t="str">
            <v>Org</v>
          </cell>
          <cell r="G423">
            <v>59400</v>
          </cell>
          <cell r="I423">
            <v>243.54000000000002</v>
          </cell>
          <cell r="J423">
            <v>0</v>
          </cell>
        </row>
        <row r="424">
          <cell r="G424" t="str">
            <v>Sub Jumlah</v>
          </cell>
          <cell r="I424">
            <v>13925.79</v>
          </cell>
          <cell r="J424">
            <v>181298.88</v>
          </cell>
        </row>
        <row r="425">
          <cell r="I425" t="str">
            <v>Jumlah</v>
          </cell>
          <cell r="K425">
            <v>195224.67</v>
          </cell>
        </row>
        <row r="426">
          <cell r="A426" t="str">
            <v>39.</v>
          </cell>
          <cell r="B426" t="str">
            <v>1    -    M'</v>
          </cell>
          <cell r="C426" t="str">
            <v>Pemasangan Pipa GIV Ø  ½"</v>
          </cell>
          <cell r="D426" t="str">
            <v>SNI03-2839-6.19</v>
          </cell>
        </row>
        <row r="427">
          <cell r="C427" t="str">
            <v xml:space="preserve">Pipa GIV   </v>
          </cell>
          <cell r="E427">
            <v>1.2</v>
          </cell>
          <cell r="F427" t="str">
            <v>M</v>
          </cell>
          <cell r="H427">
            <v>21258</v>
          </cell>
          <cell r="I427">
            <v>0</v>
          </cell>
          <cell r="J427">
            <v>25509.599999999999</v>
          </cell>
        </row>
        <row r="428">
          <cell r="C428" t="str">
            <v>Perlengkapan 35 % x harga Pipa</v>
          </cell>
          <cell r="E428">
            <v>0.35</v>
          </cell>
          <cell r="F428" t="str">
            <v>Ls</v>
          </cell>
          <cell r="H428">
            <v>7440.2999999999993</v>
          </cell>
          <cell r="I428">
            <v>0</v>
          </cell>
          <cell r="J428">
            <v>2604.1049999999996</v>
          </cell>
        </row>
        <row r="429">
          <cell r="C429" t="str">
            <v>Pekerja</v>
          </cell>
          <cell r="E429">
            <v>5.3999999999999999E-2</v>
          </cell>
          <cell r="F429" t="str">
            <v>Org</v>
          </cell>
          <cell r="G429">
            <v>45400</v>
          </cell>
          <cell r="I429">
            <v>2451.6</v>
          </cell>
          <cell r="J429">
            <v>0</v>
          </cell>
        </row>
        <row r="430">
          <cell r="C430" t="str">
            <v>Tukang batu</v>
          </cell>
          <cell r="E430">
            <v>0.09</v>
          </cell>
          <cell r="F430" t="str">
            <v>Org</v>
          </cell>
          <cell r="G430">
            <v>65900</v>
          </cell>
          <cell r="I430">
            <v>5931</v>
          </cell>
          <cell r="J430">
            <v>0</v>
          </cell>
        </row>
        <row r="431">
          <cell r="C431" t="str">
            <v>Kepala tukang</v>
          </cell>
          <cell r="E431">
            <v>8.9999999999999993E-3</v>
          </cell>
          <cell r="F431" t="str">
            <v>Org</v>
          </cell>
          <cell r="G431">
            <v>82100</v>
          </cell>
          <cell r="I431">
            <v>738.9</v>
          </cell>
          <cell r="J431">
            <v>0</v>
          </cell>
        </row>
        <row r="432">
          <cell r="C432" t="str">
            <v>Mandor</v>
          </cell>
          <cell r="E432">
            <v>2.7E-2</v>
          </cell>
          <cell r="F432" t="str">
            <v>Org</v>
          </cell>
          <cell r="G432">
            <v>59400</v>
          </cell>
          <cell r="I432">
            <v>1603.8</v>
          </cell>
          <cell r="J432">
            <v>0</v>
          </cell>
        </row>
        <row r="433">
          <cell r="G433" t="str">
            <v>Sub Jumlah</v>
          </cell>
          <cell r="I433">
            <v>10725.3</v>
          </cell>
          <cell r="J433">
            <v>28113.704999999998</v>
          </cell>
        </row>
        <row r="434">
          <cell r="I434" t="str">
            <v>Jumlah</v>
          </cell>
          <cell r="K434">
            <v>38839.004999999997</v>
          </cell>
        </row>
        <row r="435">
          <cell r="A435" t="str">
            <v>40.</v>
          </cell>
          <cell r="B435" t="str">
            <v>1    -    M'</v>
          </cell>
          <cell r="C435" t="str">
            <v>Pemasangan Pipa GIV Ø  ¾"</v>
          </cell>
          <cell r="D435" t="str">
            <v>SNI03-2839-6.20</v>
          </cell>
        </row>
        <row r="436">
          <cell r="C436" t="str">
            <v xml:space="preserve">Pipa GIV   </v>
          </cell>
          <cell r="E436">
            <v>1.2</v>
          </cell>
          <cell r="F436" t="str">
            <v>M</v>
          </cell>
          <cell r="H436">
            <v>24402</v>
          </cell>
          <cell r="I436">
            <v>0</v>
          </cell>
          <cell r="J436">
            <v>29282.399999999998</v>
          </cell>
        </row>
        <row r="437">
          <cell r="C437" t="str">
            <v>Perlengkapan 35 % x harga Pipa</v>
          </cell>
          <cell r="E437">
            <v>0.35</v>
          </cell>
          <cell r="F437" t="str">
            <v>Ls</v>
          </cell>
          <cell r="H437">
            <v>8540.6999999999989</v>
          </cell>
          <cell r="I437">
            <v>0</v>
          </cell>
          <cell r="J437">
            <v>2989.2449999999994</v>
          </cell>
        </row>
        <row r="438">
          <cell r="C438" t="str">
            <v>Pekerja</v>
          </cell>
          <cell r="E438">
            <v>5.3999999999999999E-2</v>
          </cell>
          <cell r="F438" t="str">
            <v>Org</v>
          </cell>
          <cell r="G438">
            <v>45400</v>
          </cell>
          <cell r="I438">
            <v>2451.6</v>
          </cell>
          <cell r="J438">
            <v>0</v>
          </cell>
        </row>
        <row r="439">
          <cell r="C439" t="str">
            <v>Tukang batu</v>
          </cell>
          <cell r="E439">
            <v>0.09</v>
          </cell>
          <cell r="F439" t="str">
            <v>Org</v>
          </cell>
          <cell r="G439">
            <v>65900</v>
          </cell>
          <cell r="I439">
            <v>5931</v>
          </cell>
          <cell r="J439">
            <v>0</v>
          </cell>
        </row>
        <row r="440">
          <cell r="C440" t="str">
            <v>Kepala tukang</v>
          </cell>
          <cell r="E440">
            <v>8.9999999999999993E-3</v>
          </cell>
          <cell r="F440" t="str">
            <v>Org</v>
          </cell>
          <cell r="G440">
            <v>82100</v>
          </cell>
          <cell r="I440">
            <v>738.9</v>
          </cell>
          <cell r="J440">
            <v>0</v>
          </cell>
        </row>
        <row r="441">
          <cell r="C441" t="str">
            <v>Mandor</v>
          </cell>
          <cell r="E441">
            <v>2.7E-2</v>
          </cell>
          <cell r="F441" t="str">
            <v>Org</v>
          </cell>
          <cell r="G441">
            <v>59400</v>
          </cell>
          <cell r="I441">
            <v>1603.8</v>
          </cell>
          <cell r="J441">
            <v>0</v>
          </cell>
        </row>
        <row r="442">
          <cell r="G442" t="str">
            <v>Sub Jumlah</v>
          </cell>
          <cell r="I442">
            <v>10725.3</v>
          </cell>
          <cell r="J442">
            <v>32271.644999999997</v>
          </cell>
        </row>
        <row r="443">
          <cell r="I443" t="str">
            <v>Jumlah</v>
          </cell>
          <cell r="K443">
            <v>42996.944999999992</v>
          </cell>
        </row>
        <row r="444">
          <cell r="A444" t="str">
            <v>41.</v>
          </cell>
          <cell r="B444" t="str">
            <v>1    -    M'</v>
          </cell>
          <cell r="C444" t="str">
            <v>Pemasangan Pipa GIV Ø  1"</v>
          </cell>
          <cell r="D444" t="str">
            <v>SNI03-2839-6.21</v>
          </cell>
        </row>
        <row r="445">
          <cell r="C445" t="str">
            <v xml:space="preserve">Pipa GIV   </v>
          </cell>
          <cell r="E445">
            <v>1.2</v>
          </cell>
          <cell r="F445" t="str">
            <v>M</v>
          </cell>
          <cell r="H445">
            <v>35890</v>
          </cell>
          <cell r="I445">
            <v>0</v>
          </cell>
          <cell r="J445">
            <v>43068</v>
          </cell>
        </row>
        <row r="446">
          <cell r="C446" t="str">
            <v>Perlengkapan 35 % x harga Pipa</v>
          </cell>
          <cell r="E446">
            <v>0.35</v>
          </cell>
          <cell r="F446" t="str">
            <v>Ls</v>
          </cell>
          <cell r="H446">
            <v>12561.5</v>
          </cell>
          <cell r="I446">
            <v>0</v>
          </cell>
          <cell r="J446">
            <v>4396.5249999999996</v>
          </cell>
        </row>
        <row r="447">
          <cell r="C447" t="str">
            <v>Pekerja</v>
          </cell>
          <cell r="E447">
            <v>5.3999999999999999E-2</v>
          </cell>
          <cell r="F447" t="str">
            <v>Org</v>
          </cell>
          <cell r="G447">
            <v>45400</v>
          </cell>
          <cell r="I447">
            <v>2451.6</v>
          </cell>
          <cell r="J447">
            <v>0</v>
          </cell>
        </row>
        <row r="448">
          <cell r="C448" t="str">
            <v>Tukang batu</v>
          </cell>
          <cell r="E448">
            <v>0.09</v>
          </cell>
          <cell r="F448" t="str">
            <v>Org</v>
          </cell>
          <cell r="G448">
            <v>65900</v>
          </cell>
          <cell r="I448">
            <v>5931</v>
          </cell>
          <cell r="J448">
            <v>0</v>
          </cell>
        </row>
        <row r="449">
          <cell r="C449" t="str">
            <v>Kepala tukang</v>
          </cell>
          <cell r="E449">
            <v>8.9999999999999993E-3</v>
          </cell>
          <cell r="F449" t="str">
            <v>Org</v>
          </cell>
          <cell r="G449">
            <v>82100</v>
          </cell>
          <cell r="I449">
            <v>738.9</v>
          </cell>
          <cell r="J449">
            <v>0</v>
          </cell>
        </row>
        <row r="450">
          <cell r="C450" t="str">
            <v>Mandor</v>
          </cell>
          <cell r="E450">
            <v>2.7E-2</v>
          </cell>
          <cell r="F450" t="str">
            <v>Org</v>
          </cell>
          <cell r="G450">
            <v>59400</v>
          </cell>
          <cell r="I450">
            <v>1603.8</v>
          </cell>
          <cell r="J450">
            <v>0</v>
          </cell>
        </row>
        <row r="451">
          <cell r="G451" t="str">
            <v>Sub Jumlah</v>
          </cell>
          <cell r="I451">
            <v>10725.3</v>
          </cell>
          <cell r="J451">
            <v>47464.525000000001</v>
          </cell>
        </row>
        <row r="452">
          <cell r="I452" t="str">
            <v>Jumlah</v>
          </cell>
          <cell r="K452">
            <v>58189.824999999997</v>
          </cell>
        </row>
        <row r="453">
          <cell r="A453" t="str">
            <v>42.</v>
          </cell>
          <cell r="B453" t="str">
            <v>1    -    M'</v>
          </cell>
          <cell r="C453" t="str">
            <v>Pemasangan Pipa GIV Ø  1½"</v>
          </cell>
          <cell r="D453" t="str">
            <v>SNI03-2839-6.22</v>
          </cell>
        </row>
        <row r="454">
          <cell r="C454" t="str">
            <v xml:space="preserve">Pipa GIV   </v>
          </cell>
          <cell r="E454">
            <v>1.2</v>
          </cell>
          <cell r="F454" t="str">
            <v>M</v>
          </cell>
          <cell r="H454">
            <v>53862</v>
          </cell>
          <cell r="I454">
            <v>0</v>
          </cell>
          <cell r="J454">
            <v>64634.399999999994</v>
          </cell>
        </row>
        <row r="455">
          <cell r="C455" t="str">
            <v>Perlengkapan 35 % x harga Pipa</v>
          </cell>
          <cell r="E455">
            <v>0.35</v>
          </cell>
          <cell r="F455" t="str">
            <v>Ls</v>
          </cell>
          <cell r="H455">
            <v>18851.699999999997</v>
          </cell>
          <cell r="I455">
            <v>0</v>
          </cell>
          <cell r="J455">
            <v>6598.0949999999984</v>
          </cell>
        </row>
        <row r="456">
          <cell r="C456" t="str">
            <v>Pekerja</v>
          </cell>
          <cell r="E456">
            <v>0.108</v>
          </cell>
          <cell r="F456" t="str">
            <v>Org</v>
          </cell>
          <cell r="G456">
            <v>45400</v>
          </cell>
          <cell r="I456">
            <v>4903.2</v>
          </cell>
          <cell r="J456">
            <v>0</v>
          </cell>
        </row>
        <row r="457">
          <cell r="C457" t="str">
            <v>Tukang batu</v>
          </cell>
          <cell r="E457">
            <v>0.18</v>
          </cell>
          <cell r="F457" t="str">
            <v>Org</v>
          </cell>
          <cell r="G457">
            <v>65900</v>
          </cell>
          <cell r="I457">
            <v>11862</v>
          </cell>
          <cell r="J457">
            <v>0</v>
          </cell>
        </row>
        <row r="458">
          <cell r="C458" t="str">
            <v>Kepala tukang</v>
          </cell>
          <cell r="E458">
            <v>1.7999999999999999E-2</v>
          </cell>
          <cell r="F458" t="str">
            <v>Org</v>
          </cell>
          <cell r="G458">
            <v>82100</v>
          </cell>
          <cell r="I458">
            <v>1477.8</v>
          </cell>
          <cell r="J458">
            <v>0</v>
          </cell>
        </row>
        <row r="459">
          <cell r="C459" t="str">
            <v>Mandor</v>
          </cell>
          <cell r="E459">
            <v>5.4000000000000003E-3</v>
          </cell>
          <cell r="F459" t="str">
            <v>Org</v>
          </cell>
          <cell r="G459">
            <v>59400</v>
          </cell>
          <cell r="I459">
            <v>320.76</v>
          </cell>
          <cell r="J459">
            <v>0</v>
          </cell>
        </row>
        <row r="460">
          <cell r="G460" t="str">
            <v>Sub Jumlah</v>
          </cell>
          <cell r="I460">
            <v>18563.759999999998</v>
          </cell>
          <cell r="J460">
            <v>71232.494999999995</v>
          </cell>
        </row>
        <row r="461">
          <cell r="I461" t="str">
            <v>Jumlah</v>
          </cell>
          <cell r="K461">
            <v>89796.25499999999</v>
          </cell>
        </row>
        <row r="462">
          <cell r="A462" t="str">
            <v>43.</v>
          </cell>
          <cell r="B462" t="str">
            <v>1    -    M'</v>
          </cell>
          <cell r="C462" t="str">
            <v>Pemasangan Pipa GIV Ø  2"</v>
          </cell>
          <cell r="D462" t="str">
            <v>SNI03-2839-6.22a</v>
          </cell>
        </row>
        <row r="463">
          <cell r="C463" t="str">
            <v xml:space="preserve">Pipa GIV   </v>
          </cell>
          <cell r="E463">
            <v>1.2</v>
          </cell>
          <cell r="F463" t="str">
            <v>M</v>
          </cell>
          <cell r="H463">
            <v>71834</v>
          </cell>
          <cell r="I463">
            <v>0</v>
          </cell>
          <cell r="J463">
            <v>86200.8</v>
          </cell>
        </row>
        <row r="464">
          <cell r="C464" t="str">
            <v>Perlengkapan 35 % x harga Pipa</v>
          </cell>
          <cell r="E464">
            <v>0.35</v>
          </cell>
          <cell r="F464" t="str">
            <v>Ls</v>
          </cell>
          <cell r="H464">
            <v>25141.899999999998</v>
          </cell>
          <cell r="I464">
            <v>0</v>
          </cell>
          <cell r="J464">
            <v>8799.6649999999991</v>
          </cell>
        </row>
        <row r="465">
          <cell r="C465" t="str">
            <v>Pekerja</v>
          </cell>
          <cell r="E465">
            <v>0.108</v>
          </cell>
          <cell r="F465" t="str">
            <v>Org</v>
          </cell>
          <cell r="G465">
            <v>45400</v>
          </cell>
          <cell r="I465">
            <v>4903.2</v>
          </cell>
          <cell r="J465">
            <v>0</v>
          </cell>
        </row>
        <row r="466">
          <cell r="C466" t="str">
            <v>Tukang batu</v>
          </cell>
          <cell r="E466">
            <v>0.18</v>
          </cell>
          <cell r="F466" t="str">
            <v>Org</v>
          </cell>
          <cell r="G466">
            <v>65900</v>
          </cell>
          <cell r="I466">
            <v>11862</v>
          </cell>
          <cell r="J466">
            <v>0</v>
          </cell>
        </row>
        <row r="467">
          <cell r="C467" t="str">
            <v>Kepala tukang</v>
          </cell>
          <cell r="E467">
            <v>1.7999999999999999E-2</v>
          </cell>
          <cell r="F467" t="str">
            <v>Org</v>
          </cell>
          <cell r="G467">
            <v>82100</v>
          </cell>
          <cell r="I467">
            <v>1477.8</v>
          </cell>
          <cell r="J467">
            <v>0</v>
          </cell>
        </row>
        <row r="468">
          <cell r="C468" t="str">
            <v>Mandor</v>
          </cell>
          <cell r="E468">
            <v>5.4000000000000003E-3</v>
          </cell>
          <cell r="F468" t="str">
            <v>Org</v>
          </cell>
          <cell r="G468">
            <v>59400</v>
          </cell>
          <cell r="I468">
            <v>320.76</v>
          </cell>
          <cell r="J468">
            <v>0</v>
          </cell>
        </row>
        <row r="469">
          <cell r="G469" t="str">
            <v>Sub Jumlah</v>
          </cell>
          <cell r="I469">
            <v>18563.759999999998</v>
          </cell>
          <cell r="J469">
            <v>95000.464999999997</v>
          </cell>
        </row>
        <row r="470">
          <cell r="I470" t="str">
            <v>Jumlah</v>
          </cell>
          <cell r="K470">
            <v>113564.22499999999</v>
          </cell>
        </row>
        <row r="471">
          <cell r="A471" t="str">
            <v>44.</v>
          </cell>
          <cell r="B471" t="str">
            <v>1    -    M'</v>
          </cell>
          <cell r="C471" t="str">
            <v>Pemasangan Pipa GIV Ø  3"</v>
          </cell>
          <cell r="D471" t="str">
            <v>SNI03-2839-6.23</v>
          </cell>
        </row>
        <row r="472">
          <cell r="C472" t="str">
            <v xml:space="preserve">Pipa GIV   </v>
          </cell>
          <cell r="E472">
            <v>1.2</v>
          </cell>
          <cell r="F472" t="str">
            <v>M</v>
          </cell>
          <cell r="H472">
            <v>116319</v>
          </cell>
          <cell r="I472">
            <v>0</v>
          </cell>
          <cell r="J472">
            <v>139582.79999999999</v>
          </cell>
        </row>
        <row r="473">
          <cell r="C473" t="str">
            <v>Perlengkapan 35 % x harga Pipa</v>
          </cell>
          <cell r="E473">
            <v>0.35</v>
          </cell>
          <cell r="F473" t="str">
            <v>Ls</v>
          </cell>
          <cell r="H473">
            <v>40711.649999999994</v>
          </cell>
          <cell r="I473">
            <v>0</v>
          </cell>
          <cell r="J473">
            <v>14249.077499999998</v>
          </cell>
        </row>
        <row r="474">
          <cell r="C474" t="str">
            <v>Pekerja</v>
          </cell>
          <cell r="E474">
            <v>0.108</v>
          </cell>
          <cell r="F474" t="str">
            <v>Org</v>
          </cell>
          <cell r="G474">
            <v>45400</v>
          </cell>
          <cell r="I474">
            <v>4903.2</v>
          </cell>
          <cell r="J474">
            <v>0</v>
          </cell>
        </row>
        <row r="475">
          <cell r="C475" t="str">
            <v>Tukang batu</v>
          </cell>
          <cell r="E475">
            <v>0.18</v>
          </cell>
          <cell r="F475" t="str">
            <v>Org</v>
          </cell>
          <cell r="G475">
            <v>65900</v>
          </cell>
          <cell r="I475">
            <v>11862</v>
          </cell>
          <cell r="J475">
            <v>0</v>
          </cell>
        </row>
        <row r="476">
          <cell r="C476" t="str">
            <v>Kepala tukang</v>
          </cell>
          <cell r="E476">
            <v>1.7999999999999999E-2</v>
          </cell>
          <cell r="F476" t="str">
            <v>Org</v>
          </cell>
          <cell r="G476">
            <v>82100</v>
          </cell>
          <cell r="I476">
            <v>1477.8</v>
          </cell>
          <cell r="J476">
            <v>0</v>
          </cell>
        </row>
        <row r="477">
          <cell r="C477" t="str">
            <v>Mandor</v>
          </cell>
          <cell r="E477">
            <v>5.4000000000000003E-3</v>
          </cell>
          <cell r="F477" t="str">
            <v>Org</v>
          </cell>
          <cell r="G477">
            <v>59400</v>
          </cell>
          <cell r="I477">
            <v>320.76</v>
          </cell>
          <cell r="J477">
            <v>0</v>
          </cell>
        </row>
        <row r="478">
          <cell r="G478" t="str">
            <v>Sub Jumlah</v>
          </cell>
          <cell r="I478">
            <v>18563.759999999998</v>
          </cell>
          <cell r="J478">
            <v>153831.87749999997</v>
          </cell>
        </row>
        <row r="479">
          <cell r="I479" t="str">
            <v>Jumlah</v>
          </cell>
          <cell r="K479">
            <v>172395.63749999998</v>
          </cell>
        </row>
        <row r="480">
          <cell r="A480" t="str">
            <v>45.</v>
          </cell>
          <cell r="B480" t="str">
            <v>1    -    M'</v>
          </cell>
          <cell r="C480" t="str">
            <v>Pemasangan Pipa GIV Ø 4"</v>
          </cell>
          <cell r="D480" t="str">
            <v>SNI03-2839-6.24</v>
          </cell>
        </row>
        <row r="481">
          <cell r="C481" t="str">
            <v xml:space="preserve">Pipa GIV   </v>
          </cell>
          <cell r="E481">
            <v>1.2</v>
          </cell>
          <cell r="F481" t="str">
            <v>M</v>
          </cell>
          <cell r="H481">
            <v>130309</v>
          </cell>
          <cell r="I481">
            <v>0</v>
          </cell>
          <cell r="J481">
            <v>156370.79999999999</v>
          </cell>
        </row>
        <row r="482">
          <cell r="C482" t="str">
            <v>Perlengkapan 35 % x harga Pipa</v>
          </cell>
          <cell r="E482">
            <v>0.35</v>
          </cell>
          <cell r="F482" t="str">
            <v>Ls</v>
          </cell>
          <cell r="H482">
            <v>45608.149999999994</v>
          </cell>
          <cell r="I482">
            <v>0</v>
          </cell>
          <cell r="J482">
            <v>15962.852499999997</v>
          </cell>
        </row>
        <row r="483">
          <cell r="C483" t="str">
            <v>Pekerja</v>
          </cell>
          <cell r="E483">
            <v>0.13500000000000001</v>
          </cell>
          <cell r="F483" t="str">
            <v>Org</v>
          </cell>
          <cell r="G483">
            <v>45400</v>
          </cell>
          <cell r="I483">
            <v>6129</v>
          </cell>
          <cell r="J483">
            <v>0</v>
          </cell>
        </row>
        <row r="484">
          <cell r="C484" t="str">
            <v>Tukang batu</v>
          </cell>
          <cell r="E484">
            <v>0.22500000000000001</v>
          </cell>
          <cell r="F484" t="str">
            <v>Org</v>
          </cell>
          <cell r="G484">
            <v>65900</v>
          </cell>
          <cell r="I484">
            <v>14827.5</v>
          </cell>
          <cell r="J484">
            <v>0</v>
          </cell>
        </row>
        <row r="485">
          <cell r="C485" t="str">
            <v>Kepala tukang</v>
          </cell>
          <cell r="E485">
            <v>2.2499999999999999E-2</v>
          </cell>
          <cell r="F485" t="str">
            <v>Org</v>
          </cell>
          <cell r="G485">
            <v>82100</v>
          </cell>
          <cell r="I485">
            <v>1847.25</v>
          </cell>
          <cell r="J485">
            <v>0</v>
          </cell>
        </row>
        <row r="486">
          <cell r="C486" t="str">
            <v>Mandor</v>
          </cell>
          <cell r="E486">
            <v>6.7999999999999996E-3</v>
          </cell>
          <cell r="F486" t="str">
            <v>Org</v>
          </cell>
          <cell r="G486">
            <v>59400</v>
          </cell>
          <cell r="I486">
            <v>403.91999999999996</v>
          </cell>
          <cell r="J486">
            <v>0</v>
          </cell>
        </row>
        <row r="487">
          <cell r="G487" t="str">
            <v>Sub Jumlah</v>
          </cell>
          <cell r="I487">
            <v>23207.67</v>
          </cell>
          <cell r="J487">
            <v>172333.6525</v>
          </cell>
        </row>
        <row r="488">
          <cell r="I488" t="str">
            <v>Jumlah</v>
          </cell>
          <cell r="K488">
            <v>195541.32250000001</v>
          </cell>
        </row>
        <row r="489">
          <cell r="A489" t="str">
            <v>46.</v>
          </cell>
          <cell r="B489" t="str">
            <v>1    -    M'</v>
          </cell>
          <cell r="C489" t="str">
            <v>Pemasangan Pipa GIV Ø 6"</v>
          </cell>
          <cell r="D489" t="str">
            <v>SNI03-2839-6.24a</v>
          </cell>
        </row>
        <row r="490">
          <cell r="C490" t="str">
            <v xml:space="preserve">Pipa GIV   </v>
          </cell>
          <cell r="E490">
            <v>1.2</v>
          </cell>
          <cell r="F490" t="str">
            <v>M</v>
          </cell>
          <cell r="H490">
            <v>333359</v>
          </cell>
          <cell r="I490">
            <v>0</v>
          </cell>
          <cell r="J490">
            <v>400030.8</v>
          </cell>
        </row>
        <row r="491">
          <cell r="C491" t="str">
            <v>Perlengkapan 35 % x harga Pipa</v>
          </cell>
          <cell r="E491">
            <v>0.35</v>
          </cell>
          <cell r="F491" t="str">
            <v>Ls</v>
          </cell>
          <cell r="H491">
            <v>116675.65</v>
          </cell>
          <cell r="I491">
            <v>0</v>
          </cell>
          <cell r="J491">
            <v>40836.477499999994</v>
          </cell>
        </row>
        <row r="492">
          <cell r="C492" t="str">
            <v>Pekerja</v>
          </cell>
          <cell r="E492">
            <v>0.13500000000000001</v>
          </cell>
          <cell r="F492" t="str">
            <v>Org</v>
          </cell>
          <cell r="G492">
            <v>45400</v>
          </cell>
          <cell r="I492">
            <v>6129</v>
          </cell>
          <cell r="J492">
            <v>0</v>
          </cell>
        </row>
        <row r="493">
          <cell r="C493" t="str">
            <v>Tukang batu</v>
          </cell>
          <cell r="E493">
            <v>0.22500000000000001</v>
          </cell>
          <cell r="F493" t="str">
            <v>Org</v>
          </cell>
          <cell r="G493">
            <v>65900</v>
          </cell>
          <cell r="I493">
            <v>14827.5</v>
          </cell>
          <cell r="J493">
            <v>0</v>
          </cell>
        </row>
        <row r="494">
          <cell r="C494" t="str">
            <v>Kepala tukang</v>
          </cell>
          <cell r="E494">
            <v>2.2499999999999999E-2</v>
          </cell>
          <cell r="F494" t="str">
            <v>Org</v>
          </cell>
          <cell r="G494">
            <v>82100</v>
          </cell>
          <cell r="I494">
            <v>1847.25</v>
          </cell>
          <cell r="J494">
            <v>0</v>
          </cell>
        </row>
        <row r="495">
          <cell r="C495" t="str">
            <v>Mandor</v>
          </cell>
          <cell r="E495">
            <v>6.7999999999999996E-3</v>
          </cell>
          <cell r="F495" t="str">
            <v>Org</v>
          </cell>
          <cell r="G495">
            <v>59400</v>
          </cell>
          <cell r="I495">
            <v>403.91999999999996</v>
          </cell>
          <cell r="J495">
            <v>0</v>
          </cell>
        </row>
        <row r="496">
          <cell r="G496" t="str">
            <v>Sub Jumlah</v>
          </cell>
          <cell r="I496">
            <v>23207.67</v>
          </cell>
          <cell r="J496">
            <v>440867.27749999997</v>
          </cell>
        </row>
        <row r="497">
          <cell r="I497" t="str">
            <v>Jumlah</v>
          </cell>
          <cell r="K497">
            <v>464074.94749999995</v>
          </cell>
        </row>
        <row r="498">
          <cell r="A498" t="str">
            <v>47.</v>
          </cell>
          <cell r="B498" t="str">
            <v>1    -    M'</v>
          </cell>
          <cell r="C498" t="str">
            <v>Pemasangan Pipa GIV Ø 8"</v>
          </cell>
          <cell r="D498" t="str">
            <v>SNI03-2839-6.24b</v>
          </cell>
        </row>
        <row r="499">
          <cell r="C499" t="str">
            <v xml:space="preserve">Pipa GIV   </v>
          </cell>
          <cell r="E499">
            <v>1.2</v>
          </cell>
          <cell r="F499" t="str">
            <v>M</v>
          </cell>
          <cell r="H499">
            <v>484922</v>
          </cell>
          <cell r="I499">
            <v>0</v>
          </cell>
          <cell r="J499">
            <v>581906.4</v>
          </cell>
        </row>
        <row r="500">
          <cell r="C500" t="str">
            <v>Perlengkapan 35 % x harga Pipa</v>
          </cell>
          <cell r="E500">
            <v>0.35</v>
          </cell>
          <cell r="F500" t="str">
            <v>Ls</v>
          </cell>
          <cell r="H500">
            <v>169722.69999999998</v>
          </cell>
          <cell r="I500">
            <v>0</v>
          </cell>
          <cell r="J500">
            <v>59402.944999999992</v>
          </cell>
        </row>
        <row r="501">
          <cell r="C501" t="str">
            <v>Pekerja</v>
          </cell>
          <cell r="E501">
            <v>0.13500000000000001</v>
          </cell>
          <cell r="F501" t="str">
            <v>Org</v>
          </cell>
          <cell r="G501">
            <v>45400</v>
          </cell>
          <cell r="I501">
            <v>6129</v>
          </cell>
          <cell r="J501">
            <v>0</v>
          </cell>
        </row>
        <row r="502">
          <cell r="C502" t="str">
            <v>Tukang batu</v>
          </cell>
          <cell r="E502">
            <v>0.22500000000000001</v>
          </cell>
          <cell r="F502" t="str">
            <v>Org</v>
          </cell>
          <cell r="G502">
            <v>65900</v>
          </cell>
          <cell r="I502">
            <v>14827.5</v>
          </cell>
          <cell r="J502">
            <v>0</v>
          </cell>
        </row>
        <row r="503">
          <cell r="C503" t="str">
            <v>Kepala tukang</v>
          </cell>
          <cell r="E503">
            <v>2.2499999999999999E-2</v>
          </cell>
          <cell r="F503" t="str">
            <v>Org</v>
          </cell>
          <cell r="G503">
            <v>82100</v>
          </cell>
          <cell r="I503">
            <v>1847.25</v>
          </cell>
          <cell r="J503">
            <v>0</v>
          </cell>
        </row>
        <row r="504">
          <cell r="C504" t="str">
            <v>Mandor</v>
          </cell>
          <cell r="E504">
            <v>6.7999999999999996E-3</v>
          </cell>
          <cell r="F504" t="str">
            <v>Org</v>
          </cell>
          <cell r="G504">
            <v>59400</v>
          </cell>
          <cell r="I504">
            <v>403.91999999999996</v>
          </cell>
          <cell r="J504">
            <v>0</v>
          </cell>
        </row>
        <row r="505">
          <cell r="G505" t="str">
            <v>Sub Jumlah</v>
          </cell>
          <cell r="I505">
            <v>23207.67</v>
          </cell>
          <cell r="J505">
            <v>641309.34499999997</v>
          </cell>
        </row>
        <row r="506">
          <cell r="I506" t="str">
            <v>Jumlah</v>
          </cell>
          <cell r="K506">
            <v>664517.01500000001</v>
          </cell>
        </row>
        <row r="508">
          <cell r="H508" t="str">
            <v>Redelong, 25 Desember 2006</v>
          </cell>
        </row>
        <row r="509">
          <cell r="C509" t="str">
            <v>Menyetujui :</v>
          </cell>
          <cell r="H509" t="str">
            <v>Dibuat Oleh :</v>
          </cell>
        </row>
        <row r="510">
          <cell r="C510" t="str">
            <v>PENGENDALI KEGIATAN</v>
          </cell>
          <cell r="H510" t="str">
            <v>CV. CEUDAH CONSULTANT</v>
          </cell>
        </row>
        <row r="516">
          <cell r="C516" t="str">
            <v>FITRA GUNAWAN. AP</v>
          </cell>
          <cell r="H516" t="str">
            <v>M. Z A N I R, BE</v>
          </cell>
        </row>
        <row r="517">
          <cell r="C517" t="str">
            <v xml:space="preserve">   NIP. 010 249 146</v>
          </cell>
          <cell r="H517" t="str">
            <v>Direktur</v>
          </cell>
        </row>
        <row r="518">
          <cell r="A518" t="str">
            <v>Mengetahui,</v>
          </cell>
        </row>
        <row r="519">
          <cell r="A519" t="str">
            <v>KEPALA BAPEDA</v>
          </cell>
        </row>
        <row r="520">
          <cell r="A520" t="str">
            <v>KABUPATEN BENER MERIAH</v>
          </cell>
        </row>
        <row r="526">
          <cell r="A526" t="str">
            <v>Ir. AZWIRIANSYAH</v>
          </cell>
        </row>
        <row r="527">
          <cell r="A527" t="str">
            <v>NIP. 390 011 969</v>
          </cell>
        </row>
      </sheetData>
      <sheetData sheetId="3" refreshError="1"/>
      <sheetData sheetId="4">
        <row r="1">
          <cell r="A1" t="str">
            <v>DAFTAR HARGA SATUAN</v>
          </cell>
        </row>
        <row r="2">
          <cell r="B2" t="str">
            <v>NAMA PROYEK</v>
          </cell>
          <cell r="C2" t="str">
            <v xml:space="preserve">:  PEMBANGUNAN SARANA AIR BERSIH (SAB) </v>
          </cell>
        </row>
        <row r="3">
          <cell r="B3" t="str">
            <v>PEKERJAAN</v>
          </cell>
          <cell r="C3" t="str">
            <v>:  PENGADAAN DAN PEMASANGAN PIPA - KOMPLEK KANTOR BUPATI</v>
          </cell>
        </row>
        <row r="4">
          <cell r="B4" t="str">
            <v>SUMBER DANA</v>
          </cell>
          <cell r="C4" t="str">
            <v>:  DAK / APBD II</v>
          </cell>
        </row>
        <row r="5">
          <cell r="B5" t="str">
            <v>TAHUN ANGGARAN</v>
          </cell>
          <cell r="C5" t="str">
            <v>:  2007</v>
          </cell>
        </row>
        <row r="6">
          <cell r="B6" t="str">
            <v>VOLUME</v>
          </cell>
          <cell r="C6" t="str">
            <v>:  3,000 Meter</v>
          </cell>
        </row>
        <row r="7">
          <cell r="B7" t="str">
            <v>LOKASI</v>
          </cell>
          <cell r="C7" t="str">
            <v>:  KECAMATAN BUKIT</v>
          </cell>
        </row>
        <row r="8">
          <cell r="B8" t="str">
            <v>DISIAPKAN OLEH</v>
          </cell>
          <cell r="C8" t="str">
            <v>:  CV. CEUDAH CONSULTANT</v>
          </cell>
        </row>
        <row r="9">
          <cell r="B9" t="str">
            <v>Propinsi</v>
          </cell>
          <cell r="C9" t="str">
            <v>:  Nanggroe Aceh Darussalam</v>
          </cell>
          <cell r="D9" t="str">
            <v>Sumber Dana</v>
          </cell>
          <cell r="E9" t="str">
            <v>:  DAK / APBD II</v>
          </cell>
        </row>
        <row r="10">
          <cell r="B10" t="str">
            <v>Kabupaten</v>
          </cell>
          <cell r="C10" t="str">
            <v>:  Bener Meriah</v>
          </cell>
          <cell r="D10" t="str">
            <v>Tahun Anggaran</v>
          </cell>
          <cell r="E10" t="str">
            <v>:  2007</v>
          </cell>
        </row>
        <row r="11">
          <cell r="B11" t="str">
            <v>Sub Pekerjaan</v>
          </cell>
          <cell r="C11" t="str">
            <v>:  Sumber Daya Air</v>
          </cell>
          <cell r="D11" t="str">
            <v>Kode Kegiatan</v>
          </cell>
          <cell r="E11" t="str">
            <v xml:space="preserve">:  </v>
          </cell>
        </row>
        <row r="12">
          <cell r="A12" t="str">
            <v>NO</v>
          </cell>
          <cell r="B12" t="str">
            <v>URAIAN / JENIS BAHAN MATERIAL</v>
          </cell>
          <cell r="D12" t="str">
            <v>SATUAN</v>
          </cell>
          <cell r="E12" t="str">
            <v>HARGA</v>
          </cell>
        </row>
        <row r="15">
          <cell r="A15">
            <v>1</v>
          </cell>
          <cell r="B15">
            <v>2</v>
          </cell>
          <cell r="D15">
            <v>3</v>
          </cell>
          <cell r="E15">
            <v>4</v>
          </cell>
        </row>
        <row r="17">
          <cell r="A17" t="str">
            <v>I. UPAH HARIAN</v>
          </cell>
        </row>
        <row r="18">
          <cell r="A18">
            <v>1</v>
          </cell>
          <cell r="B18" t="str">
            <v>Mandor</v>
          </cell>
          <cell r="D18" t="str">
            <v>Orang</v>
          </cell>
          <cell r="E18">
            <v>59400</v>
          </cell>
        </row>
        <row r="19">
          <cell r="A19">
            <v>2</v>
          </cell>
          <cell r="B19" t="str">
            <v>Kepala Tukang Kayu/ Cat</v>
          </cell>
          <cell r="D19" t="str">
            <v>Orang</v>
          </cell>
          <cell r="E19">
            <v>81000</v>
          </cell>
        </row>
        <row r="20">
          <cell r="A20">
            <v>3</v>
          </cell>
          <cell r="B20" t="str">
            <v>Tukang Kayu/ Cat</v>
          </cell>
          <cell r="D20" t="str">
            <v>Orang</v>
          </cell>
          <cell r="E20">
            <v>65900</v>
          </cell>
        </row>
        <row r="21">
          <cell r="A21">
            <v>4</v>
          </cell>
          <cell r="B21" t="str">
            <v>Leden Tukang Kayu/ Cat</v>
          </cell>
          <cell r="D21" t="str">
            <v>Orang</v>
          </cell>
          <cell r="E21">
            <v>55100</v>
          </cell>
        </row>
        <row r="22">
          <cell r="A22">
            <v>5</v>
          </cell>
          <cell r="B22" t="str">
            <v>Kepala Tukang Batu/ Besi</v>
          </cell>
          <cell r="D22" t="str">
            <v>Orang</v>
          </cell>
          <cell r="E22">
            <v>82100</v>
          </cell>
        </row>
        <row r="23">
          <cell r="A23">
            <v>6</v>
          </cell>
          <cell r="B23" t="str">
            <v>Tukang Batu/ Besi</v>
          </cell>
          <cell r="D23" t="str">
            <v>Orang</v>
          </cell>
          <cell r="E23">
            <v>65900</v>
          </cell>
        </row>
        <row r="24">
          <cell r="A24">
            <v>7</v>
          </cell>
          <cell r="B24" t="str">
            <v>Leden Tukang Batu/ Besi</v>
          </cell>
          <cell r="D24" t="str">
            <v>Orang</v>
          </cell>
          <cell r="E24">
            <v>45400</v>
          </cell>
        </row>
        <row r="25">
          <cell r="A25">
            <v>8</v>
          </cell>
          <cell r="B25" t="str">
            <v>Pekerja Galian Tanah</v>
          </cell>
          <cell r="D25" t="str">
            <v>Orang</v>
          </cell>
          <cell r="E25">
            <v>43200</v>
          </cell>
        </row>
        <row r="26">
          <cell r="A26">
            <v>9</v>
          </cell>
          <cell r="B26" t="str">
            <v>Penjaga Malam/ Satpam</v>
          </cell>
          <cell r="D26" t="str">
            <v>Orang</v>
          </cell>
          <cell r="E26">
            <v>40000</v>
          </cell>
        </row>
        <row r="27">
          <cell r="A27">
            <v>10</v>
          </cell>
          <cell r="B27" t="str">
            <v>Penyelam</v>
          </cell>
          <cell r="D27" t="str">
            <v>Orang</v>
          </cell>
          <cell r="E27">
            <v>110200</v>
          </cell>
        </row>
        <row r="28">
          <cell r="A28">
            <v>11</v>
          </cell>
          <cell r="B28" t="str">
            <v>Supir</v>
          </cell>
          <cell r="D28" t="str">
            <v>Orang</v>
          </cell>
          <cell r="E28">
            <v>73500</v>
          </cell>
        </row>
        <row r="29">
          <cell r="A29">
            <v>12</v>
          </cell>
          <cell r="B29" t="str">
            <v>Operator</v>
          </cell>
          <cell r="D29" t="str">
            <v>Orang</v>
          </cell>
          <cell r="E29">
            <v>102600</v>
          </cell>
        </row>
        <row r="31">
          <cell r="A31" t="str">
            <v>II. BAHAN 1</v>
          </cell>
        </row>
        <row r="32">
          <cell r="A32">
            <v>1</v>
          </cell>
          <cell r="B32" t="str">
            <v>Tanah Urug</v>
          </cell>
          <cell r="D32" t="str">
            <v>M³</v>
          </cell>
          <cell r="E32">
            <v>43500</v>
          </cell>
          <cell r="F32">
            <v>43500</v>
          </cell>
          <cell r="G32">
            <v>40000</v>
          </cell>
        </row>
        <row r="33">
          <cell r="A33">
            <v>2</v>
          </cell>
          <cell r="B33" t="str">
            <v>Pasir Urug</v>
          </cell>
          <cell r="D33" t="str">
            <v>M³</v>
          </cell>
          <cell r="E33">
            <v>101700</v>
          </cell>
          <cell r="F33">
            <v>101700</v>
          </cell>
          <cell r="G33">
            <v>85000</v>
          </cell>
        </row>
        <row r="34">
          <cell r="A34">
            <v>3</v>
          </cell>
          <cell r="B34" t="str">
            <v>Pasir Pasangan</v>
          </cell>
          <cell r="D34" t="str">
            <v>M³</v>
          </cell>
          <cell r="E34">
            <v>91500</v>
          </cell>
          <cell r="F34">
            <v>91500</v>
          </cell>
          <cell r="G34">
            <v>96000</v>
          </cell>
        </row>
        <row r="35">
          <cell r="A35">
            <v>4</v>
          </cell>
          <cell r="B35" t="str">
            <v>Pasir Untuk Beton</v>
          </cell>
          <cell r="D35" t="str">
            <v>M³</v>
          </cell>
          <cell r="E35">
            <v>100800</v>
          </cell>
          <cell r="F35">
            <v>100800</v>
          </cell>
          <cell r="G35">
            <v>96000</v>
          </cell>
        </row>
        <row r="36">
          <cell r="A36">
            <v>5</v>
          </cell>
          <cell r="B36" t="str">
            <v>Kerikil Untuk Beton 2 - 3 Cm (Disaring)</v>
          </cell>
          <cell r="D36" t="str">
            <v>M³</v>
          </cell>
          <cell r="E36">
            <v>98000</v>
          </cell>
          <cell r="F36">
            <v>98000</v>
          </cell>
          <cell r="G36">
            <v>96000</v>
          </cell>
        </row>
        <row r="37">
          <cell r="A37">
            <v>6</v>
          </cell>
          <cell r="B37" t="str">
            <v>Batu Gunung / Batu Kali Belah</v>
          </cell>
          <cell r="D37" t="str">
            <v>M³</v>
          </cell>
          <cell r="E37">
            <v>179000</v>
          </cell>
          <cell r="F37">
            <v>179000</v>
          </cell>
          <cell r="G37">
            <v>96000</v>
          </cell>
        </row>
        <row r="38">
          <cell r="A38">
            <v>7</v>
          </cell>
          <cell r="B38" t="str">
            <v>Batu Bata Merah</v>
          </cell>
          <cell r="D38" t="str">
            <v>Bh</v>
          </cell>
          <cell r="E38">
            <v>615</v>
          </cell>
        </row>
        <row r="39">
          <cell r="A39">
            <v>8</v>
          </cell>
          <cell r="B39" t="str">
            <v>Semen PC 1 Kg</v>
          </cell>
          <cell r="D39" t="str">
            <v>Kg</v>
          </cell>
          <cell r="E39">
            <v>1075</v>
          </cell>
        </row>
        <row r="40">
          <cell r="A40">
            <v>9</v>
          </cell>
          <cell r="B40" t="str">
            <v>Semen PC 40 Kg</v>
          </cell>
          <cell r="D40" t="str">
            <v>Zak</v>
          </cell>
          <cell r="E40">
            <v>43000</v>
          </cell>
        </row>
        <row r="41">
          <cell r="A41">
            <v>10</v>
          </cell>
          <cell r="B41" t="str">
            <v>Semen Putih</v>
          </cell>
          <cell r="D41" t="str">
            <v>Kg</v>
          </cell>
          <cell r="E41">
            <v>4745</v>
          </cell>
        </row>
        <row r="42">
          <cell r="A42">
            <v>11</v>
          </cell>
          <cell r="B42" t="str">
            <v>Plywood Jati</v>
          </cell>
          <cell r="D42" t="str">
            <v>M2</v>
          </cell>
          <cell r="E42">
            <v>25500</v>
          </cell>
        </row>
        <row r="43">
          <cell r="A43">
            <v>12</v>
          </cell>
          <cell r="B43" t="str">
            <v>Keramik Mozaik Ukuran 30 x 30 Cm</v>
          </cell>
          <cell r="D43" t="str">
            <v>Bh</v>
          </cell>
          <cell r="E43">
            <v>5265</v>
          </cell>
        </row>
        <row r="44">
          <cell r="A44">
            <v>13</v>
          </cell>
          <cell r="B44" t="str">
            <v>Keramik Ukuran 20 x 25 Cm ( Putih )</v>
          </cell>
          <cell r="D44" t="str">
            <v>Bh</v>
          </cell>
          <cell r="E44">
            <v>2500</v>
          </cell>
        </row>
        <row r="45">
          <cell r="A45">
            <v>14</v>
          </cell>
          <cell r="B45" t="str">
            <v>Keramik Ukuran 20 x 20 Cm</v>
          </cell>
          <cell r="D45" t="str">
            <v>Bh</v>
          </cell>
          <cell r="E45">
            <v>2300</v>
          </cell>
        </row>
        <row r="46">
          <cell r="A46">
            <v>15</v>
          </cell>
          <cell r="B46" t="str">
            <v>Keramik Ukuran 30 x 30 Cm</v>
          </cell>
          <cell r="D46" t="str">
            <v>Bh</v>
          </cell>
          <cell r="E46">
            <v>4500</v>
          </cell>
        </row>
        <row r="47">
          <cell r="A47">
            <v>16</v>
          </cell>
          <cell r="B47" t="str">
            <v>Keramik Ukuran 40 x 40 Cm</v>
          </cell>
          <cell r="D47" t="str">
            <v>Bh</v>
          </cell>
          <cell r="E47">
            <v>7700</v>
          </cell>
        </row>
        <row r="48">
          <cell r="A48">
            <v>17</v>
          </cell>
          <cell r="B48" t="str">
            <v>Plint Keramik Ukuran 10 x 20 Cm</v>
          </cell>
          <cell r="D48" t="str">
            <v>Bh</v>
          </cell>
          <cell r="E48">
            <v>2900</v>
          </cell>
        </row>
        <row r="49">
          <cell r="A49">
            <v>18</v>
          </cell>
          <cell r="B49" t="str">
            <v>Kayu Kelas IV (Sangon/dll)</v>
          </cell>
          <cell r="D49" t="str">
            <v>M³</v>
          </cell>
          <cell r="E49">
            <v>2380400</v>
          </cell>
        </row>
        <row r="50">
          <cell r="A50">
            <v>19</v>
          </cell>
          <cell r="B50" t="str">
            <v>Kayu Kelas III (Borneo/dll)</v>
          </cell>
          <cell r="D50" t="str">
            <v>M³</v>
          </cell>
          <cell r="E50">
            <v>2691700</v>
          </cell>
        </row>
        <row r="51">
          <cell r="A51">
            <v>20</v>
          </cell>
          <cell r="B51" t="str">
            <v>Kayu Kelas II (Kamper/Kruing/dll)</v>
          </cell>
          <cell r="D51" t="str">
            <v>M³</v>
          </cell>
          <cell r="E51">
            <v>2962600</v>
          </cell>
        </row>
        <row r="52">
          <cell r="A52">
            <v>21</v>
          </cell>
          <cell r="B52" t="str">
            <v>Kayu Kelas I (Seumantok/Ulin/dll)</v>
          </cell>
          <cell r="D52" t="str">
            <v>M³</v>
          </cell>
          <cell r="E52">
            <v>3963600</v>
          </cell>
        </row>
        <row r="53">
          <cell r="A53">
            <v>22</v>
          </cell>
          <cell r="B53" t="str">
            <v>Plywood 3 Mm</v>
          </cell>
          <cell r="D53" t="str">
            <v>M2</v>
          </cell>
          <cell r="E53">
            <v>12500</v>
          </cell>
        </row>
        <row r="54">
          <cell r="A54">
            <v>23</v>
          </cell>
          <cell r="B54" t="str">
            <v>Plywood 3,4 Mm</v>
          </cell>
          <cell r="D54" t="str">
            <v>M2</v>
          </cell>
          <cell r="E54">
            <v>15800</v>
          </cell>
        </row>
        <row r="55">
          <cell r="A55">
            <v>24</v>
          </cell>
          <cell r="B55" t="str">
            <v>Asbes Ukuran 1 x 1 M1</v>
          </cell>
          <cell r="D55" t="str">
            <v>M2</v>
          </cell>
          <cell r="E55">
            <v>21500</v>
          </cell>
        </row>
        <row r="56">
          <cell r="A56">
            <v>25</v>
          </cell>
          <cell r="B56" t="str">
            <v>Les Sudut Profil Siku Lebar 5 Cm</v>
          </cell>
          <cell r="D56" t="str">
            <v>M¹</v>
          </cell>
          <cell r="E56">
            <v>4100</v>
          </cell>
        </row>
        <row r="57">
          <cell r="A57">
            <v>26</v>
          </cell>
          <cell r="B57" t="str">
            <v xml:space="preserve">Les Asbes Lebar 3 Cm </v>
          </cell>
          <cell r="D57" t="str">
            <v>M¹</v>
          </cell>
          <cell r="E57">
            <v>250</v>
          </cell>
        </row>
        <row r="58">
          <cell r="A58">
            <v>27</v>
          </cell>
          <cell r="B58" t="str">
            <v>Seng Plat Uk. 6 Kaki BJLS N0. 20</v>
          </cell>
          <cell r="D58" t="str">
            <v>Lbr</v>
          </cell>
          <cell r="E58">
            <v>35000</v>
          </cell>
        </row>
        <row r="59">
          <cell r="A59">
            <v>28</v>
          </cell>
          <cell r="B59" t="str">
            <v>Seng Gelombang Uk. 6 Kaki BJLS N0. 20</v>
          </cell>
          <cell r="D59" t="str">
            <v>M2</v>
          </cell>
          <cell r="E59">
            <v>32000</v>
          </cell>
        </row>
        <row r="60">
          <cell r="A60">
            <v>29</v>
          </cell>
          <cell r="B60" t="str">
            <v>Atap Genteng</v>
          </cell>
          <cell r="D60" t="str">
            <v>Lbr</v>
          </cell>
          <cell r="E60">
            <v>6175</v>
          </cell>
        </row>
        <row r="61">
          <cell r="A61">
            <v>30</v>
          </cell>
          <cell r="B61" t="str">
            <v>Rabung Atap Genteng</v>
          </cell>
          <cell r="D61" t="str">
            <v>Bh</v>
          </cell>
          <cell r="E61">
            <v>7085</v>
          </cell>
        </row>
        <row r="62">
          <cell r="A62">
            <v>31</v>
          </cell>
          <cell r="B62" t="str">
            <v>Paku Biasa</v>
          </cell>
          <cell r="D62" t="str">
            <v>Kg</v>
          </cell>
          <cell r="E62">
            <v>10000</v>
          </cell>
        </row>
        <row r="63">
          <cell r="A63">
            <v>32</v>
          </cell>
          <cell r="B63" t="str">
            <v>Paku Plywood / Asbes</v>
          </cell>
          <cell r="D63" t="str">
            <v>Kg</v>
          </cell>
          <cell r="E63">
            <v>12000</v>
          </cell>
        </row>
        <row r="64">
          <cell r="A64">
            <v>33</v>
          </cell>
          <cell r="B64" t="str">
            <v>Paku Seng BJLS RRT 1 3/4"</v>
          </cell>
          <cell r="D64" t="str">
            <v>Kg</v>
          </cell>
          <cell r="E64">
            <v>13750</v>
          </cell>
        </row>
        <row r="65">
          <cell r="A65">
            <v>34</v>
          </cell>
          <cell r="B65" t="str">
            <v>Besi Beton Polos</v>
          </cell>
          <cell r="D65" t="str">
            <v>Kg</v>
          </cell>
          <cell r="E65">
            <v>6500</v>
          </cell>
        </row>
        <row r="66">
          <cell r="A66">
            <v>35</v>
          </cell>
          <cell r="B66" t="str">
            <v>Kawat Ikat Beton</v>
          </cell>
          <cell r="D66" t="str">
            <v>Kg</v>
          </cell>
          <cell r="E66">
            <v>9950</v>
          </cell>
        </row>
        <row r="67">
          <cell r="A67">
            <v>36</v>
          </cell>
          <cell r="B67" t="str">
            <v>Kawat Bronjong 3 Mm</v>
          </cell>
          <cell r="D67" t="str">
            <v>Kg</v>
          </cell>
          <cell r="E67">
            <v>14200</v>
          </cell>
        </row>
        <row r="68">
          <cell r="A68">
            <v>37</v>
          </cell>
          <cell r="B68" t="str">
            <v xml:space="preserve">Water Proping </v>
          </cell>
          <cell r="D68" t="str">
            <v>Liter</v>
          </cell>
          <cell r="E68">
            <v>80488.2</v>
          </cell>
        </row>
        <row r="69">
          <cell r="A69">
            <v>38</v>
          </cell>
          <cell r="B69" t="str">
            <v>Plamir Tembok</v>
          </cell>
          <cell r="D69" t="str">
            <v>Kg</v>
          </cell>
          <cell r="E69">
            <v>18850</v>
          </cell>
        </row>
        <row r="70">
          <cell r="A70">
            <v>39</v>
          </cell>
          <cell r="B70" t="str">
            <v>Dempul Kayu</v>
          </cell>
          <cell r="D70" t="str">
            <v>Kg</v>
          </cell>
          <cell r="E70">
            <v>14500</v>
          </cell>
        </row>
        <row r="71">
          <cell r="A71">
            <v>40</v>
          </cell>
          <cell r="B71" t="str">
            <v>Cat Menie Kayu / Besi</v>
          </cell>
          <cell r="D71" t="str">
            <v>Kg</v>
          </cell>
          <cell r="E71">
            <v>19000</v>
          </cell>
        </row>
        <row r="72">
          <cell r="A72">
            <v>41</v>
          </cell>
          <cell r="B72" t="str">
            <v>Cat Dasar Kayu</v>
          </cell>
          <cell r="D72" t="str">
            <v>Kg</v>
          </cell>
          <cell r="E72">
            <v>23750</v>
          </cell>
        </row>
        <row r="73">
          <cell r="A73">
            <v>42</v>
          </cell>
          <cell r="B73" t="str">
            <v>Cat Tembok</v>
          </cell>
          <cell r="D73" t="str">
            <v>Kg</v>
          </cell>
          <cell r="E73">
            <v>26500</v>
          </cell>
        </row>
        <row r="74">
          <cell r="A74">
            <v>43</v>
          </cell>
          <cell r="B74" t="str">
            <v>Cat Kilat Kayu</v>
          </cell>
          <cell r="D74" t="str">
            <v>Kg</v>
          </cell>
          <cell r="E74">
            <v>36000</v>
          </cell>
        </row>
        <row r="75">
          <cell r="A75">
            <v>44</v>
          </cell>
          <cell r="B75" t="str">
            <v>Minyak Cat</v>
          </cell>
          <cell r="D75" t="str">
            <v>Kg</v>
          </cell>
          <cell r="E75">
            <v>13812.5</v>
          </cell>
        </row>
        <row r="76">
          <cell r="A76">
            <v>45</v>
          </cell>
          <cell r="B76" t="str">
            <v>Residu</v>
          </cell>
          <cell r="D76" t="str">
            <v>Kg</v>
          </cell>
          <cell r="E76">
            <v>7000</v>
          </cell>
        </row>
        <row r="77">
          <cell r="A77">
            <v>46</v>
          </cell>
          <cell r="B77" t="str">
            <v>Kertas Amplas</v>
          </cell>
          <cell r="D77" t="str">
            <v>Lbr</v>
          </cell>
          <cell r="E77">
            <v>2000</v>
          </cell>
        </row>
        <row r="78">
          <cell r="A78">
            <v>47</v>
          </cell>
          <cell r="B78" t="str">
            <v>Hak Angin</v>
          </cell>
          <cell r="D78" t="str">
            <v>Set</v>
          </cell>
          <cell r="E78">
            <v>4875</v>
          </cell>
        </row>
        <row r="79">
          <cell r="A79">
            <v>48</v>
          </cell>
          <cell r="B79" t="str">
            <v>Engsel Cabut</v>
          </cell>
          <cell r="D79" t="str">
            <v>Set</v>
          </cell>
          <cell r="E79">
            <v>4000</v>
          </cell>
        </row>
        <row r="80">
          <cell r="A80">
            <v>49</v>
          </cell>
          <cell r="B80" t="str">
            <v>Engsel Biasa</v>
          </cell>
          <cell r="D80" t="str">
            <v>Set</v>
          </cell>
          <cell r="E80">
            <v>5000</v>
          </cell>
        </row>
        <row r="81">
          <cell r="A81">
            <v>50</v>
          </cell>
          <cell r="B81" t="str">
            <v>Plastik Untuk Bekisting</v>
          </cell>
          <cell r="D81" t="str">
            <v>M2</v>
          </cell>
          <cell r="E81">
            <v>5153.2</v>
          </cell>
        </row>
        <row r="82">
          <cell r="A82">
            <v>51</v>
          </cell>
          <cell r="B82" t="str">
            <v>Alat Bantu</v>
          </cell>
          <cell r="D82" t="str">
            <v>Set</v>
          </cell>
          <cell r="E82">
            <v>47500</v>
          </cell>
        </row>
        <row r="83">
          <cell r="A83">
            <v>52</v>
          </cell>
          <cell r="B83" t="str">
            <v>Clam Besi Pengikat Pipa</v>
          </cell>
          <cell r="D83" t="str">
            <v>Bh</v>
          </cell>
          <cell r="E83">
            <v>97500</v>
          </cell>
        </row>
        <row r="84">
          <cell r="A84">
            <v>53</v>
          </cell>
          <cell r="B84" t="str">
            <v>Kawat Duri</v>
          </cell>
          <cell r="D84" t="str">
            <v>Kg</v>
          </cell>
          <cell r="E84">
            <v>7500</v>
          </cell>
        </row>
        <row r="85">
          <cell r="A85">
            <v>54</v>
          </cell>
          <cell r="B85" t="str">
            <v>Besi Siku 40. 40. 4 Panjang 6 M</v>
          </cell>
          <cell r="D85" t="str">
            <v>M¹</v>
          </cell>
          <cell r="E85">
            <v>7758</v>
          </cell>
        </row>
        <row r="86">
          <cell r="A86">
            <v>55</v>
          </cell>
          <cell r="B86" t="str">
            <v>Besi INP 24 Cm</v>
          </cell>
          <cell r="D86" t="str">
            <v>M¹</v>
          </cell>
          <cell r="E86">
            <v>525000</v>
          </cell>
        </row>
        <row r="87">
          <cell r="A87">
            <v>56</v>
          </cell>
          <cell r="B87" t="str">
            <v>Kayu Untuk Perancah</v>
          </cell>
          <cell r="D87" t="str">
            <v>Batang</v>
          </cell>
          <cell r="E87">
            <v>4500</v>
          </cell>
        </row>
        <row r="88">
          <cell r="A88">
            <v>57</v>
          </cell>
          <cell r="B88" t="str">
            <v>Papan Bekisting</v>
          </cell>
          <cell r="D88" t="str">
            <v>M2</v>
          </cell>
          <cell r="E88">
            <v>29150</v>
          </cell>
        </row>
        <row r="90">
          <cell r="A90" t="str">
            <v>II. BAHAN 2</v>
          </cell>
        </row>
        <row r="91">
          <cell r="A91">
            <v>1</v>
          </cell>
          <cell r="B91" t="str">
            <v>Air Valve / Air Release CI Ø   2"</v>
          </cell>
          <cell r="D91" t="str">
            <v>Buah</v>
          </cell>
          <cell r="E91">
            <v>1500000</v>
          </cell>
        </row>
        <row r="92">
          <cell r="A92">
            <v>2</v>
          </cell>
          <cell r="B92" t="str">
            <v>Air Valve / Air Release CI Ø   3"</v>
          </cell>
          <cell r="D92" t="str">
            <v>Buah</v>
          </cell>
          <cell r="E92">
            <v>3125000</v>
          </cell>
        </row>
        <row r="93">
          <cell r="A93">
            <v>3</v>
          </cell>
          <cell r="B93" t="str">
            <v>Air Valve / Air Release CI Ø   4"</v>
          </cell>
          <cell r="D93" t="str">
            <v>Buah</v>
          </cell>
          <cell r="E93">
            <v>4275557</v>
          </cell>
        </row>
        <row r="94">
          <cell r="A94">
            <v>4</v>
          </cell>
          <cell r="B94" t="str">
            <v>Air Valve / Air Release CI Ø   6"</v>
          </cell>
          <cell r="D94" t="str">
            <v>Buah</v>
          </cell>
          <cell r="E94">
            <v>6989697</v>
          </cell>
        </row>
        <row r="95">
          <cell r="A95">
            <v>5</v>
          </cell>
          <cell r="B95" t="str">
            <v>Long Bend Socket PVC Ø   2" x 45°</v>
          </cell>
          <cell r="D95" t="str">
            <v>Buah</v>
          </cell>
          <cell r="E95">
            <v>26267</v>
          </cell>
          <cell r="J95">
            <v>26267</v>
          </cell>
        </row>
        <row r="96">
          <cell r="A96">
            <v>6</v>
          </cell>
          <cell r="B96" t="str">
            <v>Long Bend Socket PVC Ø   2" x 90°</v>
          </cell>
          <cell r="D96" t="str">
            <v>Buah</v>
          </cell>
          <cell r="E96">
            <v>22910</v>
          </cell>
          <cell r="J96">
            <v>22910</v>
          </cell>
        </row>
        <row r="97">
          <cell r="A97">
            <v>7</v>
          </cell>
          <cell r="B97" t="str">
            <v>Long Bend Socket PVC Ø   3" x 45°</v>
          </cell>
          <cell r="D97" t="str">
            <v>Buah</v>
          </cell>
          <cell r="E97">
            <v>53405</v>
          </cell>
          <cell r="J97">
            <v>53405</v>
          </cell>
        </row>
        <row r="98">
          <cell r="A98">
            <v>8</v>
          </cell>
          <cell r="B98" t="str">
            <v>Long Bend Socket PVC Ø   6" x 45°</v>
          </cell>
          <cell r="D98" t="str">
            <v>Buah</v>
          </cell>
          <cell r="E98">
            <v>83875</v>
          </cell>
          <cell r="J98">
            <v>83875</v>
          </cell>
        </row>
        <row r="99">
          <cell r="A99">
            <v>9</v>
          </cell>
          <cell r="B99" t="str">
            <v>Long Bend Socket PVC Ø   3" x 90°</v>
          </cell>
          <cell r="D99" t="str">
            <v>Buah</v>
          </cell>
          <cell r="E99">
            <v>186453</v>
          </cell>
          <cell r="J99">
            <v>186453</v>
          </cell>
        </row>
        <row r="100">
          <cell r="A100">
            <v>10</v>
          </cell>
          <cell r="B100" t="str">
            <v>Long Bend Socket PVC Ø   4" x 90°</v>
          </cell>
          <cell r="D100" t="str">
            <v>Buah</v>
          </cell>
          <cell r="E100">
            <v>91223</v>
          </cell>
          <cell r="J100">
            <v>91223</v>
          </cell>
        </row>
        <row r="101">
          <cell r="A101">
            <v>11</v>
          </cell>
          <cell r="B101" t="str">
            <v>Long Bend Socket PVC Ø   8" x 45°</v>
          </cell>
          <cell r="D101" t="str">
            <v>Buah</v>
          </cell>
          <cell r="E101">
            <v>346345</v>
          </cell>
          <cell r="J101">
            <v>346345</v>
          </cell>
        </row>
        <row r="102">
          <cell r="A102">
            <v>12</v>
          </cell>
          <cell r="B102" t="str">
            <v>Long Bend Socket PVC Ø   8" x 90°</v>
          </cell>
          <cell r="D102" t="str">
            <v>Buah</v>
          </cell>
          <cell r="E102">
            <v>407971</v>
          </cell>
          <cell r="J102">
            <v>407971</v>
          </cell>
        </row>
        <row r="103">
          <cell r="A103">
            <v>13</v>
          </cell>
          <cell r="B103" t="str">
            <v>Cap / Dop PVC SCJ Ø   1"</v>
          </cell>
          <cell r="D103" t="str">
            <v>Buah</v>
          </cell>
          <cell r="E103">
            <v>10000</v>
          </cell>
        </row>
        <row r="104">
          <cell r="A104">
            <v>14</v>
          </cell>
          <cell r="B104" t="str">
            <v>Cap / Dop PVC SCJ Ø   2"</v>
          </cell>
          <cell r="D104" t="str">
            <v>Buah</v>
          </cell>
          <cell r="E104">
            <v>13104</v>
          </cell>
        </row>
        <row r="105">
          <cell r="A105">
            <v>15</v>
          </cell>
          <cell r="B105" t="str">
            <v>Cap / Dop PVC SCJ Ø   3"</v>
          </cell>
          <cell r="D105" t="str">
            <v>Buah</v>
          </cell>
          <cell r="E105">
            <v>23248</v>
          </cell>
        </row>
        <row r="106">
          <cell r="A106">
            <v>16</v>
          </cell>
          <cell r="B106" t="str">
            <v>Cap / Dop PVC SCJ Ø   4"</v>
          </cell>
          <cell r="D106" t="str">
            <v>Buah</v>
          </cell>
          <cell r="E106">
            <v>57216</v>
          </cell>
        </row>
        <row r="107">
          <cell r="A107">
            <v>17</v>
          </cell>
          <cell r="B107" t="str">
            <v>Cap / Dop PVC SCJ Ø   6"</v>
          </cell>
          <cell r="D107" t="str">
            <v>Buah</v>
          </cell>
          <cell r="E107">
            <v>139782</v>
          </cell>
        </row>
        <row r="108">
          <cell r="A108">
            <v>18</v>
          </cell>
          <cell r="B108" t="str">
            <v>Cap / Dop PVC SCJ Ø   8"</v>
          </cell>
          <cell r="D108" t="str">
            <v>Buah</v>
          </cell>
          <cell r="E108">
            <v>298200</v>
          </cell>
        </row>
        <row r="109">
          <cell r="A109">
            <v>19</v>
          </cell>
          <cell r="B109" t="str">
            <v>Cap / Dop GIP Ø    ½"</v>
          </cell>
          <cell r="D109" t="str">
            <v>Buah</v>
          </cell>
          <cell r="E109">
            <v>21340</v>
          </cell>
        </row>
        <row r="110">
          <cell r="A110">
            <v>20</v>
          </cell>
          <cell r="B110" t="str">
            <v>Cap / Dop GIP Ø   1"</v>
          </cell>
          <cell r="D110" t="str">
            <v>Buah</v>
          </cell>
          <cell r="E110">
            <v>45786</v>
          </cell>
        </row>
        <row r="111">
          <cell r="A111">
            <v>21</v>
          </cell>
          <cell r="B111" t="str">
            <v>Cap / Dop GIP Ø   2"</v>
          </cell>
          <cell r="D111" t="str">
            <v>Buah</v>
          </cell>
          <cell r="E111">
            <v>0</v>
          </cell>
        </row>
        <row r="112">
          <cell r="A112">
            <v>22</v>
          </cell>
          <cell r="B112" t="str">
            <v>Cap / Dop GIP Ø   3"</v>
          </cell>
          <cell r="D112" t="str">
            <v>Buah</v>
          </cell>
          <cell r="E112">
            <v>0</v>
          </cell>
        </row>
        <row r="113">
          <cell r="A113">
            <v>23</v>
          </cell>
          <cell r="B113" t="str">
            <v>Clam Sadle PVC Ø 2 x ¾"</v>
          </cell>
          <cell r="D113" t="str">
            <v>Buah</v>
          </cell>
          <cell r="E113">
            <v>15000</v>
          </cell>
        </row>
        <row r="114">
          <cell r="A114">
            <v>24</v>
          </cell>
          <cell r="B114" t="str">
            <v>Double Socket PVC Ø   2"</v>
          </cell>
          <cell r="D114" t="str">
            <v>Buah</v>
          </cell>
          <cell r="E114">
            <v>8202</v>
          </cell>
        </row>
        <row r="115">
          <cell r="A115">
            <v>25</v>
          </cell>
          <cell r="B115" t="str">
            <v>Double Socket PVC Ø   3"</v>
          </cell>
          <cell r="D115" t="str">
            <v>Buah</v>
          </cell>
          <cell r="E115">
            <v>16722</v>
          </cell>
        </row>
        <row r="116">
          <cell r="A116">
            <v>26</v>
          </cell>
          <cell r="B116" t="str">
            <v>Double Socket PVC Ø   4"</v>
          </cell>
          <cell r="D116" t="str">
            <v>Buah</v>
          </cell>
          <cell r="E116">
            <v>23112</v>
          </cell>
        </row>
        <row r="117">
          <cell r="A117">
            <v>27</v>
          </cell>
          <cell r="B117" t="str">
            <v>Double Socket PVC Ø   6"</v>
          </cell>
          <cell r="D117" t="str">
            <v>Buah</v>
          </cell>
          <cell r="E117">
            <v>50286</v>
          </cell>
        </row>
        <row r="118">
          <cell r="A118">
            <v>28</v>
          </cell>
          <cell r="B118" t="str">
            <v>Double Naple GIP Ø ¾"</v>
          </cell>
          <cell r="D118" t="str">
            <v>Buah</v>
          </cell>
          <cell r="E118">
            <v>5000</v>
          </cell>
        </row>
        <row r="119">
          <cell r="A119">
            <v>29</v>
          </cell>
          <cell r="B119" t="str">
            <v>Double Naple GIP Ø ½"</v>
          </cell>
          <cell r="D119" t="str">
            <v>Buah</v>
          </cell>
          <cell r="E119">
            <v>4000</v>
          </cell>
        </row>
        <row r="120">
          <cell r="A120">
            <v>30</v>
          </cell>
          <cell r="B120" t="str">
            <v>Elbow GIP Ø   ½" x 90°</v>
          </cell>
          <cell r="D120" t="str">
            <v>Buah</v>
          </cell>
          <cell r="E120">
            <v>21593</v>
          </cell>
        </row>
        <row r="121">
          <cell r="A121">
            <v>31</v>
          </cell>
          <cell r="B121" t="str">
            <v>Elbow GIP Ø   ¾" x 90°</v>
          </cell>
          <cell r="D121" t="str">
            <v>Buah</v>
          </cell>
          <cell r="E121">
            <v>25597</v>
          </cell>
        </row>
        <row r="122">
          <cell r="A122">
            <v>32</v>
          </cell>
          <cell r="B122" t="str">
            <v>Elbow GIP Ø    1" x 90°</v>
          </cell>
          <cell r="D122" t="str">
            <v>Buah</v>
          </cell>
          <cell r="E122">
            <v>28457</v>
          </cell>
        </row>
        <row r="123">
          <cell r="A123">
            <v>33</v>
          </cell>
          <cell r="B123" t="str">
            <v>Elbow GIP Ø    2" x 90°</v>
          </cell>
          <cell r="D123" t="str">
            <v>Buah</v>
          </cell>
          <cell r="E123">
            <v>32747</v>
          </cell>
        </row>
        <row r="124">
          <cell r="A124">
            <v>34</v>
          </cell>
          <cell r="B124" t="str">
            <v>Elbow GIP Ø    3" x 90°</v>
          </cell>
          <cell r="D124" t="str">
            <v>Buah</v>
          </cell>
          <cell r="E124">
            <v>36894</v>
          </cell>
        </row>
        <row r="125">
          <cell r="A125">
            <v>35</v>
          </cell>
          <cell r="B125" t="str">
            <v>Elbow PVC Ø   ½" x 90°</v>
          </cell>
          <cell r="D125" t="str">
            <v>Buah</v>
          </cell>
          <cell r="E125">
            <v>34892</v>
          </cell>
        </row>
        <row r="126">
          <cell r="A126">
            <v>36</v>
          </cell>
          <cell r="B126" t="str">
            <v>Elbow PVC Ø   ¾" x 90°</v>
          </cell>
          <cell r="D126" t="str">
            <v>Buah</v>
          </cell>
          <cell r="E126">
            <v>37097</v>
          </cell>
        </row>
        <row r="127">
          <cell r="A127">
            <v>37</v>
          </cell>
          <cell r="B127" t="str">
            <v>Elbow PVC Ø    1" x 90°</v>
          </cell>
          <cell r="D127" t="str">
            <v>Buah</v>
          </cell>
          <cell r="E127">
            <v>39325</v>
          </cell>
        </row>
        <row r="128">
          <cell r="A128">
            <v>38</v>
          </cell>
          <cell r="B128" t="str">
            <v>Elbow PVC Ø    2" x 90°</v>
          </cell>
          <cell r="D128" t="str">
            <v>Buah</v>
          </cell>
          <cell r="E128">
            <v>40469</v>
          </cell>
        </row>
        <row r="129">
          <cell r="A129">
            <v>39</v>
          </cell>
          <cell r="B129" t="str">
            <v>Elbow PVC Ø    3" x 90°</v>
          </cell>
          <cell r="D129" t="str">
            <v>Buah</v>
          </cell>
          <cell r="E129">
            <v>41327</v>
          </cell>
        </row>
        <row r="130">
          <cell r="A130">
            <v>40</v>
          </cell>
          <cell r="B130" t="str">
            <v>Elbow PVC Ø    4" x 90°</v>
          </cell>
          <cell r="D130" t="str">
            <v>Buah</v>
          </cell>
          <cell r="E130">
            <v>42185</v>
          </cell>
        </row>
        <row r="131">
          <cell r="A131">
            <v>41</v>
          </cell>
          <cell r="B131" t="str">
            <v>Elbow PVC Ø    6" x 90°</v>
          </cell>
          <cell r="D131" t="str">
            <v>Buah</v>
          </cell>
          <cell r="E131">
            <v>229100</v>
          </cell>
        </row>
        <row r="132">
          <cell r="A132">
            <v>42</v>
          </cell>
          <cell r="B132" t="str">
            <v>Elbow PVC Ø    8" x 90°</v>
          </cell>
          <cell r="D132" t="str">
            <v>Buah</v>
          </cell>
          <cell r="E132">
            <v>329000</v>
          </cell>
        </row>
        <row r="133">
          <cell r="A133">
            <v>43</v>
          </cell>
          <cell r="B133" t="str">
            <v>Flange Socket PVC Ø   ¾"</v>
          </cell>
          <cell r="D133" t="str">
            <v>Buah</v>
          </cell>
          <cell r="E133">
            <v>50000</v>
          </cell>
        </row>
        <row r="134">
          <cell r="A134">
            <v>44</v>
          </cell>
          <cell r="B134" t="str">
            <v>Flange Socket PVC Ø   2"</v>
          </cell>
          <cell r="D134" t="str">
            <v>Buah</v>
          </cell>
          <cell r="E134">
            <v>93779</v>
          </cell>
          <cell r="J134">
            <v>93779</v>
          </cell>
        </row>
        <row r="135">
          <cell r="A135">
            <v>45</v>
          </cell>
          <cell r="B135" t="str">
            <v>Flange Socket PVC Ø   3"</v>
          </cell>
          <cell r="D135" t="str">
            <v>Buah</v>
          </cell>
          <cell r="E135">
            <v>129351</v>
          </cell>
          <cell r="J135">
            <v>129351</v>
          </cell>
        </row>
        <row r="136">
          <cell r="A136">
            <v>46</v>
          </cell>
          <cell r="B136" t="str">
            <v>Flange Socket PVC Ø   4"</v>
          </cell>
          <cell r="D136" t="str">
            <v>Buah</v>
          </cell>
          <cell r="E136">
            <v>166442</v>
          </cell>
          <cell r="J136">
            <v>166442</v>
          </cell>
        </row>
        <row r="137">
          <cell r="A137">
            <v>47</v>
          </cell>
          <cell r="B137" t="str">
            <v>Flange Socket PVC Ø   6"</v>
          </cell>
          <cell r="D137" t="str">
            <v>Buah</v>
          </cell>
          <cell r="E137">
            <v>312790</v>
          </cell>
          <cell r="J137">
            <v>312790</v>
          </cell>
        </row>
        <row r="138">
          <cell r="A138">
            <v>48</v>
          </cell>
          <cell r="B138" t="str">
            <v>Flange Socket PVC Ø   8"</v>
          </cell>
          <cell r="D138" t="str">
            <v>Buah</v>
          </cell>
          <cell r="E138">
            <v>506491</v>
          </cell>
          <cell r="J138">
            <v>506491</v>
          </cell>
        </row>
        <row r="139">
          <cell r="A139">
            <v>49</v>
          </cell>
          <cell r="B139" t="str">
            <v>Flange Socket PVC Ø 10"</v>
          </cell>
          <cell r="D139" t="str">
            <v>Buah</v>
          </cell>
          <cell r="E139">
            <v>773028</v>
          </cell>
        </row>
        <row r="140">
          <cell r="A140">
            <v>50</v>
          </cell>
          <cell r="B140" t="str">
            <v>Flange Socket GIP Ø 4"</v>
          </cell>
          <cell r="D140" t="str">
            <v>Buah</v>
          </cell>
          <cell r="E140">
            <v>105375</v>
          </cell>
        </row>
        <row r="141">
          <cell r="A141">
            <v>51</v>
          </cell>
          <cell r="B141" t="str">
            <v>Gate Valve CI Ø   2"</v>
          </cell>
          <cell r="D141" t="str">
            <v>Buah</v>
          </cell>
          <cell r="E141">
            <v>836378</v>
          </cell>
        </row>
        <row r="142">
          <cell r="A142">
            <v>52</v>
          </cell>
          <cell r="B142" t="str">
            <v>Gate Valve CI Ø   3"</v>
          </cell>
          <cell r="D142" t="str">
            <v>Buah</v>
          </cell>
          <cell r="E142">
            <v>1159844</v>
          </cell>
        </row>
        <row r="143">
          <cell r="A143">
            <v>53</v>
          </cell>
          <cell r="B143" t="str">
            <v>Gate Valve CI Ø   4"</v>
          </cell>
          <cell r="D143" t="str">
            <v>Buah</v>
          </cell>
          <cell r="E143">
            <v>1449848</v>
          </cell>
        </row>
        <row r="144">
          <cell r="A144">
            <v>54</v>
          </cell>
          <cell r="B144" t="str">
            <v>Gate Valve CI Ø   6"</v>
          </cell>
          <cell r="D144" t="str">
            <v>Buah</v>
          </cell>
          <cell r="E144">
            <v>2598710</v>
          </cell>
        </row>
        <row r="145">
          <cell r="A145">
            <v>55</v>
          </cell>
          <cell r="B145" t="str">
            <v>Gate Valve CI Ø   8"</v>
          </cell>
          <cell r="D145" t="str">
            <v>Buah</v>
          </cell>
          <cell r="E145">
            <v>4684508</v>
          </cell>
        </row>
        <row r="146">
          <cell r="A146">
            <v>56</v>
          </cell>
          <cell r="B146" t="str">
            <v>Gate Valve CI Ø 10"</v>
          </cell>
          <cell r="D146" t="str">
            <v>Buah</v>
          </cell>
          <cell r="E146">
            <v>5978372</v>
          </cell>
        </row>
        <row r="147">
          <cell r="A147">
            <v>57</v>
          </cell>
          <cell r="B147" t="str">
            <v>Gasket Gate Valve CI Ø   2"</v>
          </cell>
          <cell r="D147" t="str">
            <v>Buah</v>
          </cell>
          <cell r="E147">
            <v>26598</v>
          </cell>
        </row>
        <row r="148">
          <cell r="A148">
            <v>58</v>
          </cell>
          <cell r="B148" t="str">
            <v>Gasket Gate Valve CI Ø   3"</v>
          </cell>
          <cell r="D148" t="str">
            <v>Buah</v>
          </cell>
          <cell r="E148">
            <v>37752</v>
          </cell>
        </row>
        <row r="149">
          <cell r="A149">
            <v>59</v>
          </cell>
          <cell r="B149" t="str">
            <v>Gasket Gate Valve CI Ø   4"</v>
          </cell>
          <cell r="D149" t="str">
            <v>Buah</v>
          </cell>
          <cell r="E149">
            <v>48906</v>
          </cell>
        </row>
        <row r="150">
          <cell r="A150">
            <v>60</v>
          </cell>
          <cell r="B150" t="str">
            <v>Gasket Gate Valve CI Ø   6"</v>
          </cell>
          <cell r="D150" t="str">
            <v>Buah</v>
          </cell>
          <cell r="E150">
            <v>57829</v>
          </cell>
        </row>
        <row r="151">
          <cell r="A151">
            <v>61</v>
          </cell>
          <cell r="B151" t="str">
            <v>Gasket Gate Valve CI Ø   8"</v>
          </cell>
          <cell r="D151" t="str">
            <v>Buah</v>
          </cell>
          <cell r="E151">
            <v>80137</v>
          </cell>
        </row>
        <row r="152">
          <cell r="A152">
            <v>62</v>
          </cell>
          <cell r="B152" t="str">
            <v>Krant Air   ½"</v>
          </cell>
          <cell r="D152" t="str">
            <v>Buah</v>
          </cell>
          <cell r="E152">
            <v>15000</v>
          </cell>
        </row>
        <row r="153">
          <cell r="A153">
            <v>63</v>
          </cell>
          <cell r="B153" t="str">
            <v>Krant Air   ¾"</v>
          </cell>
          <cell r="D153" t="str">
            <v>Buah</v>
          </cell>
          <cell r="E153">
            <v>20000</v>
          </cell>
        </row>
        <row r="154">
          <cell r="A154">
            <v>64</v>
          </cell>
          <cell r="B154" t="str">
            <v>Krant Air    1"</v>
          </cell>
          <cell r="D154" t="str">
            <v>Buah</v>
          </cell>
          <cell r="E154">
            <v>25000</v>
          </cell>
        </row>
        <row r="155">
          <cell r="A155">
            <v>65</v>
          </cell>
          <cell r="B155" t="str">
            <v>Lem PVC Isarplas @ 400 Gr</v>
          </cell>
          <cell r="D155" t="str">
            <v>Kaleng</v>
          </cell>
          <cell r="E155">
            <v>28000</v>
          </cell>
        </row>
        <row r="156">
          <cell r="A156">
            <v>66</v>
          </cell>
          <cell r="B156" t="str">
            <v>Lem PVC Isarplas</v>
          </cell>
          <cell r="D156" t="str">
            <v>Cub</v>
          </cell>
          <cell r="E156">
            <v>7000</v>
          </cell>
        </row>
        <row r="157">
          <cell r="A157">
            <v>67</v>
          </cell>
          <cell r="B157" t="str">
            <v>Sealtipe</v>
          </cell>
          <cell r="D157" t="str">
            <v>Buah</v>
          </cell>
          <cell r="E157">
            <v>1500</v>
          </cell>
        </row>
        <row r="158">
          <cell r="A158">
            <v>68</v>
          </cell>
          <cell r="B158" t="str">
            <v>Pompa Centrifugal Kapasitas 2,5 l /det</v>
          </cell>
          <cell r="D158" t="str">
            <v>Unit</v>
          </cell>
          <cell r="E158">
            <v>0</v>
          </cell>
        </row>
        <row r="159">
          <cell r="A159">
            <v>69</v>
          </cell>
          <cell r="B159" t="str">
            <v>Pipa GIP Ø   ½"</v>
          </cell>
          <cell r="D159" t="str">
            <v>M¹</v>
          </cell>
          <cell r="E159">
            <v>21258</v>
          </cell>
        </row>
        <row r="160">
          <cell r="A160">
            <v>70</v>
          </cell>
          <cell r="B160" t="str">
            <v>Pipa GIP Ø   ¾"</v>
          </cell>
          <cell r="D160" t="str">
            <v>M¹</v>
          </cell>
          <cell r="E160">
            <v>24402</v>
          </cell>
        </row>
        <row r="161">
          <cell r="A161">
            <v>71</v>
          </cell>
          <cell r="B161" t="str">
            <v>Pipa GIP Ø   1"</v>
          </cell>
          <cell r="D161" t="str">
            <v>M¹</v>
          </cell>
          <cell r="E161">
            <v>35890</v>
          </cell>
          <cell r="F161">
            <v>35944</v>
          </cell>
        </row>
        <row r="162">
          <cell r="A162">
            <v>72</v>
          </cell>
          <cell r="B162" t="str">
            <v>Pipa GIP Ø   1½"</v>
          </cell>
          <cell r="D162" t="str">
            <v>M¹</v>
          </cell>
          <cell r="E162">
            <v>53862</v>
          </cell>
        </row>
        <row r="163">
          <cell r="A163">
            <v>73</v>
          </cell>
          <cell r="B163" t="str">
            <v>Pipa GIP Ø   2"</v>
          </cell>
          <cell r="D163" t="str">
            <v>M¹</v>
          </cell>
          <cell r="E163">
            <v>71834</v>
          </cell>
          <cell r="F163">
            <v>17972</v>
          </cell>
        </row>
        <row r="164">
          <cell r="A164">
            <v>74</v>
          </cell>
          <cell r="B164" t="str">
            <v>Pipa GIP Ø   3"</v>
          </cell>
          <cell r="D164" t="str">
            <v>M¹</v>
          </cell>
          <cell r="E164">
            <v>116319</v>
          </cell>
        </row>
        <row r="165">
          <cell r="A165">
            <v>75</v>
          </cell>
          <cell r="B165" t="str">
            <v>Pipa GIP Ø   4"</v>
          </cell>
          <cell r="D165" t="str">
            <v>M¹</v>
          </cell>
          <cell r="E165">
            <v>130309</v>
          </cell>
          <cell r="G165">
            <v>53862</v>
          </cell>
        </row>
        <row r="166">
          <cell r="A166">
            <v>76</v>
          </cell>
          <cell r="B166" t="str">
            <v>Pipa GIP Ø   6"</v>
          </cell>
          <cell r="D166" t="str">
            <v>M¹</v>
          </cell>
          <cell r="E166">
            <v>333359</v>
          </cell>
        </row>
        <row r="167">
          <cell r="A167">
            <v>77</v>
          </cell>
          <cell r="B167" t="str">
            <v>Pipa GIP Ø   8"</v>
          </cell>
          <cell r="D167" t="str">
            <v>M¹</v>
          </cell>
          <cell r="E167">
            <v>484922</v>
          </cell>
        </row>
        <row r="168">
          <cell r="A168">
            <v>78</v>
          </cell>
          <cell r="B168" t="str">
            <v>Pipa Leiding ½"</v>
          </cell>
          <cell r="D168" t="str">
            <v>Batang</v>
          </cell>
          <cell r="E168">
            <v>67800</v>
          </cell>
        </row>
        <row r="169">
          <cell r="A169">
            <v>79</v>
          </cell>
          <cell r="B169" t="str">
            <v>Pipa Leiding ¾"</v>
          </cell>
          <cell r="D169" t="str">
            <v>Batang</v>
          </cell>
          <cell r="E169">
            <v>90400</v>
          </cell>
        </row>
        <row r="170">
          <cell r="A170">
            <v>80</v>
          </cell>
          <cell r="B170" t="str">
            <v>Pipa Leiding 1"</v>
          </cell>
          <cell r="D170" t="str">
            <v>Batang</v>
          </cell>
          <cell r="E170">
            <v>119200</v>
          </cell>
        </row>
        <row r="171">
          <cell r="A171">
            <v>81</v>
          </cell>
          <cell r="B171" t="str">
            <v>Pipa Leiding 1½"</v>
          </cell>
          <cell r="D171" t="str">
            <v>M¹</v>
          </cell>
          <cell r="E171">
            <v>226500</v>
          </cell>
          <cell r="F171" t="str">
            <v>Batang</v>
          </cell>
          <cell r="G171">
            <v>5.8</v>
          </cell>
        </row>
        <row r="172">
          <cell r="A172">
            <v>82</v>
          </cell>
          <cell r="B172" t="str">
            <v>Pipa PVC  Seri S - 12,5 SCJ Ø   ½"</v>
          </cell>
          <cell r="D172" t="str">
            <v>M¹</v>
          </cell>
          <cell r="E172">
            <v>3500</v>
          </cell>
          <cell r="H172" t="str">
            <v>H. BM</v>
          </cell>
          <cell r="J172" t="str">
            <v>PT. JASARI</v>
          </cell>
        </row>
        <row r="173">
          <cell r="A173">
            <v>83</v>
          </cell>
          <cell r="B173" t="str">
            <v>Pipa PVC  Seri S - 12,5 SCJ Ø   ¾"</v>
          </cell>
          <cell r="D173" t="str">
            <v>M¹</v>
          </cell>
          <cell r="E173">
            <v>6900</v>
          </cell>
        </row>
        <row r="174">
          <cell r="A174">
            <v>84</v>
          </cell>
          <cell r="B174" t="str">
            <v>Pipa PVC  Seri S - 12,5 SCJ Ø 1"</v>
          </cell>
          <cell r="D174" t="str">
            <v>M¹</v>
          </cell>
          <cell r="E174">
            <v>4700</v>
          </cell>
          <cell r="G174" t="str">
            <v xml:space="preserve"> </v>
          </cell>
          <cell r="I174">
            <v>6</v>
          </cell>
        </row>
        <row r="175">
          <cell r="A175">
            <v>85</v>
          </cell>
          <cell r="B175" t="str">
            <v>Pipa PVC  Seri S - 12,5 SCJ Ø  1½"</v>
          </cell>
          <cell r="D175" t="str">
            <v>M¹</v>
          </cell>
          <cell r="E175">
            <v>6516.666666666667</v>
          </cell>
          <cell r="G175">
            <v>9390</v>
          </cell>
          <cell r="H175">
            <v>6516.666666666667</v>
          </cell>
          <cell r="I175">
            <v>39100</v>
          </cell>
        </row>
        <row r="176">
          <cell r="A176">
            <v>86</v>
          </cell>
          <cell r="B176" t="str">
            <v>Pipa PVC  Seri S - 12,5 SCJ Ø  2"</v>
          </cell>
          <cell r="D176" t="str">
            <v>M¹</v>
          </cell>
          <cell r="E176">
            <v>12905.3</v>
          </cell>
          <cell r="G176">
            <v>15576</v>
          </cell>
          <cell r="H176">
            <v>12550</v>
          </cell>
          <cell r="I176">
            <v>75300</v>
          </cell>
          <cell r="J176">
            <v>12905.3</v>
          </cell>
        </row>
        <row r="177">
          <cell r="A177">
            <v>87</v>
          </cell>
          <cell r="B177" t="str">
            <v>Pipa PVC  Seri S - 12,5 SCJ Ø  2½"</v>
          </cell>
          <cell r="D177" t="str">
            <v>M¹</v>
          </cell>
          <cell r="E177">
            <v>18619</v>
          </cell>
          <cell r="G177">
            <v>21120</v>
          </cell>
          <cell r="H177">
            <v>14120</v>
          </cell>
          <cell r="J177">
            <v>18619</v>
          </cell>
        </row>
        <row r="178">
          <cell r="A178">
            <v>88</v>
          </cell>
          <cell r="B178" t="str">
            <v>Pipa PVC  Seri S - 12,5 SCJ Ø  3"</v>
          </cell>
          <cell r="D178" t="str">
            <v>M¹</v>
          </cell>
          <cell r="E178">
            <v>25658.6</v>
          </cell>
          <cell r="G178">
            <v>31032</v>
          </cell>
          <cell r="H178">
            <v>17066.666666666668</v>
          </cell>
          <cell r="I178">
            <v>102400</v>
          </cell>
          <cell r="J178">
            <v>25658.6</v>
          </cell>
        </row>
        <row r="179">
          <cell r="A179">
            <v>89</v>
          </cell>
          <cell r="B179" t="str">
            <v>Pipa PVC  Seri S - 12,5 SCJ Ø  4"</v>
          </cell>
          <cell r="D179" t="str">
            <v>M¹</v>
          </cell>
          <cell r="E179">
            <v>38964</v>
          </cell>
          <cell r="G179">
            <v>46998</v>
          </cell>
          <cell r="H179">
            <v>29533.333333333332</v>
          </cell>
          <cell r="I179">
            <v>177200</v>
          </cell>
          <cell r="J179">
            <v>38964</v>
          </cell>
        </row>
        <row r="180">
          <cell r="A180">
            <v>90</v>
          </cell>
          <cell r="B180" t="str">
            <v>Pipa PVC  Seri S - 12,5 SCJ Ø  6"</v>
          </cell>
          <cell r="D180" t="str">
            <v>M¹</v>
          </cell>
          <cell r="E180">
            <v>82895</v>
          </cell>
          <cell r="H180">
            <v>60430</v>
          </cell>
          <cell r="I180">
            <v>362580</v>
          </cell>
          <cell r="J180">
            <v>82895</v>
          </cell>
        </row>
        <row r="181">
          <cell r="A181">
            <v>91</v>
          </cell>
          <cell r="B181" t="str">
            <v>Pipa PVC  Seri S - 12,5 SCJ Ø  8"</v>
          </cell>
          <cell r="D181" t="str">
            <v>M¹</v>
          </cell>
          <cell r="E181">
            <v>137088</v>
          </cell>
          <cell r="H181">
            <v>94125</v>
          </cell>
          <cell r="I181">
            <v>564750</v>
          </cell>
          <cell r="J181">
            <v>137088</v>
          </cell>
        </row>
        <row r="182">
          <cell r="A182">
            <v>92</v>
          </cell>
          <cell r="B182" t="str">
            <v>Reduser All Flange CI Ø   3" x 2"</v>
          </cell>
          <cell r="D182" t="str">
            <v>Buah</v>
          </cell>
          <cell r="E182">
            <v>200600.4</v>
          </cell>
        </row>
        <row r="183">
          <cell r="A183">
            <v>93</v>
          </cell>
          <cell r="B183" t="str">
            <v>Reduser All Flange CI Ø   4" x 2"</v>
          </cell>
          <cell r="D183" t="str">
            <v>Buah</v>
          </cell>
          <cell r="E183">
            <v>276447.59999999998</v>
          </cell>
        </row>
        <row r="184">
          <cell r="A184">
            <v>94</v>
          </cell>
          <cell r="B184" t="str">
            <v>Reduser All Flange CI Ø   4" x 3"</v>
          </cell>
          <cell r="D184" t="str">
            <v>Buah</v>
          </cell>
          <cell r="E184">
            <v>289832.40000000002</v>
          </cell>
        </row>
        <row r="185">
          <cell r="A185">
            <v>95</v>
          </cell>
          <cell r="B185" t="str">
            <v>Reduser All Flange CI Ø   6" x 3"</v>
          </cell>
          <cell r="D185" t="str">
            <v>Buah</v>
          </cell>
          <cell r="E185">
            <v>405834</v>
          </cell>
        </row>
        <row r="186">
          <cell r="A186">
            <v>96</v>
          </cell>
          <cell r="B186" t="str">
            <v>Reduser All Flange CI Ø   6" x 4"</v>
          </cell>
          <cell r="D186" t="str">
            <v>Buah</v>
          </cell>
          <cell r="E186">
            <v>499527.6</v>
          </cell>
        </row>
        <row r="187">
          <cell r="A187">
            <v>97</v>
          </cell>
          <cell r="B187" t="str">
            <v>Reduser All Flange CI Ø   8" x 6"</v>
          </cell>
          <cell r="D187" t="str">
            <v>Buah</v>
          </cell>
          <cell r="E187">
            <v>1052766</v>
          </cell>
        </row>
        <row r="188">
          <cell r="A188">
            <v>98</v>
          </cell>
          <cell r="B188" t="str">
            <v>Reducing Socket PVC Ø   ¾" x ½"</v>
          </cell>
          <cell r="D188" t="str">
            <v>Buah</v>
          </cell>
          <cell r="E188">
            <v>5500</v>
          </cell>
        </row>
        <row r="189">
          <cell r="A189">
            <v>99</v>
          </cell>
          <cell r="B189" t="str">
            <v>Reducing Socket PVC Ø   1" x ½"</v>
          </cell>
          <cell r="D189" t="str">
            <v>Buah</v>
          </cell>
          <cell r="E189">
            <v>7500</v>
          </cell>
        </row>
        <row r="190">
          <cell r="A190">
            <v>100</v>
          </cell>
          <cell r="B190" t="str">
            <v>Reducing Socket PVC Ø   1" x ¾"</v>
          </cell>
          <cell r="D190" t="str">
            <v>Buah</v>
          </cell>
          <cell r="E190">
            <v>10000</v>
          </cell>
        </row>
        <row r="191">
          <cell r="A191">
            <v>101</v>
          </cell>
          <cell r="B191" t="str">
            <v>Reducing Socket PVC Ø   1½" x 1"</v>
          </cell>
          <cell r="D191" t="str">
            <v>Buah</v>
          </cell>
          <cell r="E191">
            <v>35000</v>
          </cell>
        </row>
        <row r="192">
          <cell r="A192">
            <v>102</v>
          </cell>
          <cell r="B192" t="str">
            <v>Reducing Socket PVC Ø   2" x ½"</v>
          </cell>
          <cell r="D192" t="str">
            <v>Buah</v>
          </cell>
          <cell r="E192">
            <v>37750</v>
          </cell>
        </row>
        <row r="193">
          <cell r="A193">
            <v>103</v>
          </cell>
          <cell r="B193" t="str">
            <v>Reducing Socket PVC Ø   2" x ¾"</v>
          </cell>
          <cell r="D193" t="str">
            <v>Buah</v>
          </cell>
          <cell r="E193">
            <v>40000</v>
          </cell>
        </row>
        <row r="194">
          <cell r="A194">
            <v>104</v>
          </cell>
          <cell r="B194" t="str">
            <v>Reducing Socket PVC Ø   2" x 1"</v>
          </cell>
          <cell r="D194" t="str">
            <v>Buah</v>
          </cell>
          <cell r="E194">
            <v>45000</v>
          </cell>
        </row>
        <row r="195">
          <cell r="A195">
            <v>105</v>
          </cell>
          <cell r="B195" t="str">
            <v>Reducing Socket PVC Ø   2" x 1 ½"</v>
          </cell>
          <cell r="D195" t="str">
            <v>Buah</v>
          </cell>
          <cell r="E195">
            <v>47500</v>
          </cell>
        </row>
        <row r="196">
          <cell r="A196">
            <v>106</v>
          </cell>
          <cell r="B196" t="str">
            <v>Reducing Socket PVC Ø   3" x 1"</v>
          </cell>
          <cell r="D196" t="str">
            <v>Buah</v>
          </cell>
          <cell r="E196">
            <v>50000</v>
          </cell>
        </row>
        <row r="197">
          <cell r="A197">
            <v>107</v>
          </cell>
          <cell r="B197" t="str">
            <v>Reducing Socket PVC Ø   3" x 2"</v>
          </cell>
          <cell r="D197" t="str">
            <v>Buah</v>
          </cell>
          <cell r="E197">
            <v>20618</v>
          </cell>
          <cell r="J197">
            <v>20618</v>
          </cell>
        </row>
        <row r="198">
          <cell r="A198">
            <v>108</v>
          </cell>
          <cell r="B198" t="str">
            <v>Reducing Socket PVC Ø   4" x 2"</v>
          </cell>
          <cell r="D198" t="str">
            <v>Buah</v>
          </cell>
          <cell r="E198">
            <v>43502</v>
          </cell>
          <cell r="J198">
            <v>43502</v>
          </cell>
        </row>
        <row r="199">
          <cell r="A199">
            <v>109</v>
          </cell>
          <cell r="B199" t="str">
            <v>Reducing Socket PVC Ø   4" x 3"</v>
          </cell>
          <cell r="D199" t="str">
            <v>Buah</v>
          </cell>
          <cell r="E199">
            <v>36985</v>
          </cell>
          <cell r="J199">
            <v>36985</v>
          </cell>
        </row>
        <row r="200">
          <cell r="A200">
            <v>110</v>
          </cell>
          <cell r="B200" t="str">
            <v>Reducing Socket PVC Ø   8" x 4"</v>
          </cell>
          <cell r="D200" t="str">
            <v>Buah</v>
          </cell>
          <cell r="E200">
            <v>77220</v>
          </cell>
        </row>
        <row r="201">
          <cell r="A201">
            <v>111</v>
          </cell>
          <cell r="B201" t="str">
            <v>Reducing Socket PVC Ø   8" x 6"</v>
          </cell>
          <cell r="D201" t="str">
            <v>Buah</v>
          </cell>
          <cell r="E201">
            <v>77220</v>
          </cell>
        </row>
        <row r="202">
          <cell r="A202">
            <v>112</v>
          </cell>
          <cell r="B202" t="str">
            <v>Reservoar Air Rangka Baja ½ M³</v>
          </cell>
          <cell r="D202" t="str">
            <v>Unit</v>
          </cell>
          <cell r="E202">
            <v>19300710</v>
          </cell>
        </row>
        <row r="203">
          <cell r="A203">
            <v>113</v>
          </cell>
          <cell r="B203" t="str">
            <v>Reservoar Air Rangka Baja 1 M³</v>
          </cell>
          <cell r="D203" t="str">
            <v>Unit</v>
          </cell>
          <cell r="E203">
            <v>23423228.399999999</v>
          </cell>
        </row>
        <row r="204">
          <cell r="A204">
            <v>114</v>
          </cell>
          <cell r="B204" t="str">
            <v>Reservoar Air Rangka Baja 2 M³</v>
          </cell>
          <cell r="D204" t="str">
            <v>Unit</v>
          </cell>
          <cell r="E204" t="str">
            <v>-</v>
          </cell>
        </row>
        <row r="205">
          <cell r="A205">
            <v>115</v>
          </cell>
          <cell r="B205" t="str">
            <v>Reservoar Air Rangka Baja 3 M³</v>
          </cell>
          <cell r="D205" t="str">
            <v>Unit</v>
          </cell>
          <cell r="E205" t="str">
            <v>-</v>
          </cell>
        </row>
        <row r="206">
          <cell r="A206">
            <v>116</v>
          </cell>
          <cell r="B206" t="str">
            <v>Reservoar Air Rangka Baja 4 M³</v>
          </cell>
          <cell r="D206" t="str">
            <v>Unit</v>
          </cell>
          <cell r="E206" t="str">
            <v>-</v>
          </cell>
        </row>
        <row r="207">
          <cell r="A207">
            <v>117</v>
          </cell>
          <cell r="B207" t="str">
            <v>Reservoar Air Rangka Baja 5 M³</v>
          </cell>
          <cell r="D207" t="str">
            <v>Unit</v>
          </cell>
          <cell r="E207" t="str">
            <v>-</v>
          </cell>
        </row>
        <row r="208">
          <cell r="A208">
            <v>118</v>
          </cell>
          <cell r="B208" t="str">
            <v>Rubber Gasket 5 Mm</v>
          </cell>
          <cell r="D208" t="str">
            <v>Lbr</v>
          </cell>
          <cell r="E208">
            <v>420282.72</v>
          </cell>
        </row>
        <row r="209">
          <cell r="A209">
            <v>119</v>
          </cell>
          <cell r="B209" t="str">
            <v>Sock Drat Luar PVC Ø ½"</v>
          </cell>
          <cell r="D209" t="str">
            <v>Buah</v>
          </cell>
          <cell r="E209">
            <v>1500</v>
          </cell>
        </row>
        <row r="210">
          <cell r="A210">
            <v>120</v>
          </cell>
          <cell r="B210" t="str">
            <v>Sock Drat Luar PVC Ø ¾""</v>
          </cell>
          <cell r="D210" t="str">
            <v>Buah</v>
          </cell>
          <cell r="E210">
            <v>5000</v>
          </cell>
        </row>
        <row r="211">
          <cell r="A211">
            <v>121</v>
          </cell>
          <cell r="B211" t="str">
            <v>Sock Drat Luar PVC Ø 1"</v>
          </cell>
          <cell r="D211" t="str">
            <v>Buah</v>
          </cell>
          <cell r="E211">
            <v>7500</v>
          </cell>
        </row>
        <row r="212">
          <cell r="A212">
            <v>122</v>
          </cell>
          <cell r="B212" t="str">
            <v>Sock Drat Luar PVC Ø 2"</v>
          </cell>
          <cell r="D212" t="str">
            <v>Buah</v>
          </cell>
          <cell r="E212">
            <v>17500</v>
          </cell>
        </row>
        <row r="213">
          <cell r="A213">
            <v>123</v>
          </cell>
          <cell r="B213" t="str">
            <v>Sock Drat Luar PVC Ø 3"</v>
          </cell>
          <cell r="D213" t="str">
            <v>Buah</v>
          </cell>
          <cell r="E213">
            <v>20000</v>
          </cell>
        </row>
        <row r="214">
          <cell r="A214">
            <v>124</v>
          </cell>
          <cell r="B214" t="str">
            <v>Sock Drat Luar PVC Ø 4"</v>
          </cell>
          <cell r="D214" t="str">
            <v>Buah</v>
          </cell>
          <cell r="E214">
            <v>25000</v>
          </cell>
          <cell r="G214">
            <v>2.88</v>
          </cell>
        </row>
        <row r="215">
          <cell r="A215">
            <v>125</v>
          </cell>
          <cell r="B215" t="str">
            <v>Sock Drat Luar GIP Ø ½"</v>
          </cell>
          <cell r="D215" t="str">
            <v>Buah</v>
          </cell>
          <cell r="E215">
            <v>10000</v>
          </cell>
        </row>
        <row r="216">
          <cell r="A216">
            <v>126</v>
          </cell>
          <cell r="B216" t="str">
            <v>Sock Drat Luar GIP Ø ¾""</v>
          </cell>
          <cell r="D216" t="str">
            <v>Buah</v>
          </cell>
          <cell r="E216">
            <v>20000</v>
          </cell>
        </row>
        <row r="217">
          <cell r="A217">
            <v>127</v>
          </cell>
          <cell r="B217" t="str">
            <v>Sock Drat Luar GIP Ø 1"</v>
          </cell>
          <cell r="D217" t="str">
            <v>Buah</v>
          </cell>
          <cell r="E217">
            <v>25000</v>
          </cell>
        </row>
        <row r="218">
          <cell r="A218">
            <v>128</v>
          </cell>
          <cell r="B218" t="str">
            <v>Sock Drat Luar GIP Ø 2"</v>
          </cell>
          <cell r="D218" t="str">
            <v>Buah</v>
          </cell>
          <cell r="E218">
            <v>40000</v>
          </cell>
          <cell r="G218">
            <v>36000</v>
          </cell>
        </row>
        <row r="219">
          <cell r="A219">
            <v>129</v>
          </cell>
          <cell r="B219" t="str">
            <v>Sock Drat Luar GIP Ø 3"</v>
          </cell>
          <cell r="D219" t="str">
            <v>Buah</v>
          </cell>
          <cell r="E219">
            <v>50000</v>
          </cell>
        </row>
        <row r="220">
          <cell r="A220">
            <v>130</v>
          </cell>
          <cell r="B220" t="str">
            <v>Sock Drat Luar GIP Ø 4"</v>
          </cell>
          <cell r="D220" t="str">
            <v>Buah</v>
          </cell>
          <cell r="E220">
            <v>75000</v>
          </cell>
          <cell r="G220">
            <v>108000</v>
          </cell>
        </row>
        <row r="221">
          <cell r="A221">
            <v>131</v>
          </cell>
          <cell r="B221" t="str">
            <v>Stop Krant Ø   ½"</v>
          </cell>
          <cell r="D221" t="str">
            <v>Buah</v>
          </cell>
          <cell r="E221">
            <v>41939.040000000001</v>
          </cell>
        </row>
        <row r="222">
          <cell r="A222">
            <v>132</v>
          </cell>
          <cell r="B222" t="str">
            <v>Stop Krant Ø   ¾"</v>
          </cell>
          <cell r="D222" t="str">
            <v>Buah</v>
          </cell>
          <cell r="E222">
            <v>54431.519999999997</v>
          </cell>
        </row>
        <row r="223">
          <cell r="A223">
            <v>133</v>
          </cell>
          <cell r="B223" t="str">
            <v>Stop Krant Ø    1"</v>
          </cell>
          <cell r="D223" t="str">
            <v>Buah</v>
          </cell>
          <cell r="E223">
            <v>66254.759999999995</v>
          </cell>
        </row>
        <row r="224">
          <cell r="A224">
            <v>134</v>
          </cell>
          <cell r="B224" t="str">
            <v>Stop Krant Ø    1 ½"</v>
          </cell>
          <cell r="D224" t="str">
            <v>Buah</v>
          </cell>
          <cell r="E224">
            <v>68820.179999999993</v>
          </cell>
        </row>
        <row r="225">
          <cell r="A225">
            <v>135</v>
          </cell>
          <cell r="B225" t="str">
            <v>Stop Krant Ø    2"</v>
          </cell>
          <cell r="D225" t="str">
            <v>Buah</v>
          </cell>
          <cell r="E225">
            <v>71385.600000000006</v>
          </cell>
        </row>
        <row r="226">
          <cell r="A226">
            <v>136</v>
          </cell>
          <cell r="B226" t="str">
            <v>Stop Krant Ø    3"</v>
          </cell>
          <cell r="D226" t="str">
            <v>Buah</v>
          </cell>
          <cell r="E226">
            <v>133848</v>
          </cell>
        </row>
        <row r="227">
          <cell r="A227">
            <v>137</v>
          </cell>
          <cell r="B227" t="str">
            <v>Stop Krant Ø    4"</v>
          </cell>
          <cell r="D227" t="str">
            <v>Buah</v>
          </cell>
          <cell r="E227">
            <v>200772</v>
          </cell>
        </row>
        <row r="228">
          <cell r="A228">
            <v>138</v>
          </cell>
          <cell r="B228" t="str">
            <v>Tee All Flange CI Ø   2" x  2"</v>
          </cell>
          <cell r="D228" t="str">
            <v>Buah</v>
          </cell>
          <cell r="E228">
            <v>376782.12</v>
          </cell>
        </row>
        <row r="229">
          <cell r="A229">
            <v>139</v>
          </cell>
          <cell r="B229" t="str">
            <v>Tee All Flange CI Ø   3" x  2"</v>
          </cell>
          <cell r="D229" t="str">
            <v>Buah</v>
          </cell>
          <cell r="E229">
            <v>840788.52</v>
          </cell>
        </row>
        <row r="230">
          <cell r="A230">
            <v>140</v>
          </cell>
          <cell r="B230" t="str">
            <v>Tee All Flange CI Ø   3" x  3"</v>
          </cell>
          <cell r="D230" t="str">
            <v>Buah</v>
          </cell>
          <cell r="E230">
            <v>898789.32</v>
          </cell>
        </row>
        <row r="231">
          <cell r="A231">
            <v>141</v>
          </cell>
          <cell r="B231" t="str">
            <v>Tee All Flange CI Ø   6" x  4"</v>
          </cell>
          <cell r="D231" t="str">
            <v>Buah</v>
          </cell>
          <cell r="E231">
            <v>1864502.64</v>
          </cell>
        </row>
        <row r="232">
          <cell r="A232">
            <v>142</v>
          </cell>
          <cell r="B232" t="str">
            <v>Tee All Flange CI Ø   6" x  6"</v>
          </cell>
          <cell r="D232" t="str">
            <v>Buah</v>
          </cell>
          <cell r="E232">
            <v>1899303.12</v>
          </cell>
        </row>
        <row r="233">
          <cell r="A233">
            <v>143</v>
          </cell>
          <cell r="B233" t="str">
            <v>Tee All Flange CI Ø   8" x  3"</v>
          </cell>
          <cell r="D233" t="str">
            <v>Buah</v>
          </cell>
          <cell r="E233">
            <v>2087805.72</v>
          </cell>
        </row>
        <row r="234">
          <cell r="A234">
            <v>144</v>
          </cell>
          <cell r="B234" t="str">
            <v>Tee All Flange CI Ø   8" x  4"</v>
          </cell>
          <cell r="D234" t="str">
            <v>Buah</v>
          </cell>
          <cell r="E234">
            <v>2290808.52</v>
          </cell>
        </row>
        <row r="235">
          <cell r="A235">
            <v>145</v>
          </cell>
          <cell r="B235" t="str">
            <v>Tee All Flange CI Ø   8" x  6"</v>
          </cell>
          <cell r="D235" t="str">
            <v>Buah</v>
          </cell>
          <cell r="E235">
            <v>2580812.52</v>
          </cell>
        </row>
        <row r="236">
          <cell r="A236">
            <v>146</v>
          </cell>
          <cell r="B236" t="str">
            <v>Tee All Flange CI Ø   8" x  8"</v>
          </cell>
          <cell r="D236" t="str">
            <v>Buah</v>
          </cell>
          <cell r="E236">
            <v>2725814.52</v>
          </cell>
        </row>
        <row r="237">
          <cell r="A237">
            <v>147</v>
          </cell>
          <cell r="B237" t="str">
            <v>Tee GIP Ø ½" x ½"</v>
          </cell>
          <cell r="D237" t="str">
            <v>Buah</v>
          </cell>
          <cell r="E237">
            <v>26434.98</v>
          </cell>
        </row>
        <row r="238">
          <cell r="A238">
            <v>148</v>
          </cell>
          <cell r="B238" t="str">
            <v>Tee GIP Ø ¾" x ¾"</v>
          </cell>
          <cell r="D238" t="str">
            <v>Buah</v>
          </cell>
          <cell r="E238">
            <v>27996.54</v>
          </cell>
        </row>
        <row r="239">
          <cell r="A239">
            <v>149</v>
          </cell>
          <cell r="B239" t="str">
            <v>Tee GIP Ø  1" x  1"</v>
          </cell>
          <cell r="D239" t="str">
            <v>Buah</v>
          </cell>
          <cell r="E239">
            <v>47069.88</v>
          </cell>
        </row>
        <row r="240">
          <cell r="A240">
            <v>150</v>
          </cell>
          <cell r="B240" t="str">
            <v>Tee GIP Ø  2" x  2"</v>
          </cell>
          <cell r="D240" t="str">
            <v>Buah</v>
          </cell>
          <cell r="E240">
            <v>60231.6</v>
          </cell>
        </row>
        <row r="241">
          <cell r="A241">
            <v>151</v>
          </cell>
          <cell r="B241" t="str">
            <v>Tee GIP Ø  3"  x  3"</v>
          </cell>
          <cell r="D241" t="str">
            <v>Buah</v>
          </cell>
          <cell r="E241">
            <v>64916.28</v>
          </cell>
        </row>
        <row r="242">
          <cell r="A242">
            <v>152</v>
          </cell>
          <cell r="B242" t="str">
            <v>Tee Socket PVC Ø  ½" x  ½"</v>
          </cell>
          <cell r="D242" t="str">
            <v>Buah</v>
          </cell>
          <cell r="E242">
            <v>2500</v>
          </cell>
        </row>
        <row r="243">
          <cell r="A243">
            <v>153</v>
          </cell>
          <cell r="B243" t="str">
            <v>Tee Socket PVC Ø  ¾" x  ½"</v>
          </cell>
          <cell r="D243" t="str">
            <v>Buah</v>
          </cell>
          <cell r="E243">
            <v>5000</v>
          </cell>
        </row>
        <row r="244">
          <cell r="A244">
            <v>154</v>
          </cell>
          <cell r="B244" t="str">
            <v>Tee Socket PVC Ø  ¾" x  ¾"</v>
          </cell>
          <cell r="D244" t="str">
            <v>Buah</v>
          </cell>
          <cell r="E244">
            <v>7500</v>
          </cell>
        </row>
        <row r="245">
          <cell r="A245">
            <v>155</v>
          </cell>
          <cell r="B245" t="str">
            <v>Tee Socket PVC Ø   1" x  ½"</v>
          </cell>
          <cell r="D245" t="str">
            <v>Buah</v>
          </cell>
          <cell r="E245">
            <v>10000</v>
          </cell>
        </row>
        <row r="246">
          <cell r="A246">
            <v>156</v>
          </cell>
          <cell r="B246" t="str">
            <v>Tee Socket PVC Ø   1" x  ¾"</v>
          </cell>
          <cell r="D246" t="str">
            <v>Buah</v>
          </cell>
          <cell r="E246">
            <v>10000</v>
          </cell>
        </row>
        <row r="247">
          <cell r="A247">
            <v>157</v>
          </cell>
          <cell r="B247" t="str">
            <v>Tee Socket PVC Ø   1" x   1"</v>
          </cell>
          <cell r="D247" t="str">
            <v>Buah</v>
          </cell>
          <cell r="E247">
            <v>10750</v>
          </cell>
        </row>
        <row r="248">
          <cell r="A248">
            <v>158</v>
          </cell>
          <cell r="B248" t="str">
            <v>Tee Socket PVC Ø   2" x   2"</v>
          </cell>
          <cell r="D248" t="str">
            <v>Buah</v>
          </cell>
          <cell r="E248">
            <v>29189</v>
          </cell>
          <cell r="J248">
            <v>29189</v>
          </cell>
        </row>
        <row r="249">
          <cell r="A249">
            <v>159</v>
          </cell>
          <cell r="B249" t="str">
            <v>Tee Socket PVC Ø   3" x   2"</v>
          </cell>
          <cell r="D249" t="str">
            <v>Buah</v>
          </cell>
          <cell r="E249">
            <v>48999</v>
          </cell>
          <cell r="J249">
            <v>48999</v>
          </cell>
        </row>
        <row r="250">
          <cell r="A250">
            <v>160</v>
          </cell>
          <cell r="B250" t="str">
            <v>Tee Socket PVC Ø   3" x   3"</v>
          </cell>
          <cell r="D250" t="str">
            <v>Buah</v>
          </cell>
          <cell r="E250">
            <v>48817</v>
          </cell>
          <cell r="J250">
            <v>48817</v>
          </cell>
        </row>
        <row r="251">
          <cell r="A251">
            <v>161</v>
          </cell>
          <cell r="B251" t="str">
            <v>Tee Socket PVC Ø   4" x   4"</v>
          </cell>
          <cell r="D251" t="str">
            <v>Buah</v>
          </cell>
          <cell r="E251">
            <v>87618</v>
          </cell>
          <cell r="J251">
            <v>87618</v>
          </cell>
        </row>
        <row r="252">
          <cell r="A252">
            <v>162</v>
          </cell>
          <cell r="B252" t="str">
            <v>Tee Socket PVC Ø   8" x   4"</v>
          </cell>
          <cell r="D252" t="str">
            <v>Buah</v>
          </cell>
          <cell r="E252">
            <v>176010.12</v>
          </cell>
        </row>
        <row r="253">
          <cell r="A253">
            <v>163</v>
          </cell>
          <cell r="B253" t="str">
            <v>Tee Socket PVC Ø   8" x   6"</v>
          </cell>
          <cell r="D253" t="str">
            <v>Buah</v>
          </cell>
          <cell r="E253">
            <v>193856.52</v>
          </cell>
        </row>
        <row r="254">
          <cell r="A254">
            <v>164</v>
          </cell>
          <cell r="B254" t="str">
            <v>Tee Socket PVC Ø   8" x   8"</v>
          </cell>
          <cell r="D254" t="str">
            <v>Buah</v>
          </cell>
          <cell r="E254">
            <v>209472.12</v>
          </cell>
        </row>
        <row r="255">
          <cell r="A255">
            <v>165</v>
          </cell>
          <cell r="B255" t="str">
            <v>Tee Socket PVC Ø 10" x   3"</v>
          </cell>
          <cell r="D255" t="str">
            <v>Buah</v>
          </cell>
          <cell r="E255">
            <v>239811</v>
          </cell>
        </row>
        <row r="256">
          <cell r="A256">
            <v>166</v>
          </cell>
          <cell r="B256" t="str">
            <v>Water Meter Type MD-300  Ø ½"</v>
          </cell>
          <cell r="D256" t="str">
            <v>Buah</v>
          </cell>
          <cell r="E256">
            <v>151500</v>
          </cell>
        </row>
        <row r="257">
          <cell r="A257">
            <v>167</v>
          </cell>
          <cell r="B257" t="str">
            <v>Water Meter Ø   2"</v>
          </cell>
          <cell r="D257" t="str">
            <v>Buah</v>
          </cell>
          <cell r="E257">
            <v>2028000</v>
          </cell>
        </row>
        <row r="258">
          <cell r="A258">
            <v>168</v>
          </cell>
          <cell r="B258" t="str">
            <v>Water Meter Ø   3"</v>
          </cell>
          <cell r="D258" t="str">
            <v>Buah</v>
          </cell>
          <cell r="E258">
            <v>0</v>
          </cell>
        </row>
        <row r="259">
          <cell r="A259">
            <v>169</v>
          </cell>
          <cell r="B259" t="str">
            <v>Water Meter Ø   4"</v>
          </cell>
          <cell r="D259" t="str">
            <v>Buah</v>
          </cell>
          <cell r="E259">
            <v>0</v>
          </cell>
        </row>
        <row r="260">
          <cell r="A260">
            <v>170</v>
          </cell>
          <cell r="B260" t="str">
            <v>Water Meter Ø   6"</v>
          </cell>
          <cell r="D260" t="str">
            <v>Buah</v>
          </cell>
          <cell r="E260">
            <v>0</v>
          </cell>
        </row>
        <row r="261">
          <cell r="A261">
            <v>171</v>
          </cell>
          <cell r="B261" t="str">
            <v>Water Meter Ø   8"</v>
          </cell>
          <cell r="D261" t="str">
            <v>Buah</v>
          </cell>
          <cell r="E261">
            <v>0</v>
          </cell>
        </row>
        <row r="262">
          <cell r="A262">
            <v>172</v>
          </cell>
          <cell r="B262" t="str">
            <v>Bend Socket PVC Ø   1" x 45°</v>
          </cell>
          <cell r="D262" t="str">
            <v>Buah</v>
          </cell>
          <cell r="E262">
            <v>26200</v>
          </cell>
        </row>
        <row r="263">
          <cell r="A263">
            <v>173</v>
          </cell>
          <cell r="B263" t="str">
            <v>Bend Socket PVC Ø   ¾" x 45°</v>
          </cell>
          <cell r="D263" t="str">
            <v>Buah</v>
          </cell>
          <cell r="E263">
            <v>15000</v>
          </cell>
        </row>
        <row r="264">
          <cell r="A264">
            <v>174</v>
          </cell>
          <cell r="B264" t="str">
            <v>Lost Flage Ø 50 mm</v>
          </cell>
          <cell r="D264" t="str">
            <v>Buah</v>
          </cell>
          <cell r="E264">
            <v>49335</v>
          </cell>
        </row>
        <row r="265">
          <cell r="A265">
            <v>175</v>
          </cell>
          <cell r="B265" t="str">
            <v>Band All GIV Ø 50 mm</v>
          </cell>
          <cell r="D265" t="str">
            <v>Buah</v>
          </cell>
          <cell r="E265">
            <v>112500</v>
          </cell>
        </row>
        <row r="266">
          <cell r="A266">
            <v>176</v>
          </cell>
          <cell r="B266" t="str">
            <v>Baut 24 x 2 "</v>
          </cell>
          <cell r="D266" t="str">
            <v>Buah</v>
          </cell>
          <cell r="E266">
            <v>3000</v>
          </cell>
        </row>
        <row r="267">
          <cell r="A267">
            <v>177</v>
          </cell>
          <cell r="B267" t="str">
            <v>Reng</v>
          </cell>
          <cell r="D267" t="str">
            <v>Buah</v>
          </cell>
          <cell r="E267">
            <v>500</v>
          </cell>
        </row>
        <row r="268">
          <cell r="A268">
            <v>178</v>
          </cell>
          <cell r="B268" t="str">
            <v>Gasket/ Paking</v>
          </cell>
          <cell r="D268" t="str">
            <v>Buah</v>
          </cell>
          <cell r="E268">
            <v>26598</v>
          </cell>
        </row>
        <row r="269">
          <cell r="A269">
            <v>179</v>
          </cell>
          <cell r="B269" t="str">
            <v>Lost All Flange Steel Ø 50 mm</v>
          </cell>
          <cell r="D269" t="str">
            <v>Buah</v>
          </cell>
          <cell r="E269">
            <v>49335</v>
          </cell>
        </row>
        <row r="270">
          <cell r="A270">
            <v>180</v>
          </cell>
          <cell r="B270" t="str">
            <v>Lost All Flange Steel Ø 75 mm</v>
          </cell>
          <cell r="D270" t="str">
            <v>Buah</v>
          </cell>
          <cell r="E270">
            <v>148000</v>
          </cell>
        </row>
        <row r="271">
          <cell r="A271">
            <v>181</v>
          </cell>
          <cell r="B271" t="str">
            <v>Lost All Flange Steel Ø 100 mm</v>
          </cell>
          <cell r="D271" t="str">
            <v>Buah</v>
          </cell>
          <cell r="E271">
            <v>170000</v>
          </cell>
        </row>
        <row r="272">
          <cell r="A272">
            <v>182</v>
          </cell>
          <cell r="B272" t="str">
            <v>Lost All Flange Steel Ø 150 mm</v>
          </cell>
          <cell r="D272" t="str">
            <v>Buah</v>
          </cell>
          <cell r="E272">
            <v>200000</v>
          </cell>
        </row>
        <row r="273">
          <cell r="A273">
            <v>183</v>
          </cell>
          <cell r="B273" t="str">
            <v xml:space="preserve">Bend All GIV Ø 50 mm x 90º </v>
          </cell>
          <cell r="D273" t="str">
            <v>Buah</v>
          </cell>
          <cell r="E273">
            <v>137500</v>
          </cell>
        </row>
        <row r="274">
          <cell r="A274">
            <v>184</v>
          </cell>
          <cell r="B274" t="str">
            <v xml:space="preserve">Bend All GIV Ø 50 mm x 45º </v>
          </cell>
          <cell r="D274" t="str">
            <v>Buah</v>
          </cell>
          <cell r="E274">
            <v>112500</v>
          </cell>
        </row>
        <row r="275">
          <cell r="A275">
            <v>185</v>
          </cell>
          <cell r="B275" t="str">
            <v xml:space="preserve">Bend All GIV Ø 75 mm x 90º </v>
          </cell>
          <cell r="D275" t="str">
            <v>Buah</v>
          </cell>
          <cell r="E275">
            <v>400000</v>
          </cell>
        </row>
        <row r="276">
          <cell r="A276">
            <v>186</v>
          </cell>
          <cell r="B276" t="str">
            <v xml:space="preserve">Bend All GIV Ø 75 mm x 45º </v>
          </cell>
          <cell r="D276" t="str">
            <v>Buah</v>
          </cell>
          <cell r="E276">
            <v>350000</v>
          </cell>
        </row>
        <row r="277">
          <cell r="A277">
            <v>187</v>
          </cell>
          <cell r="B277" t="str">
            <v xml:space="preserve">Bend All GIV Ø 100 mm x 90º </v>
          </cell>
          <cell r="D277" t="str">
            <v>Buah</v>
          </cell>
          <cell r="E277">
            <v>500000</v>
          </cell>
        </row>
        <row r="278">
          <cell r="A278">
            <v>188</v>
          </cell>
          <cell r="B278" t="str">
            <v xml:space="preserve">Bend All GIV Ø 100 mm x 45º </v>
          </cell>
          <cell r="D278" t="str">
            <v>Buah</v>
          </cell>
          <cell r="E278">
            <v>450000</v>
          </cell>
        </row>
        <row r="279">
          <cell r="A279">
            <v>189</v>
          </cell>
          <cell r="B279" t="str">
            <v xml:space="preserve">Bend All GIV Ø 150 mm x 90º </v>
          </cell>
          <cell r="D279" t="str">
            <v>Buah</v>
          </cell>
          <cell r="E279">
            <v>650000</v>
          </cell>
        </row>
        <row r="280">
          <cell r="A280">
            <v>190</v>
          </cell>
          <cell r="B280" t="str">
            <v xml:space="preserve">Bend All GIV Ø 150 mm x 45º </v>
          </cell>
          <cell r="D280" t="str">
            <v>Buah</v>
          </cell>
          <cell r="E280">
            <v>650000</v>
          </cell>
        </row>
        <row r="281">
          <cell r="A281">
            <v>191</v>
          </cell>
          <cell r="B281" t="str">
            <v>Tee All Flange PVC Ø 100 mm x 75 mm</v>
          </cell>
          <cell r="D281" t="str">
            <v>Buah</v>
          </cell>
          <cell r="E281">
            <v>92034</v>
          </cell>
        </row>
        <row r="282">
          <cell r="A282">
            <v>192</v>
          </cell>
          <cell r="B282" t="str">
            <v>Tee Socket PVC Ø 1 x 1½</v>
          </cell>
          <cell r="D282" t="str">
            <v>Buah</v>
          </cell>
          <cell r="E282">
            <v>25312</v>
          </cell>
        </row>
        <row r="283">
          <cell r="A283">
            <v>193</v>
          </cell>
          <cell r="B283" t="str">
            <v>Elbow PVC Ø 40 mm</v>
          </cell>
          <cell r="D283" t="str">
            <v>Buah</v>
          </cell>
          <cell r="E283">
            <v>20000</v>
          </cell>
        </row>
        <row r="284">
          <cell r="A284">
            <v>194</v>
          </cell>
          <cell r="B284" t="str">
            <v>Minyak Bekisting</v>
          </cell>
          <cell r="D284" t="str">
            <v>Ltr</v>
          </cell>
          <cell r="E284">
            <v>13500</v>
          </cell>
        </row>
        <row r="286">
          <cell r="A286">
            <v>195</v>
          </cell>
          <cell r="B286" t="str">
            <v>Plywood tebal 9 mm</v>
          </cell>
          <cell r="D286" t="str">
            <v>Lbr</v>
          </cell>
          <cell r="E286">
            <v>108000</v>
          </cell>
        </row>
        <row r="287">
          <cell r="A287">
            <v>196</v>
          </cell>
          <cell r="B287" t="str">
            <v>Dolken Kayu Galam Ø 8-10/4 m</v>
          </cell>
          <cell r="D287" t="str">
            <v>Batang</v>
          </cell>
          <cell r="E287">
            <v>35000</v>
          </cell>
        </row>
        <row r="288">
          <cell r="A288">
            <v>197</v>
          </cell>
          <cell r="B288" t="str">
            <v>Formtie/Penjaga Jarak Bekisting/Spacer</v>
          </cell>
          <cell r="D288" t="str">
            <v>Buah</v>
          </cell>
          <cell r="E288">
            <v>3000</v>
          </cell>
        </row>
        <row r="289">
          <cell r="A289">
            <v>198</v>
          </cell>
          <cell r="B289" t="str">
            <v>Koral Beton</v>
          </cell>
          <cell r="D289" t="str">
            <v>M³</v>
          </cell>
          <cell r="E289">
            <v>98000</v>
          </cell>
        </row>
        <row r="290">
          <cell r="A290">
            <v>199</v>
          </cell>
          <cell r="B290" t="str">
            <v>Double Nevel Ø 50 mm</v>
          </cell>
          <cell r="D290" t="str">
            <v>Buah</v>
          </cell>
          <cell r="E290">
            <v>40469</v>
          </cell>
        </row>
        <row r="291">
          <cell r="A291">
            <v>200</v>
          </cell>
          <cell r="B291" t="str">
            <v>Pipa Ulir Ø 3/4"</v>
          </cell>
          <cell r="D291" t="str">
            <v>M</v>
          </cell>
          <cell r="E291">
            <v>24404</v>
          </cell>
        </row>
        <row r="292">
          <cell r="A292">
            <v>201</v>
          </cell>
          <cell r="B292" t="str">
            <v>Pipa Ulir Ø 1/2"</v>
          </cell>
          <cell r="D292" t="str">
            <v>M</v>
          </cell>
          <cell r="E292">
            <v>21258</v>
          </cell>
        </row>
        <row r="293">
          <cell r="A293">
            <v>202</v>
          </cell>
          <cell r="B293" t="str">
            <v>Double Nevel Ø 3/4 x 1/2</v>
          </cell>
          <cell r="D293" t="str">
            <v>Buah</v>
          </cell>
          <cell r="E293">
            <v>10000</v>
          </cell>
        </row>
        <row r="294">
          <cell r="A294">
            <v>203</v>
          </cell>
          <cell r="B294" t="str">
            <v>Elbow Drat  3/4</v>
          </cell>
          <cell r="D294" t="str">
            <v>Buah</v>
          </cell>
          <cell r="E294">
            <v>7000</v>
          </cell>
        </row>
        <row r="295">
          <cell r="A295">
            <v>204</v>
          </cell>
          <cell r="B295" t="str">
            <v>Elbow Drat 1/2</v>
          </cell>
          <cell r="D295" t="str">
            <v>Buah</v>
          </cell>
          <cell r="E295">
            <v>6000</v>
          </cell>
        </row>
        <row r="296">
          <cell r="A296">
            <v>205</v>
          </cell>
          <cell r="B296" t="str">
            <v>Pipa Sarung GIV Ø 65 mm</v>
          </cell>
          <cell r="D296" t="str">
            <v>M</v>
          </cell>
          <cell r="E296">
            <v>45000</v>
          </cell>
        </row>
        <row r="297">
          <cell r="A297">
            <v>206</v>
          </cell>
          <cell r="B297" t="str">
            <v>Pipa Sarung GIV Ø 50mm</v>
          </cell>
          <cell r="D297" t="str">
            <v>M</v>
          </cell>
          <cell r="E297">
            <v>40000</v>
          </cell>
        </row>
        <row r="299">
          <cell r="D299" t="str">
            <v>Redelong, 25 Desember 2006</v>
          </cell>
        </row>
        <row r="300">
          <cell r="B300" t="str">
            <v>Menyetujui :</v>
          </cell>
          <cell r="D300" t="str">
            <v>Dibuat Oleh :</v>
          </cell>
        </row>
        <row r="301">
          <cell r="B301" t="str">
            <v>PENGENDALI KEGIATAN</v>
          </cell>
          <cell r="D301" t="str">
            <v>CV. CEUDAH CONSULTANT</v>
          </cell>
        </row>
        <row r="307">
          <cell r="B307" t="str">
            <v>FITRA GUNAWAN. AP</v>
          </cell>
          <cell r="D307" t="str">
            <v>M. Z A N I R, BE</v>
          </cell>
        </row>
        <row r="308">
          <cell r="B308" t="str">
            <v xml:space="preserve">   NIP. 010 249 146</v>
          </cell>
          <cell r="D308" t="str">
            <v>Direktur</v>
          </cell>
        </row>
        <row r="310">
          <cell r="A310" t="str">
            <v>Mengetahui,</v>
          </cell>
        </row>
        <row r="311">
          <cell r="A311" t="str">
            <v>KEPALA BAPEDA</v>
          </cell>
        </row>
        <row r="312">
          <cell r="A312" t="str">
            <v>KABUPATEN BENER MERIAH</v>
          </cell>
        </row>
        <row r="317">
          <cell r="A317" t="str">
            <v>Ir. AZWIRIANSYAH</v>
          </cell>
        </row>
        <row r="318">
          <cell r="A318" t="str">
            <v>NIP. 390 011 969</v>
          </cell>
        </row>
      </sheetData>
      <sheetData sheetId="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Srt-Twr"/>
      <sheetName val="Harga Bahan"/>
      <sheetName val="Daf Kuantitas &amp; Harga"/>
      <sheetName val="Rekapitulasi"/>
      <sheetName val="Jad-qurve S"/>
      <sheetName val="Analisa Harga"/>
    </sheetNames>
    <sheetDataSet>
      <sheetData sheetId="0"/>
      <sheetData sheetId="1"/>
      <sheetData sheetId="2" refreshError="1">
        <row r="146">
          <cell r="H146">
            <v>45000</v>
          </cell>
        </row>
        <row r="147">
          <cell r="H147">
            <v>50000</v>
          </cell>
        </row>
        <row r="149">
          <cell r="H149">
            <v>35000</v>
          </cell>
        </row>
        <row r="150">
          <cell r="H150">
            <v>40000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DFT KUAN&amp;HRG"/>
      <sheetName val="ANALISA"/>
      <sheetName val="ANAL AB"/>
      <sheetName val="d personil"/>
      <sheetName val="UPH &amp; BHN"/>
      <sheetName val="ANAL TEK"/>
      <sheetName val="METODA LAKSANAN"/>
      <sheetName val="d alat"/>
      <sheetName val="jadual"/>
    </sheetNames>
    <sheetDataSet>
      <sheetData sheetId="0"/>
      <sheetData sheetId="1"/>
      <sheetData sheetId="2"/>
      <sheetData sheetId="3"/>
      <sheetData sheetId="4"/>
      <sheetData sheetId="5">
        <row r="9">
          <cell r="F9">
            <v>45000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kp"/>
      <sheetName val="Kuan"/>
      <sheetName val="Har Sat"/>
      <sheetName val="Har. Das"/>
      <sheetName val="M.P.U"/>
      <sheetName val="Mob"/>
      <sheetName val="ANMOS"/>
      <sheetName val="Jad. Alat"/>
      <sheetName val="T. Shed"/>
      <sheetName val="Sub. Kon"/>
      <sheetName val="List"/>
      <sheetName val="6.a &amp;6,b"/>
      <sheetName val="Catatan"/>
      <sheetName val="Anls Alat"/>
      <sheetName val="Anls Bahan"/>
      <sheetName val="Sheet1"/>
      <sheetName val="Div 2-5"/>
      <sheetName val="Div 6"/>
      <sheetName val="Div 7-8"/>
      <sheetName val="Div 9-10"/>
    </sheetNames>
    <sheetDataSet>
      <sheetData sheetId="0" refreshError="1">
        <row r="17">
          <cell r="K17">
            <v>42200000</v>
          </cell>
        </row>
        <row r="19">
          <cell r="K19">
            <v>16737300</v>
          </cell>
        </row>
        <row r="21">
          <cell r="K21">
            <v>85570720</v>
          </cell>
        </row>
        <row r="23">
          <cell r="K23">
            <v>0</v>
          </cell>
        </row>
        <row r="25">
          <cell r="K25">
            <v>1002662910</v>
          </cell>
        </row>
        <row r="29">
          <cell r="K29">
            <v>29609370</v>
          </cell>
        </row>
        <row r="35">
          <cell r="K35">
            <v>0</v>
          </cell>
        </row>
        <row r="38">
          <cell r="J38">
            <v>1795228350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D3" t="str">
            <v>Banda Aceh, 27 Februari 2004</v>
          </cell>
        </row>
        <row r="4">
          <cell r="D4" t="str">
            <v>PT. JULIPRIMA KENTJANA</v>
          </cell>
        </row>
        <row r="8">
          <cell r="D8" t="str">
            <v>PEMELIHARAAN BERKALA JALAN  SUBULUSSALAM - BATAS SUMUT</v>
          </cell>
        </row>
        <row r="11">
          <cell r="D11" t="str">
            <v>HAR. VI.3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HAN"/>
      <sheetName val="ANALISA"/>
      <sheetName val="B O W"/>
      <sheetName val="BIAYA  ALAT"/>
      <sheetName val="REKAP"/>
      <sheetName val="Sheet1"/>
      <sheetName val="Sheet2"/>
    </sheetNames>
    <sheetDataSet>
      <sheetData sheetId="0">
        <row r="22">
          <cell r="C22" t="str">
            <v>Pasir Ayak Untuk Beton</v>
          </cell>
        </row>
        <row r="106">
          <cell r="AH106" t="str">
            <v>Roller 3 Wheeled 8 - 10 ton 51 HP</v>
          </cell>
        </row>
        <row r="107">
          <cell r="AH107" t="str">
            <v>Tandem Roller 6 - 10 Ton 40 HP</v>
          </cell>
        </row>
        <row r="109">
          <cell r="AH109" t="str">
            <v>Pneumatic Tire Roller 8  - 15 ton 95 HP</v>
          </cell>
        </row>
        <row r="114">
          <cell r="AH114" t="str">
            <v>Asphalt Sprayer Towed 350 L 7 HP</v>
          </cell>
        </row>
        <row r="118">
          <cell r="AH118" t="str">
            <v>Asphalt Finisher 30 HP</v>
          </cell>
        </row>
        <row r="128">
          <cell r="AH128" t="str">
            <v>Compressor, Air 150 M3 20 HP</v>
          </cell>
        </row>
      </sheetData>
      <sheetData sheetId="1"/>
      <sheetData sheetId="2"/>
      <sheetData sheetId="3">
        <row r="486">
          <cell r="U486">
            <v>25930</v>
          </cell>
        </row>
        <row r="1046">
          <cell r="U1046">
            <v>49592</v>
          </cell>
        </row>
      </sheetData>
      <sheetData sheetId="4"/>
      <sheetData sheetId="5"/>
      <sheetData sheetId="6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3B1"/>
      <sheetName val="Paya Metah"/>
      <sheetName val="Alur Siak"/>
      <sheetName val="Jamur Jelatang"/>
      <sheetName val="Paya Prang"/>
      <sheetName val="Bukit Keranji"/>
      <sheetName val="Pante Perlak"/>
      <sheetName val="Paya Udang"/>
      <sheetName val="Tanah Terban"/>
    </sheetNames>
    <sheetDataSet>
      <sheetData sheetId="0" refreshError="1"/>
      <sheetData sheetId="1" refreshError="1"/>
      <sheetData sheetId="2" refreshError="1"/>
      <sheetData sheetId="3" refreshError="1">
        <row r="24">
          <cell r="P24">
            <v>13625</v>
          </cell>
        </row>
        <row r="27">
          <cell r="P27">
            <v>20103.895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nalisa"/>
      <sheetName val="rab"/>
      <sheetName val="Sheet5"/>
      <sheetName val="Sheet6"/>
      <sheetName val="Sheet7"/>
      <sheetName val="Sheet8"/>
      <sheetName val="Sheet9"/>
      <sheetName val="Sheet10"/>
      <sheetName val="Sheet11"/>
      <sheetName val="DRUP (ASLI)"/>
      <sheetName val="Pengesahan"/>
      <sheetName val="Rekap"/>
      <sheetName val="Analis"/>
      <sheetName val="H.bh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RY"/>
      <sheetName val="BHN UPAH"/>
      <sheetName val="PEK PENDAHULUAN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si"/>
      <sheetName val="Basic Price"/>
      <sheetName val="Peralatan"/>
      <sheetName val="Analisa Quarry"/>
      <sheetName val="HK"/>
      <sheetName val="A"/>
      <sheetName val="B"/>
      <sheetName val="C"/>
      <sheetName val="Rekap"/>
      <sheetName val="RAB"/>
      <sheetName val="TIME SCHEDULE"/>
      <sheetName val="ts (Alt &amp; Bhn)"/>
      <sheetName val="HIT ALt"/>
      <sheetName val="5a"/>
      <sheetName val="5b"/>
      <sheetName val="Mutu"/>
      <sheetName val="LAMP 6"/>
      <sheetName val="Mobilisasi"/>
      <sheetName val="2"/>
      <sheetName val="3"/>
      <sheetName val="4"/>
      <sheetName val="5"/>
      <sheetName val="6"/>
      <sheetName val="6 (2)"/>
      <sheetName val="7"/>
      <sheetName val="7 (2)"/>
      <sheetName val="8"/>
      <sheetName val="9"/>
      <sheetName val="10"/>
      <sheetName val="3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SItem"/>
      <sheetName val="HSItem-Print"/>
      <sheetName val="Rekap Total"/>
      <sheetName val="Rekap Tahun 2006-2007"/>
      <sheetName val="HS-P&amp;J"/>
      <sheetName val="Analisa SNI"/>
      <sheetName val="Analisa EI-AL"/>
      <sheetName val="Sheet1"/>
      <sheetName val="A. PERSIAPAN"/>
      <sheetName val="1.KTR-ok"/>
      <sheetName val="2. RT KDTG AKAP-AKDP ok"/>
      <sheetName val="3.RT KBRK AKAP ok"/>
      <sheetName val="4.RT KBRK AKDP ok"/>
      <sheetName val="5.KM-WC"/>
      <sheetName val="6.AR-KDTG AKAP-AKDP-ok"/>
      <sheetName val="7.AR-KBRK AKAP-ok"/>
      <sheetName val="8.AR-KBRK AKDP-ok"/>
      <sheetName val="9.AR-KDTG ANGKOT-ok"/>
      <sheetName val="10.AR-KBRK ANGKOT-ok"/>
      <sheetName val="11.Perkerasan 2007"/>
      <sheetName val="16.PAGAR A-ok"/>
      <sheetName val="12.SCULPTURE-OK"/>
      <sheetName val="13.POS JAGA-GERBANG-ok"/>
      <sheetName val="14.MUSHOLA-ok"/>
      <sheetName val="15.TOWER-ok"/>
      <sheetName val="17.RMH GENSET-ok"/>
      <sheetName val="18.DRAINASE"/>
      <sheetName val="19.PELENGKAP"/>
      <sheetName val="20. RT KBRK ANGKOT ok"/>
      <sheetName val="21.Perkerasan 2008"/>
      <sheetName val="22.LANDSCAPE-OK"/>
      <sheetName val="23.PAGAR B-ok"/>
      <sheetName val="24.SELASAR-ok"/>
      <sheetName val="25.SERVICE-OK"/>
      <sheetName val="26.FOODCOURT-ok"/>
      <sheetName val="DRAINASE - RIIL"/>
      <sheetName val="Timbunan"/>
    </sheetNames>
    <sheetDataSet>
      <sheetData sheetId="0">
        <row r="12">
          <cell r="D12" t="str">
            <v>Pekerja</v>
          </cell>
          <cell r="E12" t="str">
            <v>Jam</v>
          </cell>
          <cell r="F12">
            <v>5000</v>
          </cell>
        </row>
        <row r="13">
          <cell r="E13" t="str">
            <v>OH</v>
          </cell>
          <cell r="F13">
            <v>32000</v>
          </cell>
        </row>
        <row r="14">
          <cell r="D14" t="str">
            <v>Kepala Tukang</v>
          </cell>
          <cell r="E14" t="str">
            <v>Jam</v>
          </cell>
          <cell r="F14">
            <v>10285.714285714286</v>
          </cell>
        </row>
        <row r="15">
          <cell r="E15" t="str">
            <v>OH</v>
          </cell>
          <cell r="F15">
            <v>65000</v>
          </cell>
        </row>
        <row r="16">
          <cell r="D16" t="str">
            <v>Mandor</v>
          </cell>
          <cell r="E16" t="str">
            <v>Jam</v>
          </cell>
          <cell r="F16">
            <v>7571.4285714285716</v>
          </cell>
        </row>
        <row r="17">
          <cell r="E17" t="str">
            <v>OH</v>
          </cell>
          <cell r="F17">
            <v>48000</v>
          </cell>
        </row>
        <row r="18">
          <cell r="D18" t="str">
            <v>Tukang</v>
          </cell>
          <cell r="E18" t="str">
            <v>Jam</v>
          </cell>
          <cell r="F18">
            <v>8285.7142857142862</v>
          </cell>
        </row>
        <row r="19">
          <cell r="E19" t="str">
            <v>OH</v>
          </cell>
          <cell r="F19">
            <v>52000</v>
          </cell>
        </row>
        <row r="20">
          <cell r="D20" t="str">
            <v>Operator</v>
          </cell>
          <cell r="E20" t="str">
            <v>Jam</v>
          </cell>
          <cell r="F20">
            <v>10200</v>
          </cell>
        </row>
        <row r="22">
          <cell r="D22" t="str">
            <v>Pembantu Operator</v>
          </cell>
          <cell r="E22" t="str">
            <v>Jam</v>
          </cell>
          <cell r="F22">
            <v>8200</v>
          </cell>
        </row>
        <row r="24">
          <cell r="D24" t="str">
            <v>Supir</v>
          </cell>
          <cell r="E24" t="str">
            <v>Jam</v>
          </cell>
          <cell r="F24">
            <v>8200</v>
          </cell>
        </row>
        <row r="26">
          <cell r="D26" t="str">
            <v>Juru Ukur</v>
          </cell>
          <cell r="E26" t="str">
            <v>Jam</v>
          </cell>
          <cell r="F26">
            <v>10200</v>
          </cell>
        </row>
        <row r="29">
          <cell r="D29" t="str">
            <v>Agregat Halus</v>
          </cell>
          <cell r="E29" t="str">
            <v>M3</v>
          </cell>
          <cell r="F29">
            <v>80000</v>
          </cell>
        </row>
        <row r="30">
          <cell r="D30" t="str">
            <v>Agregat Kasar</v>
          </cell>
          <cell r="E30" t="str">
            <v>M3</v>
          </cell>
          <cell r="F30">
            <v>85000</v>
          </cell>
        </row>
        <row r="31">
          <cell r="D31" t="str">
            <v>Aluminium Gelombang Tebal 0,55 cm</v>
          </cell>
          <cell r="E31" t="str">
            <v>M2</v>
          </cell>
          <cell r="F31">
            <v>100000</v>
          </cell>
        </row>
        <row r="32">
          <cell r="D32" t="str">
            <v>Aluminium foil/sisalation</v>
          </cell>
          <cell r="E32" t="str">
            <v>M2</v>
          </cell>
          <cell r="F32">
            <v>30000</v>
          </cell>
        </row>
        <row r="33">
          <cell r="D33" t="str">
            <v>Aspal</v>
          </cell>
          <cell r="E33" t="str">
            <v>Kg</v>
          </cell>
          <cell r="F33">
            <v>3500</v>
          </cell>
        </row>
        <row r="34">
          <cell r="D34" t="str">
            <v>Asbes gelombang</v>
          </cell>
          <cell r="E34" t="str">
            <v>Lembar</v>
          </cell>
          <cell r="F34">
            <v>46000</v>
          </cell>
        </row>
        <row r="35">
          <cell r="D35" t="str">
            <v>Atap polycarbonat</v>
          </cell>
          <cell r="E35" t="str">
            <v>M2</v>
          </cell>
          <cell r="F35">
            <v>135000</v>
          </cell>
        </row>
        <row r="36">
          <cell r="D36" t="str">
            <v>Bambu</v>
          </cell>
          <cell r="E36" t="str">
            <v>batang</v>
          </cell>
          <cell r="F36">
            <v>25000</v>
          </cell>
        </row>
        <row r="37">
          <cell r="D37" t="str">
            <v>Baja Profil</v>
          </cell>
          <cell r="E37" t="str">
            <v>Kg</v>
          </cell>
          <cell r="F37">
            <v>10000</v>
          </cell>
        </row>
        <row r="38">
          <cell r="D38" t="str">
            <v>Baja Strip 2 x 3</v>
          </cell>
          <cell r="E38" t="str">
            <v>M</v>
          </cell>
          <cell r="F38">
            <v>12000</v>
          </cell>
        </row>
        <row r="39">
          <cell r="D39" t="str">
            <v>Baja tulangan</v>
          </cell>
          <cell r="E39" t="str">
            <v>Kg</v>
          </cell>
          <cell r="F39">
            <v>10000</v>
          </cell>
        </row>
        <row r="40">
          <cell r="D40" t="str">
            <v>Bak Cuci Piring Stainless</v>
          </cell>
          <cell r="E40" t="str">
            <v>Buah</v>
          </cell>
          <cell r="F40">
            <v>750000</v>
          </cell>
        </row>
        <row r="41">
          <cell r="D41" t="str">
            <v>Bak Mandi Fiberglass</v>
          </cell>
          <cell r="E41" t="str">
            <v>Buah</v>
          </cell>
          <cell r="F41">
            <v>1100000</v>
          </cell>
        </row>
        <row r="42">
          <cell r="D42" t="str">
            <v>Batu bata</v>
          </cell>
          <cell r="E42" t="str">
            <v>Buah</v>
          </cell>
          <cell r="F42">
            <v>500</v>
          </cell>
        </row>
        <row r="43">
          <cell r="D43" t="str">
            <v>Batu kali</v>
          </cell>
          <cell r="E43" t="str">
            <v>M3</v>
          </cell>
          <cell r="F43">
            <v>100000</v>
          </cell>
        </row>
        <row r="44">
          <cell r="D44" t="str">
            <v>Batu Tempel Lempeng</v>
          </cell>
          <cell r="E44" t="str">
            <v>M2</v>
          </cell>
          <cell r="F44">
            <v>100000</v>
          </cell>
        </row>
        <row r="45">
          <cell r="D45" t="str">
            <v>Besi beton polos</v>
          </cell>
          <cell r="E45" t="str">
            <v>Kg</v>
          </cell>
          <cell r="F45">
            <v>7000</v>
          </cell>
        </row>
        <row r="46">
          <cell r="D46" t="str">
            <v>Besi beton ulir</v>
          </cell>
          <cell r="E46" t="str">
            <v>Kg</v>
          </cell>
          <cell r="F46">
            <v>8000</v>
          </cell>
        </row>
        <row r="47">
          <cell r="D47" t="str">
            <v>Cat Anti Karat</v>
          </cell>
          <cell r="E47" t="str">
            <v>Kg</v>
          </cell>
          <cell r="F47">
            <v>30000</v>
          </cell>
        </row>
        <row r="48">
          <cell r="D48" t="str">
            <v>Cat Kayu Dasar</v>
          </cell>
          <cell r="E48" t="str">
            <v>Kg</v>
          </cell>
          <cell r="F48">
            <v>19000</v>
          </cell>
        </row>
        <row r="49">
          <cell r="D49" t="str">
            <v>Cat kayu mengkilap</v>
          </cell>
          <cell r="E49" t="str">
            <v>Kg</v>
          </cell>
          <cell r="F49">
            <v>34000</v>
          </cell>
        </row>
        <row r="50">
          <cell r="D50" t="str">
            <v>Cat Marka Jalan</v>
          </cell>
          <cell r="E50" t="str">
            <v>Kg</v>
          </cell>
          <cell r="F50">
            <v>24000</v>
          </cell>
        </row>
        <row r="51">
          <cell r="D51" t="str">
            <v>Cat Meni Besi</v>
          </cell>
          <cell r="E51" t="str">
            <v>Kg</v>
          </cell>
          <cell r="F51">
            <v>19000</v>
          </cell>
        </row>
        <row r="52">
          <cell r="D52" t="str">
            <v>Cat Meni Kayu</v>
          </cell>
          <cell r="E52" t="str">
            <v>Kg</v>
          </cell>
          <cell r="F52">
            <v>19000</v>
          </cell>
        </row>
        <row r="53">
          <cell r="D53" t="str">
            <v>Cat tembok</v>
          </cell>
          <cell r="E53" t="str">
            <v>Kg</v>
          </cell>
          <cell r="F53">
            <v>20000</v>
          </cell>
        </row>
        <row r="54">
          <cell r="D54" t="str">
            <v>Cat tembok dasar</v>
          </cell>
          <cell r="E54" t="str">
            <v>Kg</v>
          </cell>
          <cell r="F54">
            <v>20000</v>
          </cell>
        </row>
        <row r="55">
          <cell r="D55" t="str">
            <v>Cat tembok penutup</v>
          </cell>
          <cell r="E55" t="str">
            <v>Kg</v>
          </cell>
          <cell r="F55">
            <v>20000</v>
          </cell>
        </row>
        <row r="56">
          <cell r="D56" t="str">
            <v>Conblock Segi Enam K-200</v>
          </cell>
          <cell r="E56" t="str">
            <v>M2</v>
          </cell>
          <cell r="F56">
            <v>50000</v>
          </cell>
        </row>
        <row r="57">
          <cell r="D57" t="str">
            <v>Conblock Segi 4 K-300</v>
          </cell>
          <cell r="E57" t="str">
            <v>M2</v>
          </cell>
          <cell r="F57">
            <v>54000</v>
          </cell>
        </row>
        <row r="58">
          <cell r="D58" t="str">
            <v>Dempul</v>
          </cell>
          <cell r="E58" t="str">
            <v>Kg</v>
          </cell>
          <cell r="F58">
            <v>12000</v>
          </cell>
        </row>
        <row r="59">
          <cell r="D59" t="str">
            <v>Engsel Jendela</v>
          </cell>
          <cell r="E59" t="str">
            <v>Buah</v>
          </cell>
          <cell r="F59">
            <v>14500</v>
          </cell>
        </row>
        <row r="60">
          <cell r="D60" t="str">
            <v>Engsel Pintu</v>
          </cell>
          <cell r="E60" t="str">
            <v>Buah</v>
          </cell>
          <cell r="F60">
            <v>19000</v>
          </cell>
        </row>
        <row r="61">
          <cell r="D61" t="str">
            <v>Filler</v>
          </cell>
          <cell r="E61" t="str">
            <v>Kg</v>
          </cell>
          <cell r="F61">
            <v>900</v>
          </cell>
        </row>
        <row r="62">
          <cell r="D62" t="str">
            <v>Floor drain</v>
          </cell>
          <cell r="E62" t="str">
            <v>M2</v>
          </cell>
          <cell r="F62">
            <v>89000</v>
          </cell>
        </row>
        <row r="63">
          <cell r="D63" t="str">
            <v>Glassbit</v>
          </cell>
          <cell r="E63" t="str">
            <v>Kg</v>
          </cell>
          <cell r="F63">
            <v>17000</v>
          </cell>
        </row>
        <row r="64">
          <cell r="D64" t="str">
            <v>Genteng keramik</v>
          </cell>
          <cell r="E64" t="str">
            <v>Buah</v>
          </cell>
          <cell r="F64">
            <v>9500</v>
          </cell>
        </row>
        <row r="65">
          <cell r="D65" t="str">
            <v>Genteng Bubung Beton</v>
          </cell>
          <cell r="E65" t="str">
            <v>Buah</v>
          </cell>
          <cell r="F65">
            <v>8000</v>
          </cell>
        </row>
        <row r="66">
          <cell r="D66" t="str">
            <v>Genteng Metal</v>
          </cell>
          <cell r="E66" t="str">
            <v>M2</v>
          </cell>
          <cell r="F66">
            <v>90000</v>
          </cell>
        </row>
        <row r="67">
          <cell r="D67" t="str">
            <v>Glass Block</v>
          </cell>
          <cell r="E67" t="str">
            <v>M2</v>
          </cell>
          <cell r="F67">
            <v>60000</v>
          </cell>
        </row>
        <row r="68">
          <cell r="D68" t="str">
            <v>Grassblock</v>
          </cell>
          <cell r="E68" t="str">
            <v>M2</v>
          </cell>
          <cell r="F68">
            <v>45000</v>
          </cell>
        </row>
        <row r="69">
          <cell r="D69" t="str">
            <v>Grendel Jendela</v>
          </cell>
          <cell r="E69" t="str">
            <v>Buah</v>
          </cell>
          <cell r="F69">
            <v>9000</v>
          </cell>
        </row>
        <row r="70">
          <cell r="D70" t="str">
            <v>Grendel Pintu</v>
          </cell>
          <cell r="E70" t="str">
            <v>Buah</v>
          </cell>
          <cell r="F70">
            <v>9000</v>
          </cell>
        </row>
        <row r="71">
          <cell r="D71" t="str">
            <v>Kaca Bening tebal 5 mm</v>
          </cell>
          <cell r="E71" t="str">
            <v>M2</v>
          </cell>
          <cell r="F71">
            <v>80000</v>
          </cell>
        </row>
        <row r="72">
          <cell r="D72" t="str">
            <v>Kaca Cermin Tebal 5 mm</v>
          </cell>
          <cell r="E72" t="str">
            <v>M2</v>
          </cell>
          <cell r="F72">
            <v>160000</v>
          </cell>
        </row>
        <row r="73">
          <cell r="D73" t="str">
            <v>Kaca Patri Tebal 5 mm</v>
          </cell>
          <cell r="E73" t="str">
            <v>M2</v>
          </cell>
          <cell r="F73">
            <v>200000</v>
          </cell>
        </row>
        <row r="74">
          <cell r="D74" t="str">
            <v>Kait Angin</v>
          </cell>
          <cell r="E74" t="str">
            <v>Buah</v>
          </cell>
          <cell r="F74">
            <v>5000</v>
          </cell>
        </row>
        <row r="75">
          <cell r="D75" t="str">
            <v>Kawat las</v>
          </cell>
          <cell r="E75" t="str">
            <v>Kg</v>
          </cell>
          <cell r="F75">
            <v>24500</v>
          </cell>
        </row>
        <row r="76">
          <cell r="D76" t="str">
            <v>Kawat beton</v>
          </cell>
          <cell r="E76" t="str">
            <v>Kg</v>
          </cell>
          <cell r="F76">
            <v>12000</v>
          </cell>
        </row>
        <row r="77">
          <cell r="D77" t="str">
            <v>Kayu bekisting</v>
          </cell>
          <cell r="E77" t="str">
            <v>M3</v>
          </cell>
          <cell r="F77">
            <v>1950000</v>
          </cell>
        </row>
        <row r="78">
          <cell r="D78" t="str">
            <v>Kayu Kamper</v>
          </cell>
          <cell r="E78" t="str">
            <v>M3</v>
          </cell>
          <cell r="F78">
            <v>3150000</v>
          </cell>
        </row>
        <row r="79">
          <cell r="D79" t="str">
            <v>Kayu Kamper Papan</v>
          </cell>
          <cell r="E79" t="str">
            <v>M3</v>
          </cell>
          <cell r="F79">
            <v>2700000</v>
          </cell>
        </row>
        <row r="80">
          <cell r="D80" t="str">
            <v>Kayu Kalimantan</v>
          </cell>
          <cell r="E80" t="str">
            <v>M3</v>
          </cell>
          <cell r="F80">
            <v>2600000</v>
          </cell>
        </row>
        <row r="81">
          <cell r="D81" t="str">
            <v>Kayu Kalimantan Papan</v>
          </cell>
          <cell r="E81" t="str">
            <v>M3</v>
          </cell>
          <cell r="F81">
            <v>2450000</v>
          </cell>
        </row>
        <row r="82">
          <cell r="D82" t="str">
            <v>Kayu Meranti Papan</v>
          </cell>
          <cell r="E82" t="str">
            <v>M3</v>
          </cell>
          <cell r="F82">
            <v>2700000</v>
          </cell>
        </row>
        <row r="83">
          <cell r="D83" t="str">
            <v>Kayu Perancah</v>
          </cell>
          <cell r="E83" t="str">
            <v>M3</v>
          </cell>
          <cell r="F83">
            <v>1900000</v>
          </cell>
        </row>
        <row r="84">
          <cell r="D84" t="str">
            <v>Kayu Rangka Bouwplank</v>
          </cell>
          <cell r="E84" t="str">
            <v>M3</v>
          </cell>
          <cell r="F84">
            <v>1900000</v>
          </cell>
        </row>
        <row r="85">
          <cell r="D85" t="str">
            <v>Kayu Rangka Plafond</v>
          </cell>
          <cell r="E85" t="str">
            <v>M3</v>
          </cell>
          <cell r="F85">
            <v>2600000</v>
          </cell>
        </row>
        <row r="86">
          <cell r="D86" t="str">
            <v>Keramik 20 x 20 cm</v>
          </cell>
          <cell r="E86" t="str">
            <v>M²</v>
          </cell>
          <cell r="F86">
            <v>54000</v>
          </cell>
        </row>
        <row r="87">
          <cell r="D87" t="str">
            <v>Keramik 20 x 25 cm</v>
          </cell>
          <cell r="E87" t="str">
            <v>M²</v>
          </cell>
          <cell r="F87">
            <v>54000</v>
          </cell>
        </row>
        <row r="88">
          <cell r="D88" t="str">
            <v>Keramik 30 x 30 cm</v>
          </cell>
          <cell r="E88" t="str">
            <v>M²</v>
          </cell>
          <cell r="F88">
            <v>65000</v>
          </cell>
        </row>
        <row r="89">
          <cell r="D89" t="str">
            <v>Keramik 8 x 20 cm</v>
          </cell>
          <cell r="E89" t="str">
            <v>bh</v>
          </cell>
          <cell r="F89">
            <v>2000</v>
          </cell>
        </row>
        <row r="90">
          <cell r="D90" t="str">
            <v>Keramik Plint 10 x 30 cm</v>
          </cell>
          <cell r="E90" t="str">
            <v>M²</v>
          </cell>
          <cell r="F90">
            <v>70000</v>
          </cell>
        </row>
        <row r="91">
          <cell r="D91" t="str">
            <v>Keramik Stepnose 10 x 30 cm</v>
          </cell>
          <cell r="E91" t="str">
            <v>M²</v>
          </cell>
          <cell r="F91">
            <v>70000</v>
          </cell>
        </row>
        <row r="92">
          <cell r="D92" t="str">
            <v>Kerosene (Subsidi)</v>
          </cell>
          <cell r="E92" t="str">
            <v>Liter</v>
          </cell>
          <cell r="F92">
            <v>2700</v>
          </cell>
        </row>
        <row r="93">
          <cell r="D93" t="str">
            <v>Kerikil</v>
          </cell>
          <cell r="E93" t="str">
            <v>M3</v>
          </cell>
          <cell r="F93">
            <v>85000</v>
          </cell>
        </row>
        <row r="94">
          <cell r="D94" t="str">
            <v>Kloset Jongkok Keramik</v>
          </cell>
          <cell r="E94" t="str">
            <v>Buah</v>
          </cell>
          <cell r="F94">
            <v>190000</v>
          </cell>
        </row>
        <row r="95">
          <cell r="D95" t="str">
            <v>Kolom Hollow</v>
          </cell>
        </row>
        <row r="96">
          <cell r="D96" t="str">
            <v>Kran Air d = 1/2"</v>
          </cell>
          <cell r="E96" t="str">
            <v>Bh</v>
          </cell>
          <cell r="F96">
            <v>25000</v>
          </cell>
        </row>
        <row r="97">
          <cell r="D97" t="str">
            <v>Kran Air d = 3/4"</v>
          </cell>
          <cell r="E97" t="str">
            <v>Bh</v>
          </cell>
          <cell r="F97">
            <v>25000</v>
          </cell>
        </row>
        <row r="98">
          <cell r="D98" t="str">
            <v>Kuas Cat</v>
          </cell>
          <cell r="E98" t="str">
            <v>Buah</v>
          </cell>
          <cell r="F98">
            <v>10000</v>
          </cell>
        </row>
        <row r="99">
          <cell r="D99" t="str">
            <v>Kunci Pintu</v>
          </cell>
          <cell r="E99" t="str">
            <v>Buah</v>
          </cell>
          <cell r="F99">
            <v>50000</v>
          </cell>
        </row>
        <row r="100">
          <cell r="D100" t="str">
            <v>Kunci Selot</v>
          </cell>
          <cell r="E100" t="str">
            <v>Buah</v>
          </cell>
          <cell r="F100">
            <v>50000</v>
          </cell>
        </row>
        <row r="101">
          <cell r="D101" t="str">
            <v>Kunci Tanam Kamar Mandi</v>
          </cell>
          <cell r="E101" t="str">
            <v>Buah</v>
          </cell>
          <cell r="F101">
            <v>50000</v>
          </cell>
        </row>
        <row r="102">
          <cell r="D102" t="str">
            <v>Lem Kayu</v>
          </cell>
          <cell r="E102" t="str">
            <v>liter</v>
          </cell>
          <cell r="F102">
            <v>26000</v>
          </cell>
        </row>
        <row r="103">
          <cell r="D103" t="str">
            <v>List Kayu Profil</v>
          </cell>
          <cell r="E103" t="str">
            <v>M3</v>
          </cell>
          <cell r="F103">
            <v>6000</v>
          </cell>
        </row>
        <row r="104">
          <cell r="D104" t="str">
            <v>List Plafon</v>
          </cell>
          <cell r="E104" t="str">
            <v>M</v>
          </cell>
          <cell r="F104">
            <v>4000</v>
          </cell>
        </row>
        <row r="105">
          <cell r="D105" t="str">
            <v>Minyak cat</v>
          </cell>
          <cell r="E105" t="str">
            <v>ltr</v>
          </cell>
          <cell r="F105">
            <v>16000</v>
          </cell>
        </row>
        <row r="106">
          <cell r="D106" t="str">
            <v>Multipleks tebal 4 mm</v>
          </cell>
          <cell r="E106" t="str">
            <v>Lembar</v>
          </cell>
          <cell r="F106">
            <v>57000</v>
          </cell>
        </row>
        <row r="107">
          <cell r="D107" t="str">
            <v>Multipleks tebal 6 mm</v>
          </cell>
          <cell r="E107" t="str">
            <v>Lembar</v>
          </cell>
          <cell r="F107">
            <v>76000</v>
          </cell>
        </row>
        <row r="108">
          <cell r="D108" t="str">
            <v>Nok Genteng Metal</v>
          </cell>
          <cell r="E108" t="str">
            <v>M</v>
          </cell>
          <cell r="F108">
            <v>37500</v>
          </cell>
        </row>
        <row r="109">
          <cell r="D109" t="str">
            <v>Paku kayu</v>
          </cell>
          <cell r="E109" t="str">
            <v>Kg</v>
          </cell>
          <cell r="F109">
            <v>10000</v>
          </cell>
        </row>
        <row r="110">
          <cell r="D110" t="str">
            <v>Paku seng</v>
          </cell>
          <cell r="E110" t="str">
            <v>Kg</v>
          </cell>
          <cell r="F110">
            <v>27000</v>
          </cell>
        </row>
        <row r="111">
          <cell r="D111" t="str">
            <v>Paku Hak Panjang 15 cm</v>
          </cell>
          <cell r="E111" t="str">
            <v>Kg</v>
          </cell>
          <cell r="F111">
            <v>15000</v>
          </cell>
        </row>
        <row r="112">
          <cell r="D112" t="str">
            <v>Paku Anti Karat</v>
          </cell>
          <cell r="E112" t="str">
            <v>Kg</v>
          </cell>
          <cell r="F112">
            <v>12000</v>
          </cell>
        </row>
        <row r="113">
          <cell r="D113" t="str">
            <v>Paku Pancing</v>
          </cell>
          <cell r="E113" t="str">
            <v>bh</v>
          </cell>
          <cell r="F113">
            <v>800</v>
          </cell>
        </row>
        <row r="114">
          <cell r="D114" t="str">
            <v>Papan Kayu Bouwplank</v>
          </cell>
          <cell r="E114" t="str">
            <v>M3</v>
          </cell>
          <cell r="F114">
            <v>1800000</v>
          </cell>
        </row>
        <row r="115">
          <cell r="D115" t="str">
            <v>Papan lisplank</v>
          </cell>
          <cell r="E115" t="str">
            <v>M3</v>
          </cell>
          <cell r="F115">
            <v>2700000</v>
          </cell>
        </row>
        <row r="116">
          <cell r="D116" t="str">
            <v>Pasir pasangan</v>
          </cell>
          <cell r="E116" t="str">
            <v>M3</v>
          </cell>
          <cell r="F116">
            <v>90000</v>
          </cell>
        </row>
        <row r="117">
          <cell r="D117" t="str">
            <v>Pasir urug</v>
          </cell>
          <cell r="E117" t="str">
            <v>M3</v>
          </cell>
          <cell r="F117">
            <v>75000</v>
          </cell>
        </row>
        <row r="118">
          <cell r="D118" t="str">
            <v>Pipa Galvanis d = 3"</v>
          </cell>
          <cell r="E118" t="str">
            <v>M</v>
          </cell>
          <cell r="F118">
            <v>60000</v>
          </cell>
        </row>
        <row r="119">
          <cell r="D119" t="str">
            <v>Paku sekrup 3,5"</v>
          </cell>
          <cell r="E119" t="str">
            <v>Buah</v>
          </cell>
          <cell r="F119">
            <v>1000</v>
          </cell>
        </row>
        <row r="120">
          <cell r="D120" t="str">
            <v>Plat Aluminium</v>
          </cell>
          <cell r="E120" t="str">
            <v>M2</v>
          </cell>
          <cell r="F120">
            <v>200000</v>
          </cell>
        </row>
        <row r="121">
          <cell r="D121" t="str">
            <v>Plat Besi</v>
          </cell>
          <cell r="E121" t="str">
            <v>M2</v>
          </cell>
          <cell r="F121">
            <v>210000</v>
          </cell>
        </row>
        <row r="122">
          <cell r="D122" t="str">
            <v>Pegangan Pintu</v>
          </cell>
          <cell r="E122" t="str">
            <v>Buah</v>
          </cell>
          <cell r="F122">
            <v>50000</v>
          </cell>
        </row>
        <row r="123">
          <cell r="D123" t="str">
            <v>Pintu lipat besi</v>
          </cell>
          <cell r="E123" t="str">
            <v>Buah</v>
          </cell>
          <cell r="F123">
            <v>500000</v>
          </cell>
        </row>
        <row r="124">
          <cell r="D124" t="str">
            <v>Pintu Aluminium</v>
          </cell>
          <cell r="E124" t="str">
            <v>Buah</v>
          </cell>
          <cell r="F124">
            <v>700000</v>
          </cell>
        </row>
        <row r="125">
          <cell r="D125" t="str">
            <v>Plamir</v>
          </cell>
          <cell r="E125" t="str">
            <v>Kg</v>
          </cell>
          <cell r="F125">
            <v>13500</v>
          </cell>
        </row>
        <row r="126">
          <cell r="D126" t="str">
            <v>Plywood</v>
          </cell>
          <cell r="E126" t="str">
            <v>Lembar</v>
          </cell>
          <cell r="F126">
            <v>50000</v>
          </cell>
        </row>
        <row r="127">
          <cell r="D127" t="str">
            <v>Rolling Door</v>
          </cell>
          <cell r="E127" t="str">
            <v>M2</v>
          </cell>
          <cell r="F127">
            <v>250000</v>
          </cell>
        </row>
        <row r="128">
          <cell r="D128" t="str">
            <v>Seal tape</v>
          </cell>
          <cell r="E128" t="str">
            <v>Buah</v>
          </cell>
          <cell r="F128">
            <v>3000</v>
          </cell>
        </row>
        <row r="129">
          <cell r="D129" t="str">
            <v>Semen Portland</v>
          </cell>
          <cell r="E129" t="str">
            <v>Kg</v>
          </cell>
          <cell r="F129">
            <v>900</v>
          </cell>
        </row>
        <row r="130">
          <cell r="D130" t="str">
            <v>Semen putih</v>
          </cell>
          <cell r="E130" t="str">
            <v>Kg</v>
          </cell>
          <cell r="F130">
            <v>2500</v>
          </cell>
        </row>
        <row r="131">
          <cell r="D131" t="str">
            <v>Semen warna</v>
          </cell>
          <cell r="E131" t="str">
            <v>Kg</v>
          </cell>
          <cell r="F131">
            <v>2500</v>
          </cell>
        </row>
        <row r="132">
          <cell r="D132" t="str">
            <v>Shower Kran</v>
          </cell>
          <cell r="E132" t="str">
            <v>Buah</v>
          </cell>
          <cell r="F132">
            <v>150000</v>
          </cell>
        </row>
        <row r="133">
          <cell r="D133" t="str">
            <v>Sirtu</v>
          </cell>
          <cell r="E133" t="str">
            <v>M3</v>
          </cell>
          <cell r="F133">
            <v>165000</v>
          </cell>
        </row>
        <row r="134">
          <cell r="D134" t="str">
            <v>Sirtu Klas B Lapisan Pondasi</v>
          </cell>
          <cell r="E134" t="str">
            <v>M3</v>
          </cell>
          <cell r="F134">
            <v>75000</v>
          </cell>
        </row>
        <row r="135">
          <cell r="D135" t="str">
            <v>Tanah Timbun</v>
          </cell>
          <cell r="E135" t="str">
            <v>M3</v>
          </cell>
          <cell r="F135">
            <v>61000</v>
          </cell>
        </row>
        <row r="136">
          <cell r="D136" t="str">
            <v>Tanah Timbun Pilihan</v>
          </cell>
          <cell r="E136" t="str">
            <v>M3</v>
          </cell>
          <cell r="F136">
            <v>85000</v>
          </cell>
        </row>
        <row r="137">
          <cell r="D137" t="str">
            <v>Thinner</v>
          </cell>
          <cell r="E137" t="str">
            <v>Liter</v>
          </cell>
          <cell r="F137">
            <v>15000</v>
          </cell>
        </row>
        <row r="138">
          <cell r="D138" t="str">
            <v>Urinoir Keramik</v>
          </cell>
          <cell r="E138" t="str">
            <v>Buah</v>
          </cell>
          <cell r="F138">
            <v>850000</v>
          </cell>
        </row>
        <row r="139">
          <cell r="D139" t="str">
            <v>Wastafel</v>
          </cell>
          <cell r="E139" t="str">
            <v>Buah</v>
          </cell>
          <cell r="F139">
            <v>630000</v>
          </cell>
        </row>
        <row r="142">
          <cell r="D142" t="str">
            <v>Rumput Manila</v>
          </cell>
          <cell r="E142" t="str">
            <v>M2</v>
          </cell>
          <cell r="F142">
            <v>15000</v>
          </cell>
        </row>
        <row r="143">
          <cell r="D143" t="str">
            <v>Gebalan Rumput</v>
          </cell>
          <cell r="E143" t="str">
            <v>M2</v>
          </cell>
          <cell r="F143">
            <v>7500</v>
          </cell>
        </row>
        <row r="144">
          <cell r="D144" t="str">
            <v>Pohon Palm Raja</v>
          </cell>
          <cell r="E144" t="str">
            <v>Btg</v>
          </cell>
          <cell r="F144">
            <v>300000</v>
          </cell>
        </row>
        <row r="145">
          <cell r="D145" t="str">
            <v>Pohon Cemara Lilin</v>
          </cell>
          <cell r="E145" t="str">
            <v>Btg</v>
          </cell>
          <cell r="F145">
            <v>75000</v>
          </cell>
        </row>
        <row r="148">
          <cell r="D148" t="str">
            <v>Excavator</v>
          </cell>
          <cell r="E148" t="str">
            <v>Rp/Jam</v>
          </cell>
          <cell r="F148">
            <v>236571.3</v>
          </cell>
        </row>
        <row r="149">
          <cell r="D149" t="str">
            <v>Wheel Loader</v>
          </cell>
          <cell r="E149" t="str">
            <v>Rp/Jam</v>
          </cell>
          <cell r="F149">
            <v>249351.3</v>
          </cell>
        </row>
        <row r="150">
          <cell r="D150" t="str">
            <v>Dump Truck</v>
          </cell>
          <cell r="E150" t="str">
            <v>Rp/Jam</v>
          </cell>
          <cell r="F150">
            <v>193907.7</v>
          </cell>
        </row>
        <row r="151">
          <cell r="D151" t="str">
            <v>Motor Grader</v>
          </cell>
          <cell r="E151" t="str">
            <v>Rp/Jam</v>
          </cell>
          <cell r="F151">
            <v>257457.6</v>
          </cell>
        </row>
        <row r="152">
          <cell r="D152" t="str">
            <v>Concrete Mixer</v>
          </cell>
          <cell r="E152" t="str">
            <v>Rp/Jam</v>
          </cell>
          <cell r="F152">
            <v>35981.1</v>
          </cell>
        </row>
        <row r="153">
          <cell r="D153" t="str">
            <v>Water Tanker</v>
          </cell>
          <cell r="E153" t="str">
            <v>Rp/Jam</v>
          </cell>
          <cell r="F153">
            <v>134948.70000000001</v>
          </cell>
        </row>
        <row r="154">
          <cell r="D154" t="str">
            <v>Concrete Vibrator</v>
          </cell>
          <cell r="E154" t="str">
            <v>Rp/Jam</v>
          </cell>
          <cell r="F154">
            <v>31869.9</v>
          </cell>
        </row>
        <row r="155">
          <cell r="D155" t="str">
            <v>Compressor</v>
          </cell>
          <cell r="E155" t="str">
            <v>Rp/Jam</v>
          </cell>
          <cell r="F155">
            <v>104812.2</v>
          </cell>
        </row>
        <row r="156">
          <cell r="D156" t="str">
            <v>Vibratory Roller</v>
          </cell>
          <cell r="E156" t="str">
            <v>Rp/Jam</v>
          </cell>
          <cell r="F156">
            <v>175717.8</v>
          </cell>
        </row>
        <row r="157">
          <cell r="D157" t="str">
            <v>Tire Roller</v>
          </cell>
          <cell r="E157" t="str">
            <v>Rp/Jam</v>
          </cell>
          <cell r="F157">
            <v>152206.20000000001</v>
          </cell>
        </row>
        <row r="158">
          <cell r="D158" t="str">
            <v>Asphalt Sprayer</v>
          </cell>
          <cell r="E158" t="str">
            <v>Rp/Jam</v>
          </cell>
          <cell r="F158">
            <v>52941.599999999999</v>
          </cell>
        </row>
        <row r="159">
          <cell r="D159" t="str">
            <v>AMP</v>
          </cell>
          <cell r="E159" t="str">
            <v>Rp/Jam</v>
          </cell>
          <cell r="F159">
            <v>2576732.4</v>
          </cell>
        </row>
        <row r="160">
          <cell r="D160" t="str">
            <v>Genset</v>
          </cell>
          <cell r="E160" t="str">
            <v>Rp/Jam</v>
          </cell>
          <cell r="F160">
            <v>204216.3</v>
          </cell>
        </row>
        <row r="161">
          <cell r="D161" t="str">
            <v>Asphalt Finisher</v>
          </cell>
          <cell r="E161" t="str">
            <v>Rp/Jam</v>
          </cell>
          <cell r="F161">
            <v>129477.6</v>
          </cell>
        </row>
        <row r="162">
          <cell r="D162" t="str">
            <v>Tandem Roller</v>
          </cell>
          <cell r="E162" t="str">
            <v>Rp/Jam</v>
          </cell>
          <cell r="F162">
            <v>130782.6</v>
          </cell>
        </row>
        <row r="163">
          <cell r="D163" t="str">
            <v>Concrete Pump</v>
          </cell>
          <cell r="E163" t="str">
            <v>Rp/Jam</v>
          </cell>
          <cell r="F163">
            <v>138479.4</v>
          </cell>
        </row>
        <row r="164">
          <cell r="D164" t="str">
            <v>Mesin Las</v>
          </cell>
          <cell r="E164" t="str">
            <v>Rp/Jam</v>
          </cell>
          <cell r="F164">
            <v>36600</v>
          </cell>
        </row>
        <row r="174">
          <cell r="D174" t="str">
            <v>SNI 03-2835-2002.(6.7).1</v>
          </cell>
          <cell r="E174" t="str">
            <v>M3</v>
          </cell>
          <cell r="F174" t="e">
            <v>#REF!</v>
          </cell>
        </row>
        <row r="175">
          <cell r="D175" t="str">
            <v>SNI 03-2835-2002.(6.9)</v>
          </cell>
          <cell r="E175" t="str">
            <v>M3</v>
          </cell>
          <cell r="F175">
            <v>36637.700000000012</v>
          </cell>
        </row>
        <row r="176">
          <cell r="D176" t="str">
            <v>SNI 03-2835-2002.(6.10)</v>
          </cell>
          <cell r="E176" t="str">
            <v>M3</v>
          </cell>
          <cell r="F176">
            <v>22275</v>
          </cell>
        </row>
        <row r="177">
          <cell r="D177" t="str">
            <v>SNI 03-2835-2002.(6.11)</v>
          </cell>
          <cell r="E177" t="str">
            <v>M3</v>
          </cell>
          <cell r="F177">
            <v>111133</v>
          </cell>
        </row>
        <row r="178">
          <cell r="D178" t="str">
            <v>SNI 03-2835-2002.(6.15)</v>
          </cell>
          <cell r="E178" t="str">
            <v>M3</v>
          </cell>
          <cell r="F178">
            <v>219493.21428571429</v>
          </cell>
        </row>
        <row r="184">
          <cell r="D184" t="str">
            <v>SNI 03-2836-2002.(6.5)</v>
          </cell>
          <cell r="E184" t="str">
            <v>M3</v>
          </cell>
          <cell r="F184">
            <v>439114.5</v>
          </cell>
        </row>
        <row r="185">
          <cell r="E185" t="str">
            <v>M3</v>
          </cell>
        </row>
        <row r="186">
          <cell r="D186" t="str">
            <v>SNI 03-2836-2002.(6.14)</v>
          </cell>
          <cell r="E186" t="str">
            <v>M3</v>
          </cell>
          <cell r="F186">
            <v>218344.5</v>
          </cell>
        </row>
        <row r="196">
          <cell r="D196" t="str">
            <v>SNI 03-Lt-2002.(6.74)</v>
          </cell>
          <cell r="F196">
            <v>181428.5</v>
          </cell>
        </row>
        <row r="197">
          <cell r="D197" t="str">
            <v>SNI 03-6897-2002.(6.12).1</v>
          </cell>
        </row>
        <row r="198">
          <cell r="D198" t="str">
            <v>SNI 03-6897-2002.(6.9)</v>
          </cell>
          <cell r="E198" t="str">
            <v>M2</v>
          </cell>
          <cell r="F198">
            <v>81499</v>
          </cell>
        </row>
        <row r="199">
          <cell r="D199" t="str">
            <v>SNI 03-6897-2002.(6.10)</v>
          </cell>
          <cell r="E199" t="str">
            <v>M2</v>
          </cell>
          <cell r="F199">
            <v>77162.8</v>
          </cell>
        </row>
        <row r="200">
          <cell r="D200" t="str">
            <v>SNI 03-6897-2002.(6.12)</v>
          </cell>
          <cell r="E200" t="str">
            <v>M2</v>
          </cell>
          <cell r="F200">
            <v>73014.7</v>
          </cell>
        </row>
        <row r="205">
          <cell r="D205" t="str">
            <v>SNI 03-2837-2002.(6.13)</v>
          </cell>
          <cell r="E205" t="str">
            <v>M2</v>
          </cell>
          <cell r="F205">
            <v>41221.949999999997</v>
          </cell>
        </row>
        <row r="206">
          <cell r="D206" t="str">
            <v>SNI 03-2837-2002.(6.14)</v>
          </cell>
          <cell r="E206" t="str">
            <v>M2</v>
          </cell>
          <cell r="F206">
            <v>38073.75</v>
          </cell>
        </row>
        <row r="207">
          <cell r="D207" t="str">
            <v>SNI 03-2837-2002.(6.16)</v>
          </cell>
          <cell r="E207" t="str">
            <v>M2</v>
          </cell>
          <cell r="F207">
            <v>34796.85</v>
          </cell>
        </row>
        <row r="208">
          <cell r="D208" t="str">
            <v>SNI 03-2837-2002.(6.34)</v>
          </cell>
          <cell r="E208" t="str">
            <v>M2</v>
          </cell>
          <cell r="F208">
            <v>23642.3</v>
          </cell>
        </row>
        <row r="209">
          <cell r="D209" t="str">
            <v>SNI 03-2837-2002.(6.22).1</v>
          </cell>
          <cell r="E209" t="str">
            <v>M2</v>
          </cell>
          <cell r="F209">
            <v>76857</v>
          </cell>
        </row>
        <row r="210">
          <cell r="D210" t="str">
            <v>SNI 03-2837-2002.(6.22).2</v>
          </cell>
          <cell r="E210" t="str">
            <v>M2</v>
          </cell>
          <cell r="F210">
            <v>153604</v>
          </cell>
        </row>
        <row r="211">
          <cell r="D211" t="str">
            <v>SNI 03-2837-2002.(6.1).1</v>
          </cell>
          <cell r="E211" t="str">
            <v>M2</v>
          </cell>
          <cell r="F211">
            <v>22371.8</v>
          </cell>
        </row>
        <row r="217">
          <cell r="D217" t="str">
            <v>SNI 03-Lt-2002.(6.47).1</v>
          </cell>
          <cell r="E217" t="str">
            <v>M2</v>
          </cell>
          <cell r="F217">
            <v>141880.20000000001</v>
          </cell>
        </row>
        <row r="218">
          <cell r="D218" t="str">
            <v>SNI 03-Lt-2002.(6.44)</v>
          </cell>
          <cell r="E218" t="str">
            <v>M2</v>
          </cell>
          <cell r="F218">
            <v>129780.2</v>
          </cell>
        </row>
        <row r="219">
          <cell r="D219" t="str">
            <v>SNI 03-Lt-2002.(6.68).1</v>
          </cell>
          <cell r="E219" t="str">
            <v>M2</v>
          </cell>
          <cell r="F219">
            <v>109417</v>
          </cell>
        </row>
        <row r="220">
          <cell r="D220" t="str">
            <v>SNI 03-Lt-2002.(6.68).2</v>
          </cell>
          <cell r="E220" t="str">
            <v>M2</v>
          </cell>
          <cell r="F220">
            <v>121517</v>
          </cell>
        </row>
        <row r="221">
          <cell r="D221" t="str">
            <v>SNI 03-Lt-2002.(6.69).1</v>
          </cell>
          <cell r="E221" t="str">
            <v>M2</v>
          </cell>
          <cell r="F221">
            <v>185438</v>
          </cell>
        </row>
        <row r="222">
          <cell r="D222" t="str">
            <v>SNI 03-Lt-2002.(6.30).1</v>
          </cell>
          <cell r="E222" t="str">
            <v>M</v>
          </cell>
          <cell r="F222">
            <v>60074.080000000002</v>
          </cell>
        </row>
        <row r="223">
          <cell r="D223" t="str">
            <v>SNI 03-Lt-2002.(6.49).1</v>
          </cell>
          <cell r="E223" t="str">
            <v>M</v>
          </cell>
          <cell r="F223" t="e">
            <v>#REF!</v>
          </cell>
        </row>
        <row r="224">
          <cell r="D224" t="str">
            <v>SNI 03-Lt-2002.(6.82)</v>
          </cell>
          <cell r="E224" t="str">
            <v>M</v>
          </cell>
          <cell r="F224">
            <v>20869.2</v>
          </cell>
        </row>
        <row r="225">
          <cell r="D225" t="str">
            <v>SNI 03-Lt-2002.(6.74)</v>
          </cell>
          <cell r="E225" t="str">
            <v>M2</v>
          </cell>
          <cell r="F225">
            <v>181428.5</v>
          </cell>
        </row>
        <row r="231">
          <cell r="D231" t="str">
            <v>SNI 03-Bt-2002.(6.4)</v>
          </cell>
          <cell r="E231" t="str">
            <v>M3</v>
          </cell>
          <cell r="F231">
            <v>62757.19999999999</v>
          </cell>
        </row>
        <row r="232">
          <cell r="D232" t="str">
            <v>SNI 03-Bt-2002.(6.4).1</v>
          </cell>
          <cell r="E232" t="str">
            <v>M3</v>
          </cell>
          <cell r="F232">
            <v>69392.399999999994</v>
          </cell>
        </row>
        <row r="233">
          <cell r="D233" t="str">
            <v>SNI 03-Bt-2002.(6.1)</v>
          </cell>
          <cell r="E233" t="str">
            <v>M3</v>
          </cell>
          <cell r="F233">
            <v>434874</v>
          </cell>
        </row>
        <row r="239">
          <cell r="D239" t="str">
            <v>SNI 03-3434-2002.(6.60)</v>
          </cell>
          <cell r="E239" t="str">
            <v>M</v>
          </cell>
          <cell r="F239">
            <v>9955</v>
          </cell>
        </row>
        <row r="240">
          <cell r="D240" t="str">
            <v>SNI 03-3434-2002.(6.2)</v>
          </cell>
          <cell r="E240" t="str">
            <v>M3</v>
          </cell>
          <cell r="F240">
            <v>5713400</v>
          </cell>
        </row>
        <row r="241">
          <cell r="D241" t="str">
            <v>SNI 03-3434-2002.(6.26).1</v>
          </cell>
          <cell r="E241" t="str">
            <v>M3</v>
          </cell>
          <cell r="F241">
            <v>299211</v>
          </cell>
        </row>
        <row r="242">
          <cell r="D242" t="str">
            <v>SNI 03-3434-2002.(6.15)</v>
          </cell>
          <cell r="E242" t="str">
            <v>M2</v>
          </cell>
          <cell r="F242">
            <v>300223</v>
          </cell>
        </row>
        <row r="243">
          <cell r="D243" t="str">
            <v>SNI 03-3434-2002.(6.8)</v>
          </cell>
          <cell r="E243" t="str">
            <v>M3</v>
          </cell>
          <cell r="F243">
            <v>339625</v>
          </cell>
        </row>
        <row r="244">
          <cell r="D244" t="str">
            <v>SNI 03-3434-2002.(6.59).1</v>
          </cell>
          <cell r="E244" t="str">
            <v>M2</v>
          </cell>
          <cell r="F244">
            <v>32157.29</v>
          </cell>
        </row>
        <row r="246">
          <cell r="D246" t="str">
            <v>SNI 03-3434-2002.(6.42).1</v>
          </cell>
          <cell r="F246">
            <v>65014.95</v>
          </cell>
        </row>
        <row r="247">
          <cell r="D247" t="str">
            <v>SNI 03-3434-2002.(6.50).1</v>
          </cell>
          <cell r="E247" t="str">
            <v>M</v>
          </cell>
          <cell r="F247">
            <v>44044</v>
          </cell>
        </row>
        <row r="248">
          <cell r="D248" t="str">
            <v>SNI 03-3434-2002.(6.50)</v>
          </cell>
          <cell r="E248" t="str">
            <v>M</v>
          </cell>
          <cell r="F248">
            <v>59079.9</v>
          </cell>
        </row>
        <row r="250">
          <cell r="D250" t="str">
            <v>SNI 03-3434-2002.(6.28)</v>
          </cell>
          <cell r="E250" t="str">
            <v>M3</v>
          </cell>
          <cell r="F250">
            <v>1267640</v>
          </cell>
        </row>
        <row r="251">
          <cell r="D251" t="str">
            <v>SNI 03-3434-2002.(6.31)</v>
          </cell>
          <cell r="E251" t="str">
            <v>M2</v>
          </cell>
          <cell r="F251">
            <v>54653.5</v>
          </cell>
        </row>
        <row r="252">
          <cell r="D252" t="str">
            <v>SNI 03-3434-2002.(6.48)</v>
          </cell>
          <cell r="E252" t="str">
            <v>M</v>
          </cell>
          <cell r="F252">
            <v>38945.5</v>
          </cell>
        </row>
        <row r="253">
          <cell r="D253" t="str">
            <v>SNI 03-3434-2002.(6.48).1</v>
          </cell>
          <cell r="E253" t="str">
            <v>M</v>
          </cell>
          <cell r="F253">
            <v>77781</v>
          </cell>
        </row>
        <row r="254">
          <cell r="D254" t="str">
            <v>SNI 03-3434-2002.(6.50).2</v>
          </cell>
          <cell r="E254" t="str">
            <v>M</v>
          </cell>
          <cell r="F254">
            <v>43301.5</v>
          </cell>
        </row>
        <row r="259">
          <cell r="D259" t="str">
            <v>SNI 03-B-2002.(6.1)</v>
          </cell>
          <cell r="E259" t="str">
            <v>Kg</v>
          </cell>
          <cell r="F259">
            <v>17067.489999999998</v>
          </cell>
        </row>
        <row r="260">
          <cell r="D260" t="str">
            <v>SNI 03-B-2002.(6.8)</v>
          </cell>
          <cell r="F260">
            <v>419854.16</v>
          </cell>
        </row>
        <row r="261">
          <cell r="D261" t="str">
            <v>SNI 03-B-2002.(6.12)</v>
          </cell>
          <cell r="F261">
            <v>805585.6</v>
          </cell>
        </row>
        <row r="262">
          <cell r="D262" t="str">
            <v>SNI 03-B-2002 (6.6)</v>
          </cell>
          <cell r="F262">
            <v>666144.15999999992</v>
          </cell>
        </row>
        <row r="263">
          <cell r="D263" t="str">
            <v>SNI 03-B-2002. (6.9)</v>
          </cell>
          <cell r="E263" t="str">
            <v>M2</v>
          </cell>
          <cell r="F263">
            <v>886144.15999999992</v>
          </cell>
        </row>
        <row r="269">
          <cell r="D269" t="str">
            <v>SNI 03-KK-2002.(6.11)</v>
          </cell>
          <cell r="F269">
            <v>70282.3</v>
          </cell>
        </row>
        <row r="270">
          <cell r="D270" t="str">
            <v>SNI 03-KK-2002.(6.11).1</v>
          </cell>
          <cell r="F270">
            <v>25182.3</v>
          </cell>
        </row>
        <row r="271">
          <cell r="D271" t="str">
            <v>SNI 03-KK-2002.(6.11).2</v>
          </cell>
          <cell r="F271">
            <v>25182.3</v>
          </cell>
        </row>
        <row r="272">
          <cell r="D272" t="str">
            <v>SNI 03-KK-2002.(6.12).1</v>
          </cell>
          <cell r="F272">
            <v>92924.15</v>
          </cell>
        </row>
        <row r="273">
          <cell r="D273" t="str">
            <v>SNI 03-KK-2002.(6.17)</v>
          </cell>
          <cell r="F273">
            <v>108289.22500000001</v>
          </cell>
        </row>
        <row r="274">
          <cell r="D274" t="str">
            <v>SNI 03-KK-2002.(6.20)</v>
          </cell>
          <cell r="F274">
            <v>205089.22500000001</v>
          </cell>
        </row>
        <row r="275">
          <cell r="D275" t="str">
            <v>SNI 03-KK-2002.(6.24)</v>
          </cell>
          <cell r="F275">
            <v>253489.22500000003</v>
          </cell>
        </row>
        <row r="276">
          <cell r="D276" t="str">
            <v>SNI 03-KK-2002.(6.3)</v>
          </cell>
          <cell r="F276">
            <v>92924.15</v>
          </cell>
        </row>
        <row r="277">
          <cell r="D277" t="str">
            <v>SNI 03-KK-2002.(6.4)</v>
          </cell>
          <cell r="F277">
            <v>87613.074999999997</v>
          </cell>
        </row>
        <row r="278">
          <cell r="D278" t="str">
            <v>SNI 03-KK-2002.(6.5)</v>
          </cell>
          <cell r="F278">
            <v>32351.74642857143</v>
          </cell>
        </row>
        <row r="279">
          <cell r="D279" t="str">
            <v>SNI 03-KK-2002.(6.6)</v>
          </cell>
          <cell r="F279">
            <v>23621.164285714291</v>
          </cell>
        </row>
        <row r="280">
          <cell r="D280" t="str">
            <v>SNI 03-KK-2002.(6.9)</v>
          </cell>
          <cell r="F280">
            <v>16951.74642857143</v>
          </cell>
        </row>
        <row r="285">
          <cell r="D285" t="str">
            <v>SNI 03-3436-2002.(6.2).1</v>
          </cell>
          <cell r="E285" t="str">
            <v>M2</v>
          </cell>
          <cell r="F285">
            <v>163295</v>
          </cell>
        </row>
        <row r="286">
          <cell r="D286" t="str">
            <v>SNI 03-3436-2002.(6.42)</v>
          </cell>
          <cell r="E286" t="str">
            <v>M2</v>
          </cell>
          <cell r="F286">
            <v>42970.8</v>
          </cell>
        </row>
        <row r="287">
          <cell r="D287" t="str">
            <v>SNI 03-3436-2002.(6.40)</v>
          </cell>
          <cell r="E287" t="str">
            <v>M2</v>
          </cell>
          <cell r="F287">
            <v>176165</v>
          </cell>
        </row>
        <row r="288">
          <cell r="D288" t="str">
            <v>SNI 03-3436-2002.(6.5)</v>
          </cell>
          <cell r="E288" t="str">
            <v>M2</v>
          </cell>
          <cell r="F288">
            <v>67285.899999999994</v>
          </cell>
        </row>
        <row r="289">
          <cell r="D289" t="str">
            <v>SNI 03-3436-2002.(6.8)</v>
          </cell>
          <cell r="E289" t="str">
            <v>M2</v>
          </cell>
          <cell r="F289">
            <v>36790.6</v>
          </cell>
        </row>
        <row r="290">
          <cell r="D290" t="str">
            <v>SNI 03-3436-2002.(6.32)</v>
          </cell>
          <cell r="E290" t="str">
            <v>M2</v>
          </cell>
          <cell r="F290">
            <v>118660.3</v>
          </cell>
        </row>
        <row r="291">
          <cell r="D291" t="str">
            <v>SNI 03-3436-2002.(6.36)</v>
          </cell>
          <cell r="E291" t="str">
            <v>M</v>
          </cell>
          <cell r="F291">
            <v>67285.899999999994</v>
          </cell>
        </row>
        <row r="296">
          <cell r="D296" t="str">
            <v>SNI 03-2838-2002.(6.11).1</v>
          </cell>
          <cell r="E296" t="str">
            <v>M2</v>
          </cell>
          <cell r="F296">
            <v>97664.05</v>
          </cell>
        </row>
        <row r="297">
          <cell r="D297" t="str">
            <v>SNI 03-2838-2002.(6.11).2</v>
          </cell>
          <cell r="E297" t="str">
            <v>M2</v>
          </cell>
          <cell r="F297">
            <v>355581.05</v>
          </cell>
        </row>
        <row r="305">
          <cell r="D305" t="str">
            <v>SNI 03-S-2002.(6.23).1</v>
          </cell>
          <cell r="E305" t="str">
            <v>M</v>
          </cell>
          <cell r="F305">
            <v>128482.42</v>
          </cell>
        </row>
        <row r="306">
          <cell r="D306" t="str">
            <v>SNI 03-S-2002.(6.2)</v>
          </cell>
          <cell r="E306" t="str">
            <v>Buah</v>
          </cell>
          <cell r="F306">
            <v>478368</v>
          </cell>
        </row>
        <row r="307">
          <cell r="D307" t="str">
            <v>SNI 03-S-2002.(6.4).1</v>
          </cell>
          <cell r="E307" t="str">
            <v>Buah</v>
          </cell>
          <cell r="F307">
            <v>1086140</v>
          </cell>
        </row>
        <row r="308">
          <cell r="D308" t="str">
            <v>SNI 03-S-2002.(6.4)</v>
          </cell>
          <cell r="E308" t="str">
            <v>Buah</v>
          </cell>
          <cell r="F308">
            <v>1058090</v>
          </cell>
        </row>
        <row r="309">
          <cell r="D309" t="str">
            <v>SNI 03-S-2002.(6.5)</v>
          </cell>
          <cell r="E309" t="str">
            <v>Buah</v>
          </cell>
          <cell r="F309">
            <v>939510</v>
          </cell>
        </row>
        <row r="310">
          <cell r="D310" t="str">
            <v>SNI 03-S-2002.(6.35)</v>
          </cell>
          <cell r="E310" t="str">
            <v>Buah</v>
          </cell>
          <cell r="F310">
            <v>35541</v>
          </cell>
        </row>
        <row r="311">
          <cell r="D311" t="str">
            <v>SNI 03-S-2002.(6.36)</v>
          </cell>
          <cell r="E311" t="str">
            <v>Buah</v>
          </cell>
          <cell r="F311">
            <v>105858.5</v>
          </cell>
        </row>
        <row r="312">
          <cell r="D312" t="str">
            <v>SNI 03-S-2002.(6.7)</v>
          </cell>
          <cell r="E312" t="str">
            <v>Buah</v>
          </cell>
          <cell r="F312">
            <v>1718651</v>
          </cell>
        </row>
        <row r="313">
          <cell r="D313" t="str">
            <v>SNI 03-S-2002.(6.33)</v>
          </cell>
          <cell r="E313" t="str">
            <v>Buah</v>
          </cell>
          <cell r="F313">
            <v>1122758.45</v>
          </cell>
        </row>
        <row r="314">
          <cell r="D314" t="str">
            <v>SNI 03-S-2002.(6.35).1</v>
          </cell>
          <cell r="E314" t="str">
            <v>Buah</v>
          </cell>
          <cell r="F314">
            <v>173041</v>
          </cell>
        </row>
        <row r="329">
          <cell r="D329" t="str">
            <v>SNI 03-C-2002.(6.14)</v>
          </cell>
          <cell r="F329">
            <v>14949.110000000002</v>
          </cell>
        </row>
        <row r="330">
          <cell r="D330" t="str">
            <v>SNI 03-C-2002.(6.20)</v>
          </cell>
          <cell r="F330">
            <v>4246.0000000000009</v>
          </cell>
        </row>
        <row r="331">
          <cell r="D331" t="str">
            <v>SNI 03-C-2002.(6.8)</v>
          </cell>
          <cell r="F331">
            <v>23684.65</v>
          </cell>
        </row>
        <row r="365">
          <cell r="D365" t="str">
            <v>3.1 (1)</v>
          </cell>
          <cell r="E365" t="str">
            <v>M3</v>
          </cell>
          <cell r="F365">
            <v>47868.535544795363</v>
          </cell>
        </row>
        <row r="366">
          <cell r="D366" t="str">
            <v>3.1 (2)</v>
          </cell>
          <cell r="E366" t="str">
            <v>M3</v>
          </cell>
        </row>
        <row r="367">
          <cell r="D367" t="str">
            <v>3.1 (3)</v>
          </cell>
          <cell r="E367" t="str">
            <v>M3</v>
          </cell>
        </row>
        <row r="368">
          <cell r="D368" t="str">
            <v>3.1 (4)</v>
          </cell>
          <cell r="E368" t="str">
            <v>M3</v>
          </cell>
        </row>
        <row r="369">
          <cell r="D369" t="str">
            <v>3.1 (5)</v>
          </cell>
          <cell r="E369" t="str">
            <v>M3</v>
          </cell>
        </row>
        <row r="370">
          <cell r="D370" t="str">
            <v>3.2 (3)</v>
          </cell>
          <cell r="E370" t="str">
            <v>M3</v>
          </cell>
          <cell r="F370">
            <v>220047.71374816727</v>
          </cell>
        </row>
        <row r="371">
          <cell r="D371" t="str">
            <v>3.2 (2)</v>
          </cell>
          <cell r="E371" t="str">
            <v>M3</v>
          </cell>
          <cell r="F371">
            <v>139594.06119796645</v>
          </cell>
        </row>
        <row r="372">
          <cell r="D372" t="str">
            <v>3.3 (1)</v>
          </cell>
          <cell r="E372" t="str">
            <v>M3</v>
          </cell>
          <cell r="F372">
            <v>2606.0358591508893</v>
          </cell>
        </row>
        <row r="373">
          <cell r="D373" t="str">
            <v>3.4 (6)</v>
          </cell>
          <cell r="E373" t="str">
            <v>M2</v>
          </cell>
          <cell r="F373">
            <v>11990.942857142858</v>
          </cell>
        </row>
        <row r="374">
          <cell r="D374" t="str">
            <v>3.4 (6).a</v>
          </cell>
          <cell r="E374" t="str">
            <v>M2</v>
          </cell>
          <cell r="F374">
            <v>21175.942857142854</v>
          </cell>
        </row>
        <row r="406">
          <cell r="D406" t="str">
            <v>5.1 (1)</v>
          </cell>
          <cell r="E406" t="str">
            <v>M3</v>
          </cell>
          <cell r="F406">
            <v>184954.42139446817</v>
          </cell>
        </row>
        <row r="407">
          <cell r="D407" t="str">
            <v>5.1 (2)</v>
          </cell>
          <cell r="E407" t="str">
            <v>M3</v>
          </cell>
          <cell r="F407">
            <v>180636.92139446817</v>
          </cell>
        </row>
        <row r="416">
          <cell r="D416" t="str">
            <v>6.1 (1)</v>
          </cell>
          <cell r="E416" t="str">
            <v>Liter</v>
          </cell>
          <cell r="F416">
            <v>5269.3620030000966</v>
          </cell>
        </row>
        <row r="417">
          <cell r="D417" t="str">
            <v>6.1 (2)</v>
          </cell>
          <cell r="E417" t="str">
            <v>Liter</v>
          </cell>
          <cell r="F417">
            <v>5864.4813293889856</v>
          </cell>
        </row>
        <row r="418">
          <cell r="D418" t="str">
            <v>6.2 (1)</v>
          </cell>
          <cell r="E418" t="str">
            <v>M2</v>
          </cell>
        </row>
        <row r="419">
          <cell r="D419" t="str">
            <v>6.2 (2)</v>
          </cell>
          <cell r="E419" t="str">
            <v>M2</v>
          </cell>
        </row>
        <row r="420">
          <cell r="D420" t="str">
            <v>6.2 (3)</v>
          </cell>
          <cell r="E420" t="str">
            <v>Liter</v>
          </cell>
        </row>
        <row r="421">
          <cell r="D421" t="str">
            <v>6.3 (1)</v>
          </cell>
          <cell r="E421" t="str">
            <v>M2</v>
          </cell>
        </row>
        <row r="422">
          <cell r="D422" t="str">
            <v>6.3 (2)</v>
          </cell>
          <cell r="E422" t="str">
            <v>M2</v>
          </cell>
        </row>
        <row r="423">
          <cell r="D423" t="str">
            <v>6.3 (3)</v>
          </cell>
          <cell r="E423" t="str">
            <v>M2</v>
          </cell>
        </row>
        <row r="424">
          <cell r="D424" t="str">
            <v>6.3 (4)</v>
          </cell>
          <cell r="E424" t="str">
            <v>M3</v>
          </cell>
          <cell r="F424">
            <v>775349.68384593609</v>
          </cell>
        </row>
        <row r="425">
          <cell r="D425" t="str">
            <v>6.3 (5)</v>
          </cell>
          <cell r="E425" t="str">
            <v>M2</v>
          </cell>
          <cell r="F425">
            <v>40678.259731794889</v>
          </cell>
        </row>
        <row r="426">
          <cell r="D426" t="str">
            <v>6.3 (6)</v>
          </cell>
          <cell r="E426" t="str">
            <v>M3</v>
          </cell>
        </row>
        <row r="427">
          <cell r="D427" t="str">
            <v>6.4 (1)</v>
          </cell>
          <cell r="E427" t="str">
            <v>M2</v>
          </cell>
        </row>
        <row r="428">
          <cell r="D428" t="str">
            <v>6.4 (2)</v>
          </cell>
          <cell r="E428" t="str">
            <v>M2</v>
          </cell>
        </row>
        <row r="429">
          <cell r="D429" t="str">
            <v>6.4 (3)</v>
          </cell>
          <cell r="E429" t="str">
            <v>M2</v>
          </cell>
        </row>
        <row r="430">
          <cell r="D430" t="str">
            <v>6.4 (4)</v>
          </cell>
          <cell r="E430" t="str">
            <v>Ton</v>
          </cell>
        </row>
        <row r="431">
          <cell r="D431" t="str">
            <v>6.4 (5)</v>
          </cell>
          <cell r="E431" t="str">
            <v>Ton</v>
          </cell>
        </row>
        <row r="432">
          <cell r="D432" t="str">
            <v>6.4 (6)</v>
          </cell>
          <cell r="E432" t="str">
            <v>Liter</v>
          </cell>
        </row>
        <row r="433">
          <cell r="D433" t="str">
            <v>6.5 (1)</v>
          </cell>
          <cell r="E433" t="str">
            <v>M3</v>
          </cell>
        </row>
        <row r="434">
          <cell r="D434" t="str">
            <v>6.6</v>
          </cell>
          <cell r="E434" t="str">
            <v>M3</v>
          </cell>
        </row>
        <row r="450">
          <cell r="D450" t="str">
            <v>7.1 (6)</v>
          </cell>
          <cell r="E450" t="str">
            <v>M3</v>
          </cell>
          <cell r="F450">
            <v>673202.91323471337</v>
          </cell>
        </row>
        <row r="451">
          <cell r="D451" t="str">
            <v>7.1 (5)</v>
          </cell>
          <cell r="E451" t="str">
            <v>M3</v>
          </cell>
          <cell r="F451">
            <v>765460.82244037965</v>
          </cell>
        </row>
        <row r="452">
          <cell r="D452" t="str">
            <v>7.1 (3)</v>
          </cell>
          <cell r="E452" t="str">
            <v>M3</v>
          </cell>
          <cell r="F452">
            <v>965613.23921711405</v>
          </cell>
        </row>
        <row r="453">
          <cell r="D453" t="str">
            <v>7.3 (1)</v>
          </cell>
          <cell r="E453" t="str">
            <v>Kg</v>
          </cell>
          <cell r="F453">
            <v>10032</v>
          </cell>
        </row>
        <row r="454">
          <cell r="D454" t="str">
            <v>7.3 (3)</v>
          </cell>
          <cell r="E454" t="str">
            <v>Kg</v>
          </cell>
          <cell r="F454">
            <v>11242</v>
          </cell>
        </row>
        <row r="495">
          <cell r="D495" t="str">
            <v>7.4 (4).a</v>
          </cell>
          <cell r="E495" t="str">
            <v>Kg</v>
          </cell>
          <cell r="F495">
            <v>16805.319299999999</v>
          </cell>
        </row>
        <row r="535">
          <cell r="D535" t="str">
            <v>7.10 (2)</v>
          </cell>
          <cell r="E535" t="str">
            <v>M3</v>
          </cell>
        </row>
        <row r="575">
          <cell r="D575" t="str">
            <v>8.4 (2)</v>
          </cell>
          <cell r="E575" t="str">
            <v>M2</v>
          </cell>
          <cell r="F575">
            <v>92392.363642857134</v>
          </cell>
        </row>
        <row r="641">
          <cell r="D641" t="str">
            <v>AL-1</v>
          </cell>
          <cell r="F641">
            <v>36723.5</v>
          </cell>
        </row>
        <row r="642">
          <cell r="D642" t="str">
            <v>AL-2</v>
          </cell>
          <cell r="F642">
            <v>97322.5</v>
          </cell>
        </row>
        <row r="643">
          <cell r="D643" t="str">
            <v>AL-3</v>
          </cell>
          <cell r="F643">
            <v>8840.8100000000013</v>
          </cell>
        </row>
        <row r="644">
          <cell r="D644" t="str">
            <v>AL-4</v>
          </cell>
          <cell r="F644">
            <v>118050</v>
          </cell>
        </row>
        <row r="645">
          <cell r="D645" t="str">
            <v>AL-5</v>
          </cell>
          <cell r="F645">
            <v>298190.75</v>
          </cell>
        </row>
        <row r="646">
          <cell r="D646" t="str">
            <v>AL-6</v>
          </cell>
          <cell r="F646">
            <v>103372.5</v>
          </cell>
        </row>
        <row r="647">
          <cell r="D647" t="str">
            <v>AL-7</v>
          </cell>
          <cell r="F647">
            <v>1076.4285714285716</v>
          </cell>
        </row>
        <row r="648">
          <cell r="D648" t="str">
            <v>AL-9</v>
          </cell>
          <cell r="E648" t="str">
            <v>M2</v>
          </cell>
          <cell r="F648">
            <v>355591.5</v>
          </cell>
        </row>
        <row r="649">
          <cell r="D649" t="str">
            <v>AL-10</v>
          </cell>
          <cell r="F649" t="e">
            <v>#N/A</v>
          </cell>
        </row>
        <row r="650">
          <cell r="D650" t="str">
            <v>AL-11</v>
          </cell>
          <cell r="F650">
            <v>356317.5</v>
          </cell>
        </row>
        <row r="651">
          <cell r="D651" t="str">
            <v>AL-12</v>
          </cell>
          <cell r="F651">
            <v>108817.5</v>
          </cell>
        </row>
        <row r="652">
          <cell r="D652" t="str">
            <v>AL-13</v>
          </cell>
          <cell r="F652" t="e">
            <v>#N/A</v>
          </cell>
        </row>
        <row r="653">
          <cell r="D653" t="str">
            <v>AL-14</v>
          </cell>
          <cell r="F653" t="e">
            <v>#N/A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DFT KUAN&amp;HRG"/>
      <sheetName val="ANALISA"/>
      <sheetName val="UPH &amp; BHN"/>
      <sheetName val="Analisa AB"/>
      <sheetName val="Analisa BD"/>
      <sheetName val="Sheet5"/>
      <sheetName val="Sheet1"/>
      <sheetName val="Sheet2"/>
      <sheetName val="Sheet4"/>
      <sheetName val="Sheet3"/>
    </sheetNames>
    <sheetDataSet>
      <sheetData sheetId="0" refreshError="1"/>
      <sheetData sheetId="1"/>
      <sheetData sheetId="2"/>
      <sheetData sheetId="3" refreshError="1">
        <row r="8">
          <cell r="F8">
            <v>0</v>
          </cell>
        </row>
      </sheetData>
      <sheetData sheetId="4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ST"/>
      <sheetName val="SUM1"/>
      <sheetName val="2RD"/>
      <sheetName val="SUM2"/>
      <sheetName val="3TH"/>
      <sheetName val="SUM3"/>
      <sheetName val="4TH"/>
      <sheetName val="SUM4"/>
      <sheetName val="5TH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>
        <row r="15">
          <cell r="DR15">
            <v>7073837.4864515197</v>
          </cell>
        </row>
        <row r="16">
          <cell r="DR16">
            <v>392944588.67104131</v>
          </cell>
        </row>
        <row r="17">
          <cell r="DR17">
            <v>0</v>
          </cell>
        </row>
        <row r="18">
          <cell r="DR18">
            <v>0</v>
          </cell>
        </row>
        <row r="19">
          <cell r="DR19" t="str">
            <v/>
          </cell>
        </row>
        <row r="20">
          <cell r="DR20">
            <v>7147124.9434511662</v>
          </cell>
        </row>
        <row r="21">
          <cell r="DR21">
            <v>33566416.158041984</v>
          </cell>
        </row>
        <row r="22">
          <cell r="DR22">
            <v>1611895.8273461936</v>
          </cell>
        </row>
        <row r="23">
          <cell r="DR23" t="str">
            <v/>
          </cell>
        </row>
        <row r="24">
          <cell r="DR24" t="str">
            <v/>
          </cell>
        </row>
        <row r="25">
          <cell r="DR25" t="str">
            <v/>
          </cell>
        </row>
        <row r="26">
          <cell r="DR26">
            <v>171145658.89584208</v>
          </cell>
        </row>
        <row r="27">
          <cell r="DR27" t="str">
            <v/>
          </cell>
        </row>
        <row r="28">
          <cell r="DR28">
            <v>0</v>
          </cell>
        </row>
        <row r="29">
          <cell r="DR29">
            <v>49096094.823816702</v>
          </cell>
        </row>
        <row r="30">
          <cell r="DR30">
            <v>0</v>
          </cell>
        </row>
        <row r="31">
          <cell r="DR31">
            <v>83444182.243504569</v>
          </cell>
        </row>
        <row r="32">
          <cell r="DR32">
            <v>0</v>
          </cell>
        </row>
        <row r="33">
          <cell r="DR33">
            <v>44797209.684213921</v>
          </cell>
        </row>
        <row r="34">
          <cell r="DR34">
            <v>230080647.76457581</v>
          </cell>
        </row>
        <row r="35">
          <cell r="DR35">
            <v>0</v>
          </cell>
        </row>
        <row r="36">
          <cell r="DR36">
            <v>0</v>
          </cell>
        </row>
        <row r="37">
          <cell r="DR37">
            <v>16656867.850673551</v>
          </cell>
        </row>
        <row r="38">
          <cell r="DR38">
            <v>0</v>
          </cell>
        </row>
        <row r="39">
          <cell r="DR39">
            <v>0</v>
          </cell>
        </row>
        <row r="40">
          <cell r="DR40">
            <v>0</v>
          </cell>
        </row>
        <row r="41">
          <cell r="DR41">
            <v>0</v>
          </cell>
        </row>
        <row r="42">
          <cell r="DR42" t="str">
            <v/>
          </cell>
        </row>
        <row r="43">
          <cell r="DR43">
            <v>58082970.644215256</v>
          </cell>
        </row>
        <row r="44">
          <cell r="DR44">
            <v>0</v>
          </cell>
        </row>
        <row r="45">
          <cell r="DR45">
            <v>31322277.738503456</v>
          </cell>
        </row>
        <row r="46">
          <cell r="DR46" t="str">
            <v/>
          </cell>
        </row>
        <row r="47">
          <cell r="DR47">
            <v>0</v>
          </cell>
        </row>
        <row r="48">
          <cell r="DR48">
            <v>0</v>
          </cell>
        </row>
        <row r="49">
          <cell r="DR49">
            <v>0</v>
          </cell>
        </row>
        <row r="50">
          <cell r="DR50" t="str">
            <v/>
          </cell>
        </row>
        <row r="51">
          <cell r="DR51" t="str">
            <v/>
          </cell>
        </row>
        <row r="52">
          <cell r="DR52" t="str">
            <v/>
          </cell>
        </row>
        <row r="53">
          <cell r="DR53">
            <v>4319655.5944314068</v>
          </cell>
        </row>
        <row r="54">
          <cell r="DR54" t="str">
            <v/>
          </cell>
        </row>
        <row r="55">
          <cell r="DR55" t="str">
            <v/>
          </cell>
        </row>
        <row r="56">
          <cell r="DR56" t="str">
            <v/>
          </cell>
        </row>
        <row r="57">
          <cell r="DR57">
            <v>0</v>
          </cell>
        </row>
        <row r="58">
          <cell r="DR58" t="str">
            <v/>
          </cell>
        </row>
        <row r="59">
          <cell r="DR59">
            <v>0</v>
          </cell>
        </row>
        <row r="60">
          <cell r="DR60" t="str">
            <v/>
          </cell>
        </row>
        <row r="61">
          <cell r="DR61">
            <v>0</v>
          </cell>
        </row>
        <row r="62">
          <cell r="DR62">
            <v>0</v>
          </cell>
        </row>
        <row r="63">
          <cell r="DR63">
            <v>0</v>
          </cell>
        </row>
        <row r="64">
          <cell r="DR64">
            <v>0</v>
          </cell>
        </row>
        <row r="65">
          <cell r="DR65">
            <v>0</v>
          </cell>
        </row>
        <row r="66">
          <cell r="DR66">
            <v>0</v>
          </cell>
        </row>
        <row r="67">
          <cell r="DR67">
            <v>0</v>
          </cell>
        </row>
        <row r="68">
          <cell r="DR68">
            <v>0</v>
          </cell>
        </row>
        <row r="69">
          <cell r="DR69">
            <v>0</v>
          </cell>
        </row>
        <row r="70">
          <cell r="DR70">
            <v>0</v>
          </cell>
        </row>
        <row r="71">
          <cell r="DR71">
            <v>0</v>
          </cell>
        </row>
        <row r="72">
          <cell r="DR72">
            <v>0</v>
          </cell>
        </row>
        <row r="73">
          <cell r="DR73">
            <v>0</v>
          </cell>
        </row>
        <row r="74">
          <cell r="DR74" t="str">
            <v/>
          </cell>
        </row>
        <row r="75">
          <cell r="DR75">
            <v>0</v>
          </cell>
        </row>
        <row r="76">
          <cell r="DR76">
            <v>0</v>
          </cell>
        </row>
        <row r="77">
          <cell r="DR77">
            <v>0</v>
          </cell>
        </row>
        <row r="78">
          <cell r="DR78" t="str">
            <v/>
          </cell>
        </row>
        <row r="79">
          <cell r="DR79">
            <v>0</v>
          </cell>
        </row>
        <row r="80">
          <cell r="DR80">
            <v>0</v>
          </cell>
        </row>
        <row r="81">
          <cell r="DR81">
            <v>0</v>
          </cell>
        </row>
        <row r="82">
          <cell r="DR82">
            <v>0</v>
          </cell>
        </row>
        <row r="83">
          <cell r="DR83">
            <v>0</v>
          </cell>
        </row>
        <row r="84">
          <cell r="DR84">
            <v>0</v>
          </cell>
        </row>
        <row r="85">
          <cell r="DR85" t="str">
            <v/>
          </cell>
        </row>
        <row r="86">
          <cell r="DR86" t="str">
            <v/>
          </cell>
        </row>
        <row r="87">
          <cell r="DR87" t="str">
            <v/>
          </cell>
        </row>
        <row r="88">
          <cell r="DR88" t="str">
            <v/>
          </cell>
        </row>
        <row r="89">
          <cell r="DR89" t="str">
            <v/>
          </cell>
        </row>
        <row r="90">
          <cell r="DR90">
            <v>0</v>
          </cell>
        </row>
        <row r="91">
          <cell r="DR91">
            <v>0</v>
          </cell>
        </row>
        <row r="92">
          <cell r="DR92" t="str">
            <v/>
          </cell>
        </row>
        <row r="93">
          <cell r="DR93">
            <v>0</v>
          </cell>
        </row>
        <row r="94">
          <cell r="DR94">
            <v>0</v>
          </cell>
        </row>
        <row r="95">
          <cell r="DR95">
            <v>0</v>
          </cell>
        </row>
        <row r="96">
          <cell r="DR96">
            <v>0</v>
          </cell>
        </row>
        <row r="97">
          <cell r="DR97">
            <v>0</v>
          </cell>
        </row>
        <row r="98">
          <cell r="DR98">
            <v>0</v>
          </cell>
        </row>
        <row r="99">
          <cell r="DR99">
            <v>0</v>
          </cell>
        </row>
        <row r="100">
          <cell r="DR100">
            <v>0</v>
          </cell>
        </row>
        <row r="101">
          <cell r="DR101">
            <v>0</v>
          </cell>
        </row>
        <row r="102">
          <cell r="DR102">
            <v>0</v>
          </cell>
        </row>
        <row r="103">
          <cell r="DR103" t="str">
            <v/>
          </cell>
        </row>
        <row r="104">
          <cell r="DR104" t="str">
            <v/>
          </cell>
        </row>
        <row r="105">
          <cell r="DR105">
            <v>0</v>
          </cell>
        </row>
        <row r="106">
          <cell r="DR106">
            <v>0</v>
          </cell>
        </row>
        <row r="107">
          <cell r="DR107">
            <v>0</v>
          </cell>
        </row>
        <row r="108">
          <cell r="DR108">
            <v>0</v>
          </cell>
        </row>
        <row r="109">
          <cell r="DR109">
            <v>0</v>
          </cell>
        </row>
        <row r="110">
          <cell r="DR110">
            <v>0</v>
          </cell>
        </row>
        <row r="111">
          <cell r="DR111">
            <v>0</v>
          </cell>
        </row>
        <row r="112">
          <cell r="DR112">
            <v>0</v>
          </cell>
        </row>
        <row r="113">
          <cell r="DR113">
            <v>0</v>
          </cell>
        </row>
        <row r="114">
          <cell r="DR114">
            <v>0</v>
          </cell>
        </row>
        <row r="115">
          <cell r="DR115">
            <v>0</v>
          </cell>
        </row>
        <row r="116">
          <cell r="DR116">
            <v>0</v>
          </cell>
        </row>
        <row r="117">
          <cell r="DR117">
            <v>0</v>
          </cell>
        </row>
        <row r="118">
          <cell r="DR118">
            <v>0</v>
          </cell>
        </row>
        <row r="119">
          <cell r="DR119">
            <v>0</v>
          </cell>
        </row>
        <row r="120">
          <cell r="DR120">
            <v>0</v>
          </cell>
        </row>
        <row r="121">
          <cell r="DR121" t="str">
            <v/>
          </cell>
        </row>
        <row r="122">
          <cell r="DR122">
            <v>0</v>
          </cell>
        </row>
        <row r="123">
          <cell r="DR123">
            <v>0</v>
          </cell>
        </row>
        <row r="124">
          <cell r="DR124">
            <v>0</v>
          </cell>
        </row>
        <row r="125">
          <cell r="DR125">
            <v>0</v>
          </cell>
        </row>
        <row r="126">
          <cell r="DR126">
            <v>0</v>
          </cell>
        </row>
        <row r="127">
          <cell r="DR127">
            <v>0</v>
          </cell>
        </row>
        <row r="128">
          <cell r="DR128" t="str">
            <v/>
          </cell>
        </row>
        <row r="129">
          <cell r="DR129" t="str">
            <v/>
          </cell>
        </row>
        <row r="130">
          <cell r="DR130" t="str">
            <v/>
          </cell>
        </row>
        <row r="131">
          <cell r="DR131">
            <v>0</v>
          </cell>
        </row>
        <row r="132">
          <cell r="DR132">
            <v>0</v>
          </cell>
        </row>
        <row r="133">
          <cell r="DR133" t="str">
            <v/>
          </cell>
        </row>
        <row r="134">
          <cell r="DR134">
            <v>0</v>
          </cell>
        </row>
        <row r="135">
          <cell r="DR135">
            <v>0</v>
          </cell>
        </row>
        <row r="136">
          <cell r="DR136">
            <v>0</v>
          </cell>
        </row>
        <row r="137">
          <cell r="DR137">
            <v>0</v>
          </cell>
        </row>
        <row r="138">
          <cell r="DR138">
            <v>0</v>
          </cell>
        </row>
        <row r="139">
          <cell r="DR139">
            <v>0</v>
          </cell>
        </row>
        <row r="140">
          <cell r="DR140">
            <v>0</v>
          </cell>
        </row>
        <row r="141">
          <cell r="DR141">
            <v>0</v>
          </cell>
        </row>
        <row r="142">
          <cell r="DR142">
            <v>0</v>
          </cell>
        </row>
        <row r="143">
          <cell r="DR143">
            <v>0</v>
          </cell>
        </row>
        <row r="144">
          <cell r="DR144">
            <v>0</v>
          </cell>
        </row>
        <row r="145">
          <cell r="DR145">
            <v>0</v>
          </cell>
        </row>
        <row r="146">
          <cell r="DR146">
            <v>0</v>
          </cell>
        </row>
        <row r="147">
          <cell r="DR147">
            <v>0</v>
          </cell>
        </row>
        <row r="148">
          <cell r="DR148">
            <v>0</v>
          </cell>
        </row>
        <row r="149">
          <cell r="DR149">
            <v>0</v>
          </cell>
        </row>
        <row r="150">
          <cell r="DR150">
            <v>0</v>
          </cell>
        </row>
        <row r="151">
          <cell r="DR151">
            <v>0</v>
          </cell>
        </row>
        <row r="152">
          <cell r="DR152" t="str">
            <v/>
          </cell>
        </row>
        <row r="153">
          <cell r="DR153">
            <v>0</v>
          </cell>
        </row>
        <row r="154">
          <cell r="DR154">
            <v>0</v>
          </cell>
        </row>
        <row r="155">
          <cell r="DR155">
            <v>0</v>
          </cell>
        </row>
        <row r="156">
          <cell r="DR156">
            <v>0</v>
          </cell>
        </row>
        <row r="157">
          <cell r="DR157">
            <v>0</v>
          </cell>
        </row>
        <row r="158">
          <cell r="DR158">
            <v>0</v>
          </cell>
        </row>
        <row r="159">
          <cell r="DR159">
            <v>0</v>
          </cell>
        </row>
        <row r="160">
          <cell r="DR160">
            <v>0</v>
          </cell>
        </row>
        <row r="161">
          <cell r="DR161">
            <v>0</v>
          </cell>
        </row>
        <row r="162">
          <cell r="DR162">
            <v>0</v>
          </cell>
        </row>
        <row r="163">
          <cell r="DR163">
            <v>0</v>
          </cell>
        </row>
        <row r="164">
          <cell r="DR164">
            <v>0</v>
          </cell>
        </row>
        <row r="165">
          <cell r="DR165">
            <v>0</v>
          </cell>
        </row>
        <row r="166">
          <cell r="DR166">
            <v>0</v>
          </cell>
        </row>
        <row r="167">
          <cell r="DR167">
            <v>0</v>
          </cell>
        </row>
        <row r="168">
          <cell r="DR168">
            <v>0</v>
          </cell>
        </row>
        <row r="169">
          <cell r="DR169">
            <v>0</v>
          </cell>
        </row>
        <row r="170">
          <cell r="DR170">
            <v>0</v>
          </cell>
        </row>
        <row r="171">
          <cell r="DR171">
            <v>0</v>
          </cell>
        </row>
        <row r="172">
          <cell r="DR172">
            <v>0</v>
          </cell>
        </row>
        <row r="173">
          <cell r="DR173" t="str">
            <v/>
          </cell>
        </row>
        <row r="174">
          <cell r="DR174" t="str">
            <v/>
          </cell>
        </row>
        <row r="175">
          <cell r="DR175" t="str">
            <v/>
          </cell>
        </row>
        <row r="176">
          <cell r="DR176" t="str">
            <v/>
          </cell>
        </row>
        <row r="177">
          <cell r="DR177">
            <v>0</v>
          </cell>
        </row>
        <row r="178">
          <cell r="DR178">
            <v>0</v>
          </cell>
        </row>
        <row r="179">
          <cell r="DR179">
            <v>0</v>
          </cell>
        </row>
        <row r="180">
          <cell r="DR180">
            <v>0</v>
          </cell>
        </row>
        <row r="181">
          <cell r="DR181">
            <v>0</v>
          </cell>
        </row>
        <row r="182">
          <cell r="DR182">
            <v>0</v>
          </cell>
        </row>
        <row r="183">
          <cell r="DR183">
            <v>0</v>
          </cell>
        </row>
        <row r="184">
          <cell r="DR184">
            <v>0</v>
          </cell>
        </row>
        <row r="185">
          <cell r="DR185" t="str">
            <v/>
          </cell>
        </row>
        <row r="186">
          <cell r="DR186" t="str">
            <v/>
          </cell>
        </row>
        <row r="187">
          <cell r="DR187" t="str">
            <v/>
          </cell>
        </row>
        <row r="188">
          <cell r="DR188" t="str">
            <v/>
          </cell>
        </row>
        <row r="189">
          <cell r="DR189" t="str">
            <v/>
          </cell>
        </row>
        <row r="190">
          <cell r="DR190">
            <v>1644068.3512807554</v>
          </cell>
        </row>
        <row r="191">
          <cell r="DR191">
            <v>0</v>
          </cell>
        </row>
        <row r="192">
          <cell r="DR192">
            <v>0</v>
          </cell>
        </row>
        <row r="193">
          <cell r="DR193" t="str">
            <v/>
          </cell>
        </row>
        <row r="194">
          <cell r="DR194" t="str">
            <v/>
          </cell>
        </row>
        <row r="195">
          <cell r="DR195">
            <v>0</v>
          </cell>
        </row>
        <row r="196">
          <cell r="DR196">
            <v>0</v>
          </cell>
        </row>
        <row r="197">
          <cell r="DR197" t="str">
            <v/>
          </cell>
        </row>
        <row r="198">
          <cell r="DR198">
            <v>0</v>
          </cell>
        </row>
        <row r="199">
          <cell r="DR199">
            <v>0</v>
          </cell>
        </row>
        <row r="200">
          <cell r="DR200">
            <v>0</v>
          </cell>
        </row>
        <row r="201">
          <cell r="DR201">
            <v>0</v>
          </cell>
        </row>
        <row r="202">
          <cell r="DR202">
            <v>0</v>
          </cell>
        </row>
        <row r="203">
          <cell r="DR203">
            <v>0</v>
          </cell>
        </row>
        <row r="204">
          <cell r="DR204">
            <v>0</v>
          </cell>
        </row>
        <row r="205">
          <cell r="DR205">
            <v>0</v>
          </cell>
        </row>
        <row r="206">
          <cell r="DR206">
            <v>0</v>
          </cell>
        </row>
        <row r="207">
          <cell r="DR207" t="str">
            <v/>
          </cell>
        </row>
        <row r="208">
          <cell r="DR208">
            <v>0</v>
          </cell>
        </row>
        <row r="209">
          <cell r="DR209">
            <v>0</v>
          </cell>
        </row>
        <row r="210">
          <cell r="DR210">
            <v>0</v>
          </cell>
        </row>
        <row r="211">
          <cell r="DR211">
            <v>0</v>
          </cell>
        </row>
        <row r="212">
          <cell r="DR212">
            <v>0</v>
          </cell>
        </row>
        <row r="213">
          <cell r="DR213">
            <v>0</v>
          </cell>
        </row>
        <row r="214">
          <cell r="DR214" t="str">
            <v/>
          </cell>
        </row>
        <row r="215">
          <cell r="DR215">
            <v>0</v>
          </cell>
        </row>
        <row r="216">
          <cell r="DR216" t="str">
            <v/>
          </cell>
        </row>
        <row r="217">
          <cell r="DR217" t="str">
            <v/>
          </cell>
        </row>
        <row r="218">
          <cell r="DR218" t="str">
            <v/>
          </cell>
        </row>
        <row r="219">
          <cell r="DR219">
            <v>0</v>
          </cell>
        </row>
        <row r="220">
          <cell r="DR220">
            <v>0</v>
          </cell>
        </row>
        <row r="221">
          <cell r="DR221" t="str">
            <v/>
          </cell>
        </row>
        <row r="222">
          <cell r="DR222">
            <v>0</v>
          </cell>
        </row>
        <row r="223">
          <cell r="DR223">
            <v>0</v>
          </cell>
        </row>
        <row r="224">
          <cell r="DR224">
            <v>0</v>
          </cell>
        </row>
        <row r="225">
          <cell r="DR225">
            <v>0</v>
          </cell>
        </row>
        <row r="226">
          <cell r="DR226">
            <v>0</v>
          </cell>
        </row>
        <row r="227">
          <cell r="DR227">
            <v>0</v>
          </cell>
        </row>
        <row r="228">
          <cell r="DR228">
            <v>0</v>
          </cell>
        </row>
        <row r="229">
          <cell r="DR229">
            <v>0</v>
          </cell>
        </row>
        <row r="230">
          <cell r="DR230">
            <v>0</v>
          </cell>
        </row>
        <row r="231">
          <cell r="DR231">
            <v>0</v>
          </cell>
        </row>
        <row r="232">
          <cell r="DR232" t="str">
            <v/>
          </cell>
        </row>
        <row r="233">
          <cell r="DR233">
            <v>0</v>
          </cell>
        </row>
        <row r="234">
          <cell r="DR234">
            <v>0</v>
          </cell>
        </row>
        <row r="235">
          <cell r="DR235">
            <v>0</v>
          </cell>
        </row>
        <row r="236">
          <cell r="DR236" t="str">
            <v/>
          </cell>
        </row>
        <row r="237">
          <cell r="DR237">
            <v>0</v>
          </cell>
        </row>
        <row r="238">
          <cell r="DR238">
            <v>0</v>
          </cell>
        </row>
        <row r="239">
          <cell r="DR239" t="str">
            <v/>
          </cell>
        </row>
        <row r="240">
          <cell r="DR240">
            <v>0</v>
          </cell>
        </row>
        <row r="241">
          <cell r="DR241">
            <v>0</v>
          </cell>
        </row>
        <row r="242">
          <cell r="DR242">
            <v>0</v>
          </cell>
        </row>
        <row r="243">
          <cell r="DR243">
            <v>0</v>
          </cell>
        </row>
        <row r="244">
          <cell r="DR244">
            <v>0</v>
          </cell>
        </row>
        <row r="245">
          <cell r="DR245">
            <v>0</v>
          </cell>
        </row>
        <row r="246">
          <cell r="DR246">
            <v>0</v>
          </cell>
        </row>
        <row r="247">
          <cell r="DR247">
            <v>0</v>
          </cell>
        </row>
        <row r="248">
          <cell r="DR248">
            <v>0</v>
          </cell>
        </row>
        <row r="249">
          <cell r="DR249" t="str">
            <v/>
          </cell>
        </row>
        <row r="250">
          <cell r="DR250">
            <v>0</v>
          </cell>
        </row>
        <row r="251">
          <cell r="DR251">
            <v>0</v>
          </cell>
        </row>
        <row r="252">
          <cell r="DR252">
            <v>0</v>
          </cell>
        </row>
        <row r="253">
          <cell r="DR253" t="str">
            <v/>
          </cell>
        </row>
        <row r="254">
          <cell r="DR254" t="str">
            <v/>
          </cell>
        </row>
        <row r="255">
          <cell r="DR255">
            <v>0</v>
          </cell>
        </row>
        <row r="256">
          <cell r="DR256">
            <v>0</v>
          </cell>
        </row>
        <row r="257">
          <cell r="DR257">
            <v>0</v>
          </cell>
        </row>
        <row r="258">
          <cell r="DR258">
            <v>0</v>
          </cell>
        </row>
        <row r="259">
          <cell r="DR259">
            <v>0</v>
          </cell>
        </row>
        <row r="260">
          <cell r="DR260">
            <v>0</v>
          </cell>
        </row>
        <row r="261">
          <cell r="DR261">
            <v>0</v>
          </cell>
        </row>
        <row r="262">
          <cell r="DR262">
            <v>0</v>
          </cell>
        </row>
        <row r="263">
          <cell r="DR263">
            <v>0</v>
          </cell>
        </row>
        <row r="264">
          <cell r="DR264">
            <v>0</v>
          </cell>
        </row>
        <row r="265">
          <cell r="DR265" t="str">
            <v/>
          </cell>
        </row>
        <row r="266">
          <cell r="DR266">
            <v>0</v>
          </cell>
        </row>
        <row r="267">
          <cell r="DR267" t="str">
            <v/>
          </cell>
        </row>
        <row r="268">
          <cell r="DR268" t="str">
            <v/>
          </cell>
        </row>
        <row r="269">
          <cell r="DR269" t="str">
            <v/>
          </cell>
        </row>
        <row r="270">
          <cell r="DR270" t="str">
            <v/>
          </cell>
        </row>
        <row r="271">
          <cell r="DR271" t="str">
            <v/>
          </cell>
        </row>
        <row r="272">
          <cell r="DR272">
            <v>0</v>
          </cell>
        </row>
        <row r="273">
          <cell r="DR273">
            <v>0</v>
          </cell>
        </row>
        <row r="274">
          <cell r="DR274" t="str">
            <v/>
          </cell>
        </row>
        <row r="275">
          <cell r="DR275" t="str">
            <v/>
          </cell>
        </row>
        <row r="276">
          <cell r="DR276">
            <v>0</v>
          </cell>
        </row>
        <row r="277">
          <cell r="DR277">
            <v>0</v>
          </cell>
        </row>
        <row r="278">
          <cell r="DR278">
            <v>0</v>
          </cell>
        </row>
        <row r="279">
          <cell r="DR279">
            <v>0</v>
          </cell>
        </row>
        <row r="280">
          <cell r="DR280">
            <v>0</v>
          </cell>
        </row>
        <row r="281">
          <cell r="DR281" t="str">
            <v/>
          </cell>
        </row>
        <row r="282">
          <cell r="DR282">
            <v>0</v>
          </cell>
        </row>
        <row r="283">
          <cell r="DR283">
            <v>0</v>
          </cell>
        </row>
        <row r="284">
          <cell r="DR284">
            <v>0</v>
          </cell>
        </row>
        <row r="285">
          <cell r="DR285">
            <v>0</v>
          </cell>
        </row>
        <row r="286">
          <cell r="DR286">
            <v>0</v>
          </cell>
        </row>
        <row r="287">
          <cell r="DR287">
            <v>0</v>
          </cell>
        </row>
        <row r="288">
          <cell r="DR288">
            <v>0</v>
          </cell>
        </row>
        <row r="289">
          <cell r="DR289">
            <v>0</v>
          </cell>
        </row>
        <row r="290">
          <cell r="DR290">
            <v>0</v>
          </cell>
        </row>
        <row r="291">
          <cell r="DR291">
            <v>0</v>
          </cell>
        </row>
        <row r="292">
          <cell r="DR292">
            <v>0</v>
          </cell>
        </row>
        <row r="293">
          <cell r="DR293" t="str">
            <v/>
          </cell>
        </row>
        <row r="294">
          <cell r="DR294">
            <v>0</v>
          </cell>
        </row>
        <row r="295">
          <cell r="DR295">
            <v>0</v>
          </cell>
        </row>
        <row r="296">
          <cell r="DR296">
            <v>0</v>
          </cell>
        </row>
        <row r="297">
          <cell r="DR297">
            <v>0</v>
          </cell>
        </row>
        <row r="298">
          <cell r="DR298">
            <v>0</v>
          </cell>
        </row>
        <row r="299">
          <cell r="DR299">
            <v>0</v>
          </cell>
        </row>
        <row r="300">
          <cell r="DR300">
            <v>0</v>
          </cell>
        </row>
        <row r="301">
          <cell r="DR301">
            <v>0</v>
          </cell>
        </row>
        <row r="302">
          <cell r="DR302" t="str">
            <v/>
          </cell>
        </row>
        <row r="303">
          <cell r="DR303">
            <v>0</v>
          </cell>
        </row>
        <row r="304">
          <cell r="DR304">
            <v>0</v>
          </cell>
        </row>
        <row r="305">
          <cell r="DR305">
            <v>0</v>
          </cell>
        </row>
        <row r="306">
          <cell r="DR306">
            <v>0</v>
          </cell>
        </row>
        <row r="307">
          <cell r="DR307">
            <v>0</v>
          </cell>
        </row>
        <row r="308">
          <cell r="DR308">
            <v>0</v>
          </cell>
        </row>
        <row r="309">
          <cell r="DR309">
            <v>0</v>
          </cell>
        </row>
        <row r="310">
          <cell r="DR310">
            <v>0</v>
          </cell>
        </row>
        <row r="311">
          <cell r="DR311">
            <v>0</v>
          </cell>
        </row>
        <row r="312">
          <cell r="DR312" t="str">
            <v/>
          </cell>
        </row>
        <row r="313">
          <cell r="DR313">
            <v>0</v>
          </cell>
        </row>
        <row r="314">
          <cell r="DR314">
            <v>0</v>
          </cell>
        </row>
        <row r="315">
          <cell r="DR315">
            <v>0</v>
          </cell>
        </row>
        <row r="316">
          <cell r="DR316">
            <v>0</v>
          </cell>
        </row>
        <row r="317">
          <cell r="DR317">
            <v>0</v>
          </cell>
        </row>
        <row r="318">
          <cell r="DR318">
            <v>0</v>
          </cell>
        </row>
        <row r="319">
          <cell r="DR319">
            <v>0</v>
          </cell>
        </row>
        <row r="320">
          <cell r="DR320">
            <v>0</v>
          </cell>
        </row>
        <row r="321">
          <cell r="DR321">
            <v>0</v>
          </cell>
        </row>
        <row r="322">
          <cell r="DR322">
            <v>0</v>
          </cell>
        </row>
        <row r="323">
          <cell r="DR323">
            <v>0</v>
          </cell>
        </row>
        <row r="324">
          <cell r="DR324">
            <v>0</v>
          </cell>
        </row>
        <row r="325">
          <cell r="DR325">
            <v>0</v>
          </cell>
        </row>
        <row r="326">
          <cell r="DR326">
            <v>0</v>
          </cell>
        </row>
        <row r="327">
          <cell r="DR327" t="str">
            <v/>
          </cell>
        </row>
        <row r="328">
          <cell r="DR328">
            <v>0</v>
          </cell>
        </row>
        <row r="329">
          <cell r="DR329">
            <v>0</v>
          </cell>
        </row>
        <row r="330">
          <cell r="DR330">
            <v>0</v>
          </cell>
        </row>
        <row r="331">
          <cell r="DR331">
            <v>0</v>
          </cell>
        </row>
        <row r="332">
          <cell r="DR332">
            <v>0</v>
          </cell>
        </row>
        <row r="333">
          <cell r="DR333">
            <v>0</v>
          </cell>
        </row>
        <row r="334">
          <cell r="DR334">
            <v>0</v>
          </cell>
        </row>
        <row r="335">
          <cell r="DR335">
            <v>0</v>
          </cell>
        </row>
        <row r="336">
          <cell r="DR336" t="str">
            <v/>
          </cell>
        </row>
        <row r="337">
          <cell r="DR337">
            <v>0</v>
          </cell>
        </row>
        <row r="338">
          <cell r="DR338">
            <v>0</v>
          </cell>
        </row>
        <row r="339">
          <cell r="DR339">
            <v>0</v>
          </cell>
        </row>
        <row r="340">
          <cell r="DR340">
            <v>0</v>
          </cell>
        </row>
        <row r="341">
          <cell r="DR341">
            <v>0</v>
          </cell>
        </row>
        <row r="342">
          <cell r="DR342" t="str">
            <v/>
          </cell>
        </row>
        <row r="343">
          <cell r="DR343">
            <v>0</v>
          </cell>
        </row>
        <row r="344">
          <cell r="DR344">
            <v>0</v>
          </cell>
        </row>
        <row r="345">
          <cell r="DR345" t="str">
            <v/>
          </cell>
        </row>
        <row r="346">
          <cell r="DR346" t="str">
            <v/>
          </cell>
        </row>
        <row r="347">
          <cell r="DR347">
            <v>0</v>
          </cell>
        </row>
        <row r="348">
          <cell r="DR348">
            <v>0</v>
          </cell>
        </row>
        <row r="349">
          <cell r="DR349">
            <v>0</v>
          </cell>
        </row>
        <row r="350">
          <cell r="DR350">
            <v>0</v>
          </cell>
        </row>
        <row r="351">
          <cell r="DR351">
            <v>0</v>
          </cell>
        </row>
        <row r="352">
          <cell r="DR352" t="str">
            <v/>
          </cell>
        </row>
        <row r="353">
          <cell r="DR353">
            <v>0</v>
          </cell>
        </row>
        <row r="354">
          <cell r="DR354">
            <v>0</v>
          </cell>
        </row>
        <row r="355">
          <cell r="DR355">
            <v>0</v>
          </cell>
        </row>
        <row r="356">
          <cell r="DR356">
            <v>2426121.3689968698</v>
          </cell>
        </row>
        <row r="357">
          <cell r="DR357">
            <v>0</v>
          </cell>
        </row>
        <row r="358">
          <cell r="DR358">
            <v>38799706.312690876</v>
          </cell>
        </row>
        <row r="359">
          <cell r="DR359">
            <v>0</v>
          </cell>
        </row>
        <row r="360">
          <cell r="DR360">
            <v>4218330.5714127617</v>
          </cell>
        </row>
        <row r="361">
          <cell r="DR361">
            <v>444540.22666089085</v>
          </cell>
        </row>
        <row r="362">
          <cell r="DR362">
            <v>0</v>
          </cell>
        </row>
        <row r="363">
          <cell r="DR363">
            <v>0</v>
          </cell>
        </row>
        <row r="364">
          <cell r="DR364" t="str">
            <v/>
          </cell>
        </row>
        <row r="365">
          <cell r="DR365">
            <v>42143442.332349062</v>
          </cell>
        </row>
        <row r="366">
          <cell r="DR366">
            <v>1279828.174027896</v>
          </cell>
        </row>
        <row r="367">
          <cell r="DR367">
            <v>31190515.718856461</v>
          </cell>
        </row>
        <row r="368">
          <cell r="DR368">
            <v>6310927.9389129002</v>
          </cell>
        </row>
        <row r="369">
          <cell r="DR369">
            <v>11040375.00892755</v>
          </cell>
        </row>
        <row r="370">
          <cell r="DR370">
            <v>1402253.544297342</v>
          </cell>
        </row>
        <row r="371">
          <cell r="DR371">
            <v>0</v>
          </cell>
        </row>
        <row r="372">
          <cell r="DR372">
            <v>0</v>
          </cell>
        </row>
        <row r="373">
          <cell r="DR373" t="str">
            <v/>
          </cell>
        </row>
        <row r="374">
          <cell r="DR374">
            <v>0</v>
          </cell>
        </row>
        <row r="375">
          <cell r="DR375">
            <v>0</v>
          </cell>
        </row>
        <row r="376">
          <cell r="DR376">
            <v>0</v>
          </cell>
        </row>
        <row r="377">
          <cell r="DR377">
            <v>0</v>
          </cell>
        </row>
        <row r="378">
          <cell r="DR378">
            <v>0</v>
          </cell>
        </row>
        <row r="379">
          <cell r="DR379">
            <v>0</v>
          </cell>
        </row>
        <row r="380">
          <cell r="DR380">
            <v>0</v>
          </cell>
        </row>
        <row r="381">
          <cell r="DR381">
            <v>0</v>
          </cell>
        </row>
        <row r="382">
          <cell r="DR382">
            <v>0</v>
          </cell>
        </row>
        <row r="383">
          <cell r="DR383" t="str">
            <v/>
          </cell>
        </row>
        <row r="384">
          <cell r="DR384">
            <v>0</v>
          </cell>
        </row>
        <row r="385">
          <cell r="DR385">
            <v>0</v>
          </cell>
        </row>
        <row r="386">
          <cell r="DR386">
            <v>0</v>
          </cell>
        </row>
        <row r="387">
          <cell r="DR387">
            <v>0</v>
          </cell>
        </row>
        <row r="388">
          <cell r="DR388">
            <v>0</v>
          </cell>
        </row>
        <row r="389">
          <cell r="DR389">
            <v>0</v>
          </cell>
        </row>
        <row r="390">
          <cell r="DR390">
            <v>0</v>
          </cell>
        </row>
        <row r="391">
          <cell r="DR391">
            <v>0</v>
          </cell>
        </row>
        <row r="392">
          <cell r="DR392">
            <v>0</v>
          </cell>
        </row>
        <row r="393">
          <cell r="DR393">
            <v>0</v>
          </cell>
        </row>
        <row r="394">
          <cell r="DR394">
            <v>0</v>
          </cell>
        </row>
        <row r="395">
          <cell r="DR395">
            <v>0</v>
          </cell>
        </row>
        <row r="396">
          <cell r="DR396">
            <v>0</v>
          </cell>
        </row>
        <row r="397">
          <cell r="DR397" t="str">
            <v/>
          </cell>
        </row>
        <row r="398">
          <cell r="DR398">
            <v>0</v>
          </cell>
        </row>
        <row r="399">
          <cell r="DR399">
            <v>0</v>
          </cell>
        </row>
        <row r="400">
          <cell r="DR400">
            <v>0</v>
          </cell>
        </row>
        <row r="401">
          <cell r="DR401">
            <v>0</v>
          </cell>
        </row>
        <row r="402">
          <cell r="DR402">
            <v>0</v>
          </cell>
        </row>
        <row r="403">
          <cell r="DR403">
            <v>0</v>
          </cell>
        </row>
        <row r="404">
          <cell r="DR404">
            <v>0</v>
          </cell>
        </row>
        <row r="405">
          <cell r="DR405">
            <v>0</v>
          </cell>
        </row>
        <row r="406">
          <cell r="DR406" t="str">
            <v/>
          </cell>
        </row>
        <row r="407">
          <cell r="DR407">
            <v>0</v>
          </cell>
        </row>
        <row r="408">
          <cell r="DR408">
            <v>0</v>
          </cell>
        </row>
        <row r="409">
          <cell r="DR409">
            <v>0</v>
          </cell>
        </row>
        <row r="410">
          <cell r="DR410">
            <v>0</v>
          </cell>
        </row>
        <row r="411">
          <cell r="DR411">
            <v>0</v>
          </cell>
        </row>
        <row r="412">
          <cell r="DR412" t="str">
            <v/>
          </cell>
        </row>
        <row r="413">
          <cell r="DR413" t="str">
            <v/>
          </cell>
        </row>
        <row r="414">
          <cell r="DR414">
            <v>612395.50057880615</v>
          </cell>
        </row>
        <row r="415">
          <cell r="DR415">
            <v>0</v>
          </cell>
        </row>
        <row r="416">
          <cell r="DR416">
            <v>0</v>
          </cell>
        </row>
        <row r="417">
          <cell r="DR417">
            <v>0</v>
          </cell>
        </row>
        <row r="418">
          <cell r="DR418">
            <v>0</v>
          </cell>
        </row>
        <row r="419">
          <cell r="DR419" t="str">
            <v/>
          </cell>
        </row>
        <row r="420">
          <cell r="DR420">
            <v>0</v>
          </cell>
        </row>
        <row r="421">
          <cell r="DR421">
            <v>0</v>
          </cell>
        </row>
        <row r="422">
          <cell r="DR422">
            <v>2426121.3689968698</v>
          </cell>
        </row>
        <row r="423">
          <cell r="DR423">
            <v>0</v>
          </cell>
        </row>
        <row r="424">
          <cell r="DR424">
            <v>0</v>
          </cell>
        </row>
        <row r="425">
          <cell r="DR425">
            <v>0</v>
          </cell>
        </row>
        <row r="426">
          <cell r="DR426">
            <v>0</v>
          </cell>
        </row>
        <row r="427">
          <cell r="DR427">
            <v>0</v>
          </cell>
        </row>
        <row r="428">
          <cell r="DR428">
            <v>0</v>
          </cell>
        </row>
        <row r="429">
          <cell r="DR429" t="str">
            <v/>
          </cell>
        </row>
        <row r="430">
          <cell r="DR430">
            <v>0</v>
          </cell>
        </row>
        <row r="431">
          <cell r="DR431">
            <v>639659.33735778625</v>
          </cell>
        </row>
        <row r="432">
          <cell r="DR432">
            <v>0</v>
          </cell>
        </row>
        <row r="433">
          <cell r="DR433">
            <v>0</v>
          </cell>
        </row>
        <row r="434">
          <cell r="DR434">
            <v>0</v>
          </cell>
        </row>
        <row r="435">
          <cell r="DR435">
            <v>634164.0233221472</v>
          </cell>
        </row>
        <row r="436">
          <cell r="DR436">
            <v>0</v>
          </cell>
        </row>
        <row r="437">
          <cell r="DR437">
            <v>0</v>
          </cell>
        </row>
        <row r="438">
          <cell r="DR438" t="str">
            <v/>
          </cell>
        </row>
        <row r="439">
          <cell r="DR439">
            <v>0</v>
          </cell>
        </row>
        <row r="440">
          <cell r="DR440">
            <v>0</v>
          </cell>
        </row>
        <row r="441">
          <cell r="DR441">
            <v>0</v>
          </cell>
        </row>
        <row r="442">
          <cell r="DR442">
            <v>0</v>
          </cell>
        </row>
        <row r="443">
          <cell r="DR443">
            <v>0</v>
          </cell>
        </row>
        <row r="444">
          <cell r="DR444">
            <v>0</v>
          </cell>
        </row>
        <row r="445">
          <cell r="DR445">
            <v>0</v>
          </cell>
        </row>
        <row r="446">
          <cell r="DR446">
            <v>0</v>
          </cell>
        </row>
        <row r="447">
          <cell r="DR447">
            <v>0</v>
          </cell>
        </row>
        <row r="448">
          <cell r="DR448" t="str">
            <v/>
          </cell>
        </row>
        <row r="449">
          <cell r="DR449">
            <v>0</v>
          </cell>
        </row>
        <row r="450">
          <cell r="DR450">
            <v>0</v>
          </cell>
        </row>
        <row r="451">
          <cell r="DR451">
            <v>0</v>
          </cell>
        </row>
        <row r="452">
          <cell r="DR452">
            <v>0</v>
          </cell>
        </row>
        <row r="453">
          <cell r="DR453">
            <v>0</v>
          </cell>
        </row>
        <row r="454">
          <cell r="DR454">
            <v>0</v>
          </cell>
        </row>
        <row r="455">
          <cell r="DR455">
            <v>0</v>
          </cell>
        </row>
        <row r="456">
          <cell r="DR456">
            <v>0</v>
          </cell>
        </row>
        <row r="457">
          <cell r="DR457">
            <v>0</v>
          </cell>
        </row>
        <row r="458">
          <cell r="DR458">
            <v>0</v>
          </cell>
        </row>
        <row r="459">
          <cell r="DR459">
            <v>0</v>
          </cell>
        </row>
        <row r="460">
          <cell r="DR460">
            <v>0</v>
          </cell>
        </row>
        <row r="461">
          <cell r="DR461">
            <v>0</v>
          </cell>
        </row>
        <row r="462">
          <cell r="DR462">
            <v>0</v>
          </cell>
        </row>
        <row r="463">
          <cell r="DR463" t="str">
            <v/>
          </cell>
        </row>
        <row r="464">
          <cell r="DR464">
            <v>0</v>
          </cell>
        </row>
        <row r="465">
          <cell r="DR465">
            <v>0</v>
          </cell>
        </row>
        <row r="466">
          <cell r="DR466">
            <v>0</v>
          </cell>
        </row>
        <row r="467">
          <cell r="DR467">
            <v>0</v>
          </cell>
        </row>
        <row r="468">
          <cell r="DR468">
            <v>0</v>
          </cell>
        </row>
        <row r="469">
          <cell r="DR469">
            <v>0</v>
          </cell>
        </row>
        <row r="470">
          <cell r="DR470">
            <v>0</v>
          </cell>
        </row>
        <row r="471">
          <cell r="DR471">
            <v>0</v>
          </cell>
        </row>
        <row r="472">
          <cell r="DR472" t="str">
            <v/>
          </cell>
        </row>
        <row r="473">
          <cell r="DR473">
            <v>0</v>
          </cell>
        </row>
        <row r="474">
          <cell r="DR474">
            <v>0</v>
          </cell>
        </row>
        <row r="475">
          <cell r="DR475">
            <v>0</v>
          </cell>
        </row>
        <row r="476">
          <cell r="DR476">
            <v>0</v>
          </cell>
        </row>
        <row r="477">
          <cell r="DR477">
            <v>0</v>
          </cell>
        </row>
        <row r="478">
          <cell r="DR478" t="str">
            <v/>
          </cell>
        </row>
        <row r="479">
          <cell r="DR479" t="str">
            <v/>
          </cell>
        </row>
        <row r="480">
          <cell r="DR480" t="str">
            <v/>
          </cell>
        </row>
        <row r="481">
          <cell r="DR481" t="str">
            <v/>
          </cell>
        </row>
        <row r="482">
          <cell r="DR482" t="str">
            <v/>
          </cell>
        </row>
        <row r="483">
          <cell r="DR483" t="str">
            <v/>
          </cell>
        </row>
        <row r="484">
          <cell r="DR484">
            <v>0</v>
          </cell>
        </row>
        <row r="485">
          <cell r="DR485">
            <v>0</v>
          </cell>
        </row>
        <row r="486">
          <cell r="DR486">
            <v>3820503.9380150954</v>
          </cell>
        </row>
        <row r="487">
          <cell r="DR487">
            <v>0</v>
          </cell>
        </row>
        <row r="488">
          <cell r="DR488">
            <v>11672118.124268349</v>
          </cell>
        </row>
        <row r="489">
          <cell r="DR489">
            <v>0</v>
          </cell>
        </row>
        <row r="490">
          <cell r="DR490">
            <v>0</v>
          </cell>
        </row>
        <row r="491">
          <cell r="DR491">
            <v>0</v>
          </cell>
        </row>
        <row r="492">
          <cell r="DR492" t="str">
            <v/>
          </cell>
        </row>
        <row r="493">
          <cell r="DR493" t="str">
            <v/>
          </cell>
        </row>
        <row r="494">
          <cell r="DR494" t="str">
            <v/>
          </cell>
        </row>
        <row r="495">
          <cell r="DR495" t="str">
            <v/>
          </cell>
        </row>
        <row r="496">
          <cell r="DR496">
            <v>0</v>
          </cell>
        </row>
        <row r="497">
          <cell r="DR497">
            <v>0</v>
          </cell>
        </row>
        <row r="498">
          <cell r="DR498">
            <v>0</v>
          </cell>
        </row>
        <row r="499">
          <cell r="DR499">
            <v>0</v>
          </cell>
        </row>
        <row r="500">
          <cell r="DR500">
            <v>0</v>
          </cell>
        </row>
        <row r="501">
          <cell r="DR501">
            <v>0</v>
          </cell>
        </row>
        <row r="502">
          <cell r="DR502" t="str">
            <v/>
          </cell>
        </row>
        <row r="503">
          <cell r="DR503" t="str">
            <v/>
          </cell>
        </row>
        <row r="504">
          <cell r="DR504" t="str">
            <v/>
          </cell>
        </row>
      </sheetData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Form D3 B1.1"/>
      <sheetName val="Rekap Biaya"/>
      <sheetName val="Kuantitas &amp; Harga"/>
      <sheetName val="anaK"/>
      <sheetName val="BOW"/>
      <sheetName val="Lamp.Upah&amp;Biaya"/>
      <sheetName val="Lamp.ABiaya"/>
      <sheetName val="ANGKUT"/>
      <sheetName val="Sket Jrk Angk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"/>
      <sheetName val="ALAT-2007"/>
      <sheetName val="SNI-2007"/>
      <sheetName val="K-2007"/>
      <sheetName val="BASIC-2007"/>
      <sheetName val="RAB-2007"/>
      <sheetName val="REKAP2007"/>
      <sheetName val="ALAT-2008"/>
      <sheetName val="BASIC-2008"/>
      <sheetName val="SNI-2008"/>
      <sheetName val="K-2008"/>
      <sheetName val="RAB-2008"/>
      <sheetName val="REKAP2008"/>
      <sheetName val="RAB-2008 -1"/>
      <sheetName val="REKAP2008 -1"/>
      <sheetName val="VOL-2007"/>
      <sheetName val="VOL-2008"/>
      <sheetName val="RAB-2008 (2)"/>
      <sheetName val="REKAP2008 (2)"/>
    </sheetNames>
    <sheetDataSet>
      <sheetData sheetId="0" refreshError="1"/>
      <sheetData sheetId="1"/>
      <sheetData sheetId="2"/>
      <sheetData sheetId="3" refreshError="1">
        <row r="659">
          <cell r="V659">
            <v>138862.82280000002</v>
          </cell>
        </row>
        <row r="781">
          <cell r="V781">
            <v>92746.420933964619</v>
          </cell>
        </row>
        <row r="838">
          <cell r="V838">
            <v>55265.973615088311</v>
          </cell>
        </row>
        <row r="1134">
          <cell r="V1134">
            <v>479181.82458570861</v>
          </cell>
        </row>
        <row r="1191">
          <cell r="V1191">
            <v>136323.52944000001</v>
          </cell>
        </row>
        <row r="1252">
          <cell r="V1252">
            <v>18861.058338000003</v>
          </cell>
        </row>
        <row r="1314">
          <cell r="V1314">
            <v>704824.5210777116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ftar upah"/>
      <sheetName val="Analisa"/>
      <sheetName val="RAB"/>
      <sheetName val="DAF. UPAH"/>
    </sheetNames>
    <sheetDataSet>
      <sheetData sheetId="0" refreshError="1">
        <row r="56">
          <cell r="G56">
            <v>1725000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l. (Paya Metah)"/>
      <sheetName val="Anl. (Alur Siak)"/>
      <sheetName val="Anl. (Jamur Jelatang)"/>
      <sheetName val="Anl. (Paya prang)"/>
      <sheetName val="Anl. (Bukit keranji)"/>
      <sheetName val="Anl. (Pante Perlak)"/>
      <sheetName val="DA.1"/>
      <sheetName val="Anl. Bronjong"/>
      <sheetName val="HARGA BAHAN"/>
      <sheetName val="Anl. (Paya Metah)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">
          <cell r="D6">
            <v>17500</v>
          </cell>
        </row>
        <row r="9">
          <cell r="D9">
            <v>30000</v>
          </cell>
        </row>
      </sheetData>
      <sheetData sheetId="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data-awal"/>
      <sheetName val="rekap"/>
      <sheetName val="boq"/>
      <sheetName val="ana-alat"/>
      <sheetName val="ana-bahan"/>
      <sheetName val="hs-dasar"/>
      <sheetName val="ur-analisa"/>
      <sheetName val="analisa"/>
      <sheetName val="mob"/>
      <sheetName val="Sheet11"/>
      <sheetName val="Sheet10"/>
      <sheetName val="Sheet9"/>
      <sheetName val="Sheet8"/>
      <sheetName val="Sheet7"/>
      <sheetName val="Sheet3"/>
    </sheetNames>
    <sheetDataSet>
      <sheetData sheetId="0"/>
      <sheetData sheetId="1" refreshError="1">
        <row r="10">
          <cell r="J10" t="str">
            <v>NATAL - TABUYUNG ( EFF. 12,00 KM )</v>
          </cell>
        </row>
        <row r="12">
          <cell r="J12" t="str">
            <v>PT. ISTAKA KARYA (Persero)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kp"/>
      <sheetName val="Kuan"/>
      <sheetName val="Har Sat"/>
      <sheetName val="Har. Das"/>
      <sheetName val="M.P.U"/>
      <sheetName val="Mob"/>
      <sheetName val="ANMOS"/>
      <sheetName val="Jad. Alat"/>
      <sheetName val="T. Shed"/>
      <sheetName val="Sub. Kon"/>
      <sheetName val="List"/>
      <sheetName val="6.a &amp;6,b"/>
      <sheetName val="Catatan"/>
      <sheetName val="Anls Alat"/>
      <sheetName val="Anls Bahan"/>
      <sheetName val="Sheet1"/>
      <sheetName val="Div 2-5"/>
      <sheetName val="Div 6"/>
      <sheetName val="Div 7-8"/>
      <sheetName val="Div 9-10"/>
    </sheetNames>
    <sheetDataSet>
      <sheetData sheetId="0" refreshError="1">
        <row r="29">
          <cell r="K29">
            <v>29609370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Biaya"/>
      <sheetName val="Kuantitas &amp; Harga"/>
      <sheetName val="Struktur Personil"/>
      <sheetName val="Time Schedule Induk"/>
      <sheetName val="Time schedule Anak"/>
      <sheetName val="LAP. MINGGUAN-2B"/>
    </sheetNames>
    <sheetDataSet>
      <sheetData sheetId="0">
        <row r="29">
          <cell r="H29">
            <v>23849391947.15873</v>
          </cell>
        </row>
      </sheetData>
      <sheetData sheetId="1">
        <row r="2">
          <cell r="A2" t="str">
            <v>RAPP PEMBANGUNAN RUAS JALAN KM.77 - SIGLI / BANG - 02 B</v>
          </cell>
        </row>
        <row r="4">
          <cell r="A4" t="str">
            <v xml:space="preserve"> Nama Penawar</v>
          </cell>
          <cell r="C4" t="str">
            <v xml:space="preserve">            : PT. PURNA - PIYEUNG. KSO</v>
          </cell>
        </row>
        <row r="5">
          <cell r="A5" t="str">
            <v xml:space="preserve"> SNVT</v>
          </cell>
          <cell r="C5" t="str">
            <v xml:space="preserve">            : Pembangunan Jalan dan Jembatan</v>
          </cell>
        </row>
        <row r="6">
          <cell r="A6" t="str">
            <v>Nama Paket/ No.</v>
          </cell>
          <cell r="C6" t="str">
            <v>Paket  : Pembangunan Ruas Jalan KM.77 - Sigli / BANG - 02 B</v>
          </cell>
        </row>
        <row r="7">
          <cell r="A7" t="str">
            <v>Kabupaten/Kota</v>
          </cell>
          <cell r="C7" t="str">
            <v xml:space="preserve">            : Pidie</v>
          </cell>
        </row>
        <row r="8">
          <cell r="A8" t="str">
            <v>Provinsi</v>
          </cell>
          <cell r="C8" t="str">
            <v xml:space="preserve">            : Nanggroe Aceh Darussalam</v>
          </cell>
        </row>
        <row r="10">
          <cell r="A10" t="str">
            <v>MATA PEMBAYARAN</v>
          </cell>
          <cell r="B10" t="str">
            <v>U R A I A N</v>
          </cell>
          <cell r="D10" t="str">
            <v>SATUAN</v>
          </cell>
          <cell r="I10" t="str">
            <v>HARGA</v>
          </cell>
        </row>
        <row r="11">
          <cell r="E11" t="str">
            <v>PERKIRAAN</v>
          </cell>
          <cell r="G11" t="str">
            <v>HARGA</v>
          </cell>
          <cell r="H11" t="str">
            <v>JUMLAH</v>
          </cell>
          <cell r="I11" t="str">
            <v>REAL COST</v>
          </cell>
        </row>
        <row r="12">
          <cell r="E12" t="str">
            <v>KUANTITAS</v>
          </cell>
          <cell r="G12" t="str">
            <v>SATUAN</v>
          </cell>
          <cell r="H12" t="str">
            <v>HARGA</v>
          </cell>
          <cell r="I12" t="str">
            <v>LAPANGAN</v>
          </cell>
        </row>
        <row r="13">
          <cell r="G13" t="str">
            <v>( Rp )</v>
          </cell>
          <cell r="H13" t="str">
            <v>( Rp )</v>
          </cell>
          <cell r="I13" t="str">
            <v>( R p )</v>
          </cell>
        </row>
        <row r="14">
          <cell r="A14" t="str">
            <v>a</v>
          </cell>
          <cell r="C14" t="str">
            <v>b</v>
          </cell>
          <cell r="D14" t="str">
            <v>c</v>
          </cell>
          <cell r="E14" t="str">
            <v>d</v>
          </cell>
          <cell r="G14" t="str">
            <v>e</v>
          </cell>
          <cell r="H14" t="str">
            <v>f = (d x e)</v>
          </cell>
        </row>
        <row r="16">
          <cell r="C16" t="str">
            <v>Divisi 1. UMUM</v>
          </cell>
        </row>
        <row r="18">
          <cell r="A18">
            <v>1</v>
          </cell>
          <cell r="C18" t="str">
            <v>MOBILISASI &amp; DEMOBILISASI</v>
          </cell>
        </row>
        <row r="19">
          <cell r="C19" t="str">
            <v>Exscavator</v>
          </cell>
          <cell r="D19" t="str">
            <v>Unit</v>
          </cell>
          <cell r="E19">
            <v>1</v>
          </cell>
          <cell r="G19">
            <v>8000000</v>
          </cell>
          <cell r="H19">
            <v>8000000</v>
          </cell>
        </row>
        <row r="20">
          <cell r="C20" t="str">
            <v>Greader</v>
          </cell>
          <cell r="D20" t="str">
            <v>Unit</v>
          </cell>
          <cell r="E20">
            <v>1</v>
          </cell>
          <cell r="G20">
            <v>8000000</v>
          </cell>
          <cell r="H20">
            <v>8000000</v>
          </cell>
        </row>
        <row r="21">
          <cell r="C21" t="str">
            <v>Sprayer</v>
          </cell>
          <cell r="D21" t="str">
            <v>Unit</v>
          </cell>
          <cell r="E21">
            <v>1</v>
          </cell>
          <cell r="G21">
            <v>8000000</v>
          </cell>
          <cell r="H21">
            <v>8000000</v>
          </cell>
        </row>
        <row r="22">
          <cell r="C22" t="str">
            <v>Mobil Interkuler</v>
          </cell>
          <cell r="D22" t="str">
            <v>Unit</v>
          </cell>
          <cell r="E22">
            <v>6</v>
          </cell>
          <cell r="G22">
            <v>2000000</v>
          </cell>
          <cell r="H22">
            <v>12000000</v>
          </cell>
        </row>
        <row r="23">
          <cell r="C23" t="str">
            <v>Vibrator Roller</v>
          </cell>
          <cell r="D23" t="str">
            <v>unit</v>
          </cell>
          <cell r="E23">
            <v>1</v>
          </cell>
          <cell r="G23">
            <v>8000000</v>
          </cell>
          <cell r="H23">
            <v>8000000</v>
          </cell>
        </row>
        <row r="26">
          <cell r="C26" t="str">
            <v>Jumlah Harga Penawaran Divisi 1 (masuk pada Rekapitulasi Daftar Kuantitas dan Harga)</v>
          </cell>
          <cell r="H26">
            <v>44000000</v>
          </cell>
        </row>
      </sheetData>
      <sheetData sheetId="2"/>
      <sheetData sheetId="3"/>
      <sheetData sheetId="4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MBATAN"/>
      <sheetName val="TEMBOK"/>
      <sheetName val="BOX CULVET"/>
      <sheetName val="SNI"/>
      <sheetName val="H Print"/>
      <sheetName val="alat"/>
      <sheetName val="anls"/>
    </sheetNames>
    <sheetDataSet>
      <sheetData sheetId="0"/>
      <sheetData sheetId="1"/>
      <sheetData sheetId="2"/>
      <sheetData sheetId="3"/>
      <sheetData sheetId="4"/>
      <sheetData sheetId="5">
        <row r="1">
          <cell r="AO1" t="str">
            <v>DAFTAR BIAYA SEWA PERALATAN PER JAM KERJA</v>
          </cell>
        </row>
        <row r="3">
          <cell r="AW3" t="str">
            <v>BIAYA</v>
          </cell>
        </row>
        <row r="4">
          <cell r="AO4" t="str">
            <v>No.</v>
          </cell>
          <cell r="AP4" t="str">
            <v>URAIAN</v>
          </cell>
          <cell r="AR4" t="str">
            <v>KO</v>
          </cell>
          <cell r="AS4" t="str">
            <v>HP</v>
          </cell>
          <cell r="AT4" t="str">
            <v>KAP.</v>
          </cell>
          <cell r="AV4" t="str">
            <v>HARGA</v>
          </cell>
          <cell r="AW4" t="str">
            <v>SEWA</v>
          </cell>
          <cell r="AX4" t="str">
            <v>KET.</v>
          </cell>
        </row>
        <row r="5">
          <cell r="AR5" t="str">
            <v>DE</v>
          </cell>
          <cell r="AV5" t="str">
            <v>ALAT</v>
          </cell>
          <cell r="AW5" t="str">
            <v>ALAT/JAM</v>
          </cell>
        </row>
        <row r="6">
          <cell r="AW6" t="str">
            <v>(di luar PPN)</v>
          </cell>
        </row>
        <row r="8">
          <cell r="AO8" t="str">
            <v>1.</v>
          </cell>
          <cell r="AQ8" t="str">
            <v>ASPHALT MIXING PLANT</v>
          </cell>
          <cell r="AR8" t="str">
            <v>E01</v>
          </cell>
          <cell r="AS8">
            <v>150</v>
          </cell>
          <cell r="AT8">
            <v>30</v>
          </cell>
          <cell r="AU8" t="str">
            <v>T/Jam</v>
          </cell>
          <cell r="AV8">
            <v>3235198908.7200003</v>
          </cell>
          <cell r="AW8">
            <v>2391739.6452683471</v>
          </cell>
          <cell r="AX8" t="str">
            <v xml:space="preserve"> Alat Baru</v>
          </cell>
        </row>
        <row r="9">
          <cell r="AO9" t="str">
            <v>2.</v>
          </cell>
          <cell r="AQ9" t="str">
            <v>ASPHALT FINISHER</v>
          </cell>
          <cell r="AR9" t="str">
            <v>E02</v>
          </cell>
          <cell r="AS9">
            <v>47</v>
          </cell>
          <cell r="AT9">
            <v>6</v>
          </cell>
          <cell r="AU9" t="str">
            <v>Ton</v>
          </cell>
          <cell r="AV9">
            <v>861900000.00000012</v>
          </cell>
          <cell r="AW9">
            <v>356128.37706325931</v>
          </cell>
          <cell r="AX9" t="str">
            <v xml:space="preserve"> Alat Baru</v>
          </cell>
        </row>
        <row r="10">
          <cell r="AO10" t="str">
            <v>3.</v>
          </cell>
          <cell r="AQ10" t="str">
            <v>ASPHALT SPRAYER</v>
          </cell>
          <cell r="AR10" t="str">
            <v>E03</v>
          </cell>
          <cell r="AS10">
            <v>15</v>
          </cell>
          <cell r="AT10">
            <v>800</v>
          </cell>
          <cell r="AU10" t="str">
            <v>Liter</v>
          </cell>
          <cell r="AV10">
            <v>111520000.00000001</v>
          </cell>
          <cell r="AW10">
            <v>178149.53102988604</v>
          </cell>
          <cell r="AX10" t="str">
            <v xml:space="preserve"> Alat Baru</v>
          </cell>
        </row>
        <row r="11">
          <cell r="AO11" t="str">
            <v>4.</v>
          </cell>
          <cell r="AQ11" t="str">
            <v>BULLDOZER 100-150 HP</v>
          </cell>
          <cell r="AR11" t="str">
            <v>E04</v>
          </cell>
          <cell r="AS11">
            <v>140</v>
          </cell>
          <cell r="AT11" t="str">
            <v xml:space="preserve">          -</v>
          </cell>
          <cell r="AU11" t="str">
            <v/>
          </cell>
          <cell r="AV11">
            <v>999600000.00000012</v>
          </cell>
          <cell r="AW11">
            <v>487235.27813373471</v>
          </cell>
          <cell r="AX11" t="str">
            <v xml:space="preserve"> Alat Baru</v>
          </cell>
        </row>
        <row r="12">
          <cell r="AO12" t="str">
            <v>5.</v>
          </cell>
          <cell r="AQ12" t="str">
            <v>COMPRESSOR 4000-6500 L\M</v>
          </cell>
          <cell r="AR12" t="str">
            <v>E05</v>
          </cell>
          <cell r="AS12">
            <v>80</v>
          </cell>
          <cell r="AT12" t="str">
            <v xml:space="preserve">          -</v>
          </cell>
          <cell r="AU12" t="str">
            <v/>
          </cell>
          <cell r="AV12">
            <v>82960000</v>
          </cell>
          <cell r="AW12">
            <v>233951.02308320793</v>
          </cell>
          <cell r="AX12" t="str">
            <v xml:space="preserve"> Alat Baru</v>
          </cell>
        </row>
        <row r="13">
          <cell r="AO13" t="str">
            <v>6.</v>
          </cell>
          <cell r="AQ13" t="str">
            <v>CONCRETE MIXER 0.3-0.6 M3</v>
          </cell>
          <cell r="AR13" t="str">
            <v>E06</v>
          </cell>
          <cell r="AS13">
            <v>15</v>
          </cell>
          <cell r="AT13">
            <v>500</v>
          </cell>
          <cell r="AU13" t="str">
            <v>Liter</v>
          </cell>
          <cell r="AV13">
            <v>81600000</v>
          </cell>
          <cell r="AW13">
            <v>173653.63651266767</v>
          </cell>
          <cell r="AX13" t="str">
            <v xml:space="preserve"> Alat Baru</v>
          </cell>
        </row>
        <row r="14">
          <cell r="AO14" t="str">
            <v>7.</v>
          </cell>
          <cell r="AQ14" t="str">
            <v>CRANE 10-15 TON</v>
          </cell>
          <cell r="AR14" t="str">
            <v>E07</v>
          </cell>
          <cell r="AS14">
            <v>150</v>
          </cell>
          <cell r="AT14">
            <v>15</v>
          </cell>
          <cell r="AU14" t="str">
            <v>Ton</v>
          </cell>
          <cell r="AV14">
            <v>580720000</v>
          </cell>
          <cell r="AW14">
            <v>407132.16158245539</v>
          </cell>
          <cell r="AX14" t="str">
            <v xml:space="preserve"> Alat Baru</v>
          </cell>
        </row>
        <row r="15">
          <cell r="AO15" t="str">
            <v>8.</v>
          </cell>
          <cell r="AQ15" t="str">
            <v>DUMP TRUCK 3-4 M3</v>
          </cell>
          <cell r="AR15" t="str">
            <v>E08</v>
          </cell>
          <cell r="AS15">
            <v>100</v>
          </cell>
          <cell r="AT15">
            <v>6</v>
          </cell>
          <cell r="AU15" t="str">
            <v>Ton</v>
          </cell>
          <cell r="AV15">
            <v>206265760</v>
          </cell>
          <cell r="AW15">
            <v>279384.86339242314</v>
          </cell>
          <cell r="AX15" t="str">
            <v xml:space="preserve"> Alat Baru</v>
          </cell>
        </row>
        <row r="16">
          <cell r="AO16" t="str">
            <v>9.</v>
          </cell>
          <cell r="AQ16" t="str">
            <v>DUMP TRUCK</v>
          </cell>
          <cell r="AR16" t="str">
            <v>E09</v>
          </cell>
          <cell r="AS16">
            <v>125</v>
          </cell>
          <cell r="AT16">
            <v>8</v>
          </cell>
          <cell r="AU16" t="str">
            <v>Ton</v>
          </cell>
          <cell r="AV16">
            <v>401200000</v>
          </cell>
          <cell r="AW16">
            <v>344907.61163190712</v>
          </cell>
          <cell r="AX16" t="str">
            <v xml:space="preserve"> Alat Baru</v>
          </cell>
        </row>
        <row r="17">
          <cell r="AO17" t="str">
            <v>10.</v>
          </cell>
          <cell r="AQ17" t="str">
            <v>EXCAVATOR 80-140 HP</v>
          </cell>
          <cell r="AR17" t="str">
            <v>E10</v>
          </cell>
          <cell r="AS17">
            <v>80</v>
          </cell>
          <cell r="AT17">
            <v>0.5</v>
          </cell>
          <cell r="AU17" t="str">
            <v>M3</v>
          </cell>
          <cell r="AV17">
            <v>775200000</v>
          </cell>
          <cell r="AW17">
            <v>382070.21569554933</v>
          </cell>
          <cell r="AX17" t="str">
            <v xml:space="preserve"> Alat Baru</v>
          </cell>
        </row>
        <row r="18">
          <cell r="AO18" t="str">
            <v>11.</v>
          </cell>
          <cell r="AQ18" t="str">
            <v>FLAT BED TRUCK 3-4 M3</v>
          </cell>
          <cell r="AR18" t="str">
            <v>E11</v>
          </cell>
          <cell r="AS18">
            <v>100</v>
          </cell>
          <cell r="AT18">
            <v>4</v>
          </cell>
          <cell r="AU18" t="str">
            <v>M3</v>
          </cell>
          <cell r="AV18">
            <v>206720000</v>
          </cell>
          <cell r="AW18">
            <v>279482.05751881318</v>
          </cell>
          <cell r="AX18" t="str">
            <v xml:space="preserve"> Alat Baru</v>
          </cell>
        </row>
        <row r="19">
          <cell r="AO19" t="str">
            <v>12.</v>
          </cell>
          <cell r="AQ19" t="str">
            <v>GENERATOR SET</v>
          </cell>
          <cell r="AR19" t="str">
            <v>E12</v>
          </cell>
          <cell r="AS19">
            <v>175</v>
          </cell>
          <cell r="AT19">
            <v>125</v>
          </cell>
          <cell r="AU19" t="str">
            <v>KVA</v>
          </cell>
          <cell r="AV19">
            <v>350880000</v>
          </cell>
          <cell r="AW19">
            <v>381765.59763061709</v>
          </cell>
          <cell r="AX19" t="str">
            <v xml:space="preserve"> Alat Baru</v>
          </cell>
        </row>
        <row r="20">
          <cell r="AO20" t="str">
            <v>13.</v>
          </cell>
          <cell r="AQ20" t="str">
            <v>MOTOR GRADER &gt;100 HP</v>
          </cell>
          <cell r="AR20" t="str">
            <v>E13</v>
          </cell>
          <cell r="AS20">
            <v>125</v>
          </cell>
          <cell r="AT20" t="str">
            <v xml:space="preserve">          -</v>
          </cell>
          <cell r="AU20" t="str">
            <v/>
          </cell>
          <cell r="AV20">
            <v>756160000</v>
          </cell>
          <cell r="AW20">
            <v>420858.71039776393</v>
          </cell>
          <cell r="AX20" t="str">
            <v xml:space="preserve"> Alat Baru</v>
          </cell>
        </row>
        <row r="21">
          <cell r="AO21" t="str">
            <v>14.</v>
          </cell>
          <cell r="AQ21" t="str">
            <v>TRACK LOADER 75-100 HP</v>
          </cell>
          <cell r="AR21" t="str">
            <v>E14</v>
          </cell>
          <cell r="AS21">
            <v>90</v>
          </cell>
          <cell r="AT21">
            <v>1.6</v>
          </cell>
          <cell r="AU21" t="str">
            <v>M3</v>
          </cell>
          <cell r="AV21">
            <v>779280000</v>
          </cell>
          <cell r="AW21">
            <v>392468.21683078905</v>
          </cell>
          <cell r="AX21" t="str">
            <v xml:space="preserve"> Alat Baru</v>
          </cell>
        </row>
        <row r="22">
          <cell r="AO22" t="str">
            <v>15.</v>
          </cell>
          <cell r="AQ22" t="str">
            <v>WHEEL LOADER 1.0-1.6 M3</v>
          </cell>
          <cell r="AR22" t="str">
            <v>E15</v>
          </cell>
          <cell r="AS22">
            <v>105</v>
          </cell>
          <cell r="AT22">
            <v>1.5</v>
          </cell>
          <cell r="AU22" t="str">
            <v>M3</v>
          </cell>
          <cell r="AV22">
            <v>636480000</v>
          </cell>
          <cell r="AW22">
            <v>376200.67709739844</v>
          </cell>
          <cell r="AX22" t="str">
            <v xml:space="preserve"> Alat Baru</v>
          </cell>
        </row>
        <row r="23">
          <cell r="AO23" t="str">
            <v>16.</v>
          </cell>
          <cell r="AQ23" t="str">
            <v>THREE WHEEL ROLLER 6-8 T</v>
          </cell>
          <cell r="AR23" t="str">
            <v>E16</v>
          </cell>
          <cell r="AS23">
            <v>55</v>
          </cell>
          <cell r="AT23">
            <v>8</v>
          </cell>
          <cell r="AU23" t="str">
            <v>Ton</v>
          </cell>
          <cell r="AV23">
            <v>231200000.00000003</v>
          </cell>
          <cell r="AW23">
            <v>241857.56433025157</v>
          </cell>
          <cell r="AX23" t="str">
            <v xml:space="preserve"> Alat Baru</v>
          </cell>
        </row>
        <row r="24">
          <cell r="AO24" t="str">
            <v>17.</v>
          </cell>
          <cell r="AQ24" t="str">
            <v>TANDEM ROLLER 6-8 T.</v>
          </cell>
          <cell r="AR24" t="str">
            <v>E17</v>
          </cell>
          <cell r="AS24">
            <v>50</v>
          </cell>
          <cell r="AT24">
            <v>8</v>
          </cell>
          <cell r="AU24" t="str">
            <v>Ton</v>
          </cell>
          <cell r="AV24">
            <v>352240000</v>
          </cell>
          <cell r="AW24">
            <v>262994.09800903033</v>
          </cell>
          <cell r="AX24" t="str">
            <v xml:space="preserve"> Alat Baru</v>
          </cell>
        </row>
        <row r="25">
          <cell r="AO25" t="str">
            <v>18.</v>
          </cell>
          <cell r="AQ25" t="str">
            <v>TIRE ROLLER 8-10 T.</v>
          </cell>
          <cell r="AR25" t="str">
            <v>E18</v>
          </cell>
          <cell r="AS25">
            <v>60</v>
          </cell>
          <cell r="AT25">
            <v>10</v>
          </cell>
          <cell r="AU25" t="str">
            <v>Ton</v>
          </cell>
          <cell r="AV25">
            <v>367400000</v>
          </cell>
          <cell r="AW25">
            <v>284497.66260541341</v>
          </cell>
          <cell r="AX25" t="str">
            <v xml:space="preserve"> Alat Baru</v>
          </cell>
        </row>
        <row r="26">
          <cell r="AO26" t="str">
            <v>19.</v>
          </cell>
          <cell r="AQ26" t="str">
            <v>VIBRATORY ROLLER 5-8 T.</v>
          </cell>
          <cell r="AR26" t="str">
            <v>E19</v>
          </cell>
          <cell r="AS26">
            <v>75</v>
          </cell>
          <cell r="AT26">
            <v>7</v>
          </cell>
          <cell r="AU26" t="str">
            <v>Ton</v>
          </cell>
          <cell r="AV26">
            <v>438110400.00000006</v>
          </cell>
          <cell r="AW26">
            <v>315414.28693651268</v>
          </cell>
          <cell r="AX26" t="str">
            <v xml:space="preserve"> Alat Baru</v>
          </cell>
        </row>
        <row r="27">
          <cell r="AO27" t="str">
            <v>20.</v>
          </cell>
          <cell r="AQ27" t="str">
            <v>CONCRETE VIBRATOR</v>
          </cell>
          <cell r="AR27" t="str">
            <v>E20</v>
          </cell>
          <cell r="AS27">
            <v>10</v>
          </cell>
          <cell r="AT27" t="str">
            <v xml:space="preserve">          -</v>
          </cell>
          <cell r="AU27" t="str">
            <v/>
          </cell>
          <cell r="AV27">
            <v>8540800</v>
          </cell>
          <cell r="AW27">
            <v>153578.97790998511</v>
          </cell>
          <cell r="AX27" t="str">
            <v xml:space="preserve"> Alat Baru</v>
          </cell>
          <cell r="BD27">
            <v>3235198908.7200003</v>
          </cell>
        </row>
        <row r="28">
          <cell r="AO28" t="str">
            <v>21.</v>
          </cell>
          <cell r="AQ28" t="str">
            <v>STONE CRUSHER</v>
          </cell>
          <cell r="AR28" t="str">
            <v>E21</v>
          </cell>
          <cell r="AS28">
            <v>220</v>
          </cell>
          <cell r="AT28">
            <v>30</v>
          </cell>
          <cell r="AU28" t="str">
            <v>T/Jam</v>
          </cell>
          <cell r="AV28">
            <v>1328720000</v>
          </cell>
          <cell r="AW28">
            <v>688857.36970973981</v>
          </cell>
          <cell r="AX28" t="str">
            <v xml:space="preserve"> Alat Baru</v>
          </cell>
        </row>
        <row r="29">
          <cell r="AO29" t="str">
            <v>22.</v>
          </cell>
          <cell r="AQ29" t="str">
            <v>WATER PUMP 70-100 mm</v>
          </cell>
          <cell r="AR29" t="str">
            <v>E22</v>
          </cell>
          <cell r="AS29">
            <v>6</v>
          </cell>
          <cell r="AT29" t="str">
            <v xml:space="preserve">          -</v>
          </cell>
          <cell r="AU29" t="str">
            <v/>
          </cell>
          <cell r="AV29">
            <v>6188000</v>
          </cell>
          <cell r="AW29">
            <v>147930.58527272727</v>
          </cell>
          <cell r="AX29" t="str">
            <v xml:space="preserve"> Alat Baru</v>
          </cell>
        </row>
        <row r="30">
          <cell r="AO30" t="str">
            <v>23.</v>
          </cell>
          <cell r="AQ30" t="str">
            <v>WATER TANKER 3000-4500 L.</v>
          </cell>
          <cell r="AR30" t="str">
            <v>E23</v>
          </cell>
          <cell r="AS30">
            <v>100</v>
          </cell>
          <cell r="AT30">
            <v>4000</v>
          </cell>
          <cell r="AU30" t="str">
            <v>Liter</v>
          </cell>
          <cell r="AV30">
            <v>166600000</v>
          </cell>
          <cell r="AW30">
            <v>270897.54635562247</v>
          </cell>
          <cell r="AX30" t="str">
            <v xml:space="preserve"> Alat Baru</v>
          </cell>
        </row>
        <row r="31">
          <cell r="AO31" t="str">
            <v>24.</v>
          </cell>
          <cell r="AQ31" t="str">
            <v>PEDESTRIAN ROLLER</v>
          </cell>
          <cell r="AR31" t="str">
            <v>E24</v>
          </cell>
          <cell r="AS31">
            <v>11</v>
          </cell>
          <cell r="AT31">
            <v>0.98</v>
          </cell>
          <cell r="AU31" t="str">
            <v>Ton</v>
          </cell>
          <cell r="AV31">
            <v>69360000</v>
          </cell>
          <cell r="AW31">
            <v>166938.71603576752</v>
          </cell>
          <cell r="AX31" t="str">
            <v xml:space="preserve"> Alat Baru</v>
          </cell>
        </row>
        <row r="32">
          <cell r="AO32" t="str">
            <v>25.</v>
          </cell>
          <cell r="AQ32" t="str">
            <v>TAMPER</v>
          </cell>
          <cell r="AR32" t="str">
            <v>E25</v>
          </cell>
          <cell r="AS32">
            <v>5</v>
          </cell>
          <cell r="AT32">
            <v>0.17</v>
          </cell>
          <cell r="AU32" t="str">
            <v>Ton</v>
          </cell>
          <cell r="AV32">
            <v>7425600.0000000009</v>
          </cell>
          <cell r="AW32">
            <v>148287.13684530553</v>
          </cell>
          <cell r="AX32" t="str">
            <v xml:space="preserve"> Alat Baru</v>
          </cell>
        </row>
        <row r="33">
          <cell r="AO33" t="str">
            <v>26.</v>
          </cell>
          <cell r="AQ33" t="str">
            <v>JACK HAMMER</v>
          </cell>
          <cell r="AR33" t="str">
            <v>E26</v>
          </cell>
          <cell r="AS33">
            <v>3</v>
          </cell>
          <cell r="AT33" t="str">
            <v xml:space="preserve">          -</v>
          </cell>
          <cell r="AU33" t="str">
            <v/>
          </cell>
          <cell r="AV33">
            <v>8663200</v>
          </cell>
          <cell r="AW33">
            <v>146969.5763195231</v>
          </cell>
          <cell r="AX33" t="str">
            <v xml:space="preserve"> Alat Baru</v>
          </cell>
        </row>
        <row r="34">
          <cell r="AO34" t="str">
            <v>27.</v>
          </cell>
          <cell r="AQ34" t="str">
            <v>FULVI MIXER</v>
          </cell>
          <cell r="AR34" t="str">
            <v>E27</v>
          </cell>
          <cell r="AS34">
            <v>75</v>
          </cell>
          <cell r="AT34" t="str">
            <v xml:space="preserve">          -</v>
          </cell>
          <cell r="AU34" t="str">
            <v/>
          </cell>
          <cell r="AV34">
            <v>114240000.00000001</v>
          </cell>
          <cell r="AW34">
            <v>235881.53178671253</v>
          </cell>
          <cell r="AX34" t="str">
            <v xml:space="preserve"> Alat Baru</v>
          </cell>
        </row>
        <row r="35">
          <cell r="AO35" t="str">
            <v>28.</v>
          </cell>
          <cell r="AQ35" t="str">
            <v>CONCRETE PUMP</v>
          </cell>
          <cell r="AR35" t="str">
            <v>E28</v>
          </cell>
          <cell r="AS35">
            <v>100</v>
          </cell>
          <cell r="AT35">
            <v>8</v>
          </cell>
          <cell r="AU35" t="str">
            <v>M3</v>
          </cell>
          <cell r="AV35">
            <v>390320000</v>
          </cell>
          <cell r="AW35">
            <v>312852.48002706969</v>
          </cell>
          <cell r="AX35" t="str">
            <v xml:space="preserve"> Alat Baru</v>
          </cell>
        </row>
        <row r="36">
          <cell r="AO36" t="str">
            <v>29.</v>
          </cell>
          <cell r="AQ36" t="str">
            <v>TRAILER 20 TON</v>
          </cell>
          <cell r="AR36" t="str">
            <v>E29</v>
          </cell>
          <cell r="AS36">
            <v>175</v>
          </cell>
          <cell r="AT36">
            <v>10</v>
          </cell>
          <cell r="AU36" t="str">
            <v>Ton</v>
          </cell>
          <cell r="AV36">
            <v>136000000</v>
          </cell>
          <cell r="AW36">
            <v>333726.6916470626</v>
          </cell>
          <cell r="AX36" t="str">
            <v xml:space="preserve"> Alat Baru</v>
          </cell>
        </row>
        <row r="37">
          <cell r="AO37" t="str">
            <v>30.</v>
          </cell>
          <cell r="AQ37" t="str">
            <v>PILE DRIVER + HAMMER</v>
          </cell>
          <cell r="AR37" t="str">
            <v>E30</v>
          </cell>
          <cell r="AS37">
            <v>25</v>
          </cell>
          <cell r="AT37">
            <v>2.5</v>
          </cell>
          <cell r="AU37" t="str">
            <v>Ton</v>
          </cell>
          <cell r="AV37">
            <v>54400000.000000007</v>
          </cell>
          <cell r="AW37">
            <v>175452.51513652978</v>
          </cell>
          <cell r="AX37" t="str">
            <v xml:space="preserve"> Alat Baru</v>
          </cell>
        </row>
        <row r="38">
          <cell r="AO38" t="str">
            <v>31.</v>
          </cell>
          <cell r="AQ38" t="str">
            <v>CRANE ON TRACK 35 TON</v>
          </cell>
          <cell r="AR38" t="str">
            <v>E31</v>
          </cell>
          <cell r="AS38">
            <v>125</v>
          </cell>
          <cell r="AT38">
            <v>35</v>
          </cell>
          <cell r="AU38" t="str">
            <v>Ton</v>
          </cell>
          <cell r="AV38">
            <v>291040000</v>
          </cell>
          <cell r="AW38">
            <v>316926.37012471398</v>
          </cell>
          <cell r="AX38" t="str">
            <v xml:space="preserve"> Alat Baru</v>
          </cell>
        </row>
        <row r="39">
          <cell r="AO39" t="str">
            <v>32.</v>
          </cell>
          <cell r="AQ39" t="str">
            <v>WELDING SET</v>
          </cell>
          <cell r="AR39" t="str">
            <v>E32</v>
          </cell>
          <cell r="AS39">
            <v>40</v>
          </cell>
          <cell r="AT39">
            <v>250</v>
          </cell>
          <cell r="AU39" t="str">
            <v>Amp</v>
          </cell>
          <cell r="AV39">
            <v>13600000.000000002</v>
          </cell>
          <cell r="AW39">
            <v>181010.00378413245</v>
          </cell>
          <cell r="AX39" t="str">
            <v xml:space="preserve"> Alat Baru</v>
          </cell>
        </row>
        <row r="40">
          <cell r="AO40" t="str">
            <v>33.</v>
          </cell>
          <cell r="AQ40" t="str">
            <v>BORE PILE MACHINE</v>
          </cell>
          <cell r="AR40" t="str">
            <v>E33</v>
          </cell>
          <cell r="AS40">
            <v>150</v>
          </cell>
          <cell r="AT40">
            <v>2000</v>
          </cell>
          <cell r="AU40" t="str">
            <v>Meter</v>
          </cell>
          <cell r="AV40">
            <v>1867280000.0000002</v>
          </cell>
          <cell r="AW40">
            <v>654123.1013141697</v>
          </cell>
          <cell r="AX40" t="str">
            <v xml:space="preserve"> Alat Baru</v>
          </cell>
        </row>
        <row r="41">
          <cell r="AO41" t="str">
            <v>34.</v>
          </cell>
          <cell r="AQ41" t="str">
            <v>ASPHALT LIQUID MIXER</v>
          </cell>
          <cell r="AR41" t="str">
            <v>E34</v>
          </cell>
          <cell r="AS41">
            <v>5</v>
          </cell>
          <cell r="AT41">
            <v>1000</v>
          </cell>
          <cell r="AU41" t="str">
            <v>Liter</v>
          </cell>
          <cell r="AV41">
            <v>97500000</v>
          </cell>
          <cell r="AW41">
            <v>167902.18517138599</v>
          </cell>
          <cell r="AX41" t="str">
            <v xml:space="preserve"> Alat Baru</v>
          </cell>
        </row>
        <row r="47">
          <cell r="BD47">
            <v>861900000.00000012</v>
          </cell>
        </row>
        <row r="67">
          <cell r="BD67">
            <v>111520000.00000001</v>
          </cell>
        </row>
        <row r="87">
          <cell r="BD87">
            <v>999600000.00000012</v>
          </cell>
        </row>
        <row r="237">
          <cell r="A237" t="str">
            <v>URAIAN ANALISA ALAT</v>
          </cell>
        </row>
        <row r="240">
          <cell r="A240" t="str">
            <v>No.</v>
          </cell>
          <cell r="C240" t="str">
            <v>U R A I A N</v>
          </cell>
          <cell r="G240" t="str">
            <v>KODE</v>
          </cell>
          <cell r="H240" t="str">
            <v>KOEF.</v>
          </cell>
          <cell r="I240" t="str">
            <v>SATUAN</v>
          </cell>
          <cell r="J240" t="str">
            <v>KET.</v>
          </cell>
        </row>
        <row r="243">
          <cell r="A243" t="str">
            <v>A.</v>
          </cell>
          <cell r="C243" t="str">
            <v>URAIAN PERALATAN</v>
          </cell>
        </row>
        <row r="244">
          <cell r="A244" t="str">
            <v xml:space="preserve">       1.</v>
          </cell>
          <cell r="C244" t="str">
            <v>Jenis Peralatan</v>
          </cell>
          <cell r="G244" t="str">
            <v>COMPRESSOR 4000-6500 L\M</v>
          </cell>
          <cell r="J244" t="str">
            <v>E05</v>
          </cell>
        </row>
        <row r="245">
          <cell r="A245" t="str">
            <v xml:space="preserve">       2.</v>
          </cell>
          <cell r="C245" t="str">
            <v>Tenaga</v>
          </cell>
          <cell r="G245" t="str">
            <v>Pw</v>
          </cell>
          <cell r="H245">
            <v>80</v>
          </cell>
          <cell r="I245" t="str">
            <v>HP</v>
          </cell>
        </row>
        <row r="246">
          <cell r="A246" t="str">
            <v xml:space="preserve">       3.</v>
          </cell>
          <cell r="C246" t="str">
            <v>Kapasitas</v>
          </cell>
          <cell r="G246" t="str">
            <v>Cp</v>
          </cell>
          <cell r="H246" t="str">
            <v xml:space="preserve">-  </v>
          </cell>
          <cell r="I246" t="str">
            <v>-</v>
          </cell>
        </row>
        <row r="247">
          <cell r="A247" t="str">
            <v xml:space="preserve">       4.</v>
          </cell>
          <cell r="C247" t="str">
            <v>Alat Baru                :</v>
          </cell>
          <cell r="D247" t="str">
            <v xml:space="preserve">  a.  Umur Ekonomis</v>
          </cell>
          <cell r="G247" t="str">
            <v>A</v>
          </cell>
          <cell r="H247">
            <v>5</v>
          </cell>
          <cell r="I247" t="str">
            <v>Tahun</v>
          </cell>
        </row>
        <row r="248">
          <cell r="D248" t="str">
            <v xml:space="preserve">  b.  Jam Kerja Dalam 1 Tahun</v>
          </cell>
          <cell r="G248" t="str">
            <v>W</v>
          </cell>
          <cell r="H248">
            <v>2000</v>
          </cell>
          <cell r="I248" t="str">
            <v>Jam</v>
          </cell>
        </row>
        <row r="249">
          <cell r="D249" t="str">
            <v xml:space="preserve">  c.  Harga Alat</v>
          </cell>
          <cell r="G249" t="str">
            <v>B</v>
          </cell>
          <cell r="H249">
            <v>82960000</v>
          </cell>
          <cell r="I249" t="str">
            <v>Rupiah</v>
          </cell>
        </row>
        <row r="250">
          <cell r="A250" t="str">
            <v xml:space="preserve">       5.</v>
          </cell>
          <cell r="C250" t="str">
            <v>Alat Yang Dipakai  :</v>
          </cell>
          <cell r="D250" t="str">
            <v xml:space="preserve">  a.  Umur Ekonomis</v>
          </cell>
          <cell r="G250" t="str">
            <v>A'</v>
          </cell>
          <cell r="H250">
            <v>5</v>
          </cell>
          <cell r="I250" t="str">
            <v>Tahun</v>
          </cell>
          <cell r="J250" t="str">
            <v xml:space="preserve"> Alat Baru</v>
          </cell>
        </row>
        <row r="251">
          <cell r="D251" t="str">
            <v xml:space="preserve">  b.  Jam Kerja Dalam 1 Tahun </v>
          </cell>
          <cell r="G251" t="str">
            <v>W'</v>
          </cell>
          <cell r="H251">
            <v>2000</v>
          </cell>
          <cell r="I251" t="str">
            <v>Jam</v>
          </cell>
          <cell r="J251" t="str">
            <v xml:space="preserve"> Alat Baru</v>
          </cell>
        </row>
        <row r="252">
          <cell r="D252" t="str">
            <v xml:space="preserve">  c.  Harga Alat   (*)</v>
          </cell>
          <cell r="G252" t="str">
            <v>B'</v>
          </cell>
          <cell r="H252">
            <v>82960000</v>
          </cell>
          <cell r="I252" t="str">
            <v>Rupiah</v>
          </cell>
          <cell r="J252" t="str">
            <v xml:space="preserve"> Alat Baru</v>
          </cell>
        </row>
        <row r="254">
          <cell r="A254" t="str">
            <v>B.</v>
          </cell>
          <cell r="C254" t="str">
            <v>BIAYA PASTI PER JAM KERJA</v>
          </cell>
        </row>
        <row r="255">
          <cell r="A255" t="str">
            <v xml:space="preserve">       1.</v>
          </cell>
          <cell r="C255" t="str">
            <v>Nilai Sisa Alat</v>
          </cell>
          <cell r="D255" t="str">
            <v>=  10 % x B</v>
          </cell>
          <cell r="G255" t="str">
            <v>C</v>
          </cell>
          <cell r="H255">
            <v>8296000</v>
          </cell>
          <cell r="I255" t="str">
            <v>Rupiah</v>
          </cell>
        </row>
        <row r="257">
          <cell r="A257" t="str">
            <v xml:space="preserve">       2.</v>
          </cell>
          <cell r="C257" t="str">
            <v>Faktor Angsuran Modal    =</v>
          </cell>
          <cell r="E257" t="str">
            <v>i x (1 + i)^A'</v>
          </cell>
          <cell r="G257" t="str">
            <v>D</v>
          </cell>
          <cell r="H257">
            <v>0.33437970328961514</v>
          </cell>
          <cell r="I257" t="str">
            <v>-</v>
          </cell>
        </row>
        <row r="258">
          <cell r="E258" t="str">
            <v>(1 + i)^A' - 1</v>
          </cell>
        </row>
        <row r="259">
          <cell r="A259" t="str">
            <v xml:space="preserve">       3.</v>
          </cell>
          <cell r="C259" t="str">
            <v>Biaya Pasti per Jam  :</v>
          </cell>
        </row>
        <row r="260">
          <cell r="C260" t="str">
            <v>a.  Biaya Pengembalian Modal  =</v>
          </cell>
          <cell r="E260" t="str">
            <v>( B' - C ) x D</v>
          </cell>
          <cell r="G260" t="str">
            <v>E</v>
          </cell>
          <cell r="H260">
            <v>12483.063083207913</v>
          </cell>
          <cell r="I260" t="str">
            <v>Rupiah</v>
          </cell>
        </row>
        <row r="261">
          <cell r="E261" t="str">
            <v>W'</v>
          </cell>
        </row>
        <row r="263">
          <cell r="C263" t="str">
            <v>b.  Asuransi, dll =</v>
          </cell>
          <cell r="D263">
            <v>2E-3</v>
          </cell>
          <cell r="E263" t="str">
            <v xml:space="preserve">  x   B'</v>
          </cell>
          <cell r="G263" t="str">
            <v>F</v>
          </cell>
          <cell r="H263">
            <v>82.96</v>
          </cell>
          <cell r="I263" t="str">
            <v>Rupiah</v>
          </cell>
        </row>
        <row r="264">
          <cell r="E264" t="str">
            <v>W'</v>
          </cell>
        </row>
        <row r="266">
          <cell r="C266" t="str">
            <v>Biaya Pasti per Jam             =</v>
          </cell>
          <cell r="E266" t="str">
            <v>( E + F )</v>
          </cell>
          <cell r="G266" t="str">
            <v>G</v>
          </cell>
          <cell r="H266">
            <v>12566.023083207912</v>
          </cell>
          <cell r="I266" t="str">
            <v>Rupiah</v>
          </cell>
        </row>
        <row r="268">
          <cell r="A268" t="str">
            <v>C.</v>
          </cell>
          <cell r="C268" t="str">
            <v>BIAYA OPERASI PER JAM KERJA</v>
          </cell>
        </row>
        <row r="270">
          <cell r="A270" t="str">
            <v xml:space="preserve">       1.</v>
          </cell>
          <cell r="C270" t="str">
            <v xml:space="preserve">Bahan Bakar  =  (0.125-0.175 Ltr/HP/Jam)   x Pw x Ms </v>
          </cell>
          <cell r="G270" t="str">
            <v>H</v>
          </cell>
          <cell r="H270">
            <v>55000</v>
          </cell>
          <cell r="I270" t="str">
            <v>Rupiah</v>
          </cell>
        </row>
        <row r="272">
          <cell r="A272" t="str">
            <v xml:space="preserve">       2.</v>
          </cell>
          <cell r="C272" t="str">
            <v>Pelumas         =  (0.01-0.02 Ltr/HP/Jam) x Pw x Mp</v>
          </cell>
          <cell r="G272" t="str">
            <v>I</v>
          </cell>
          <cell r="H272">
            <v>21200</v>
          </cell>
          <cell r="I272" t="str">
            <v>Rupiah</v>
          </cell>
        </row>
        <row r="274">
          <cell r="A274" t="str">
            <v xml:space="preserve">       3.</v>
          </cell>
          <cell r="C274" t="str">
            <v>Perawatan dan</v>
          </cell>
          <cell r="D274" t="str">
            <v>(12,5 % - 17,5 %)  x  B'</v>
          </cell>
          <cell r="G274" t="str">
            <v>K</v>
          </cell>
          <cell r="H274">
            <v>5185</v>
          </cell>
          <cell r="I274" t="str">
            <v>Rupiah</v>
          </cell>
        </row>
        <row r="275">
          <cell r="C275" t="str">
            <v xml:space="preserve">        perbaikan    =</v>
          </cell>
          <cell r="D275" t="str">
            <v>W'</v>
          </cell>
        </row>
        <row r="277">
          <cell r="A277" t="str">
            <v xml:space="preserve">       4.</v>
          </cell>
          <cell r="C277" t="str">
            <v>Operator</v>
          </cell>
          <cell r="D277" t="str">
            <v>=   ( 1  Orang / Jam )  x  U1</v>
          </cell>
          <cell r="G277" t="str">
            <v>L</v>
          </cell>
          <cell r="H277">
            <v>85000</v>
          </cell>
          <cell r="I277" t="str">
            <v>Rupiah</v>
          </cell>
        </row>
        <row r="278">
          <cell r="A278" t="str">
            <v xml:space="preserve">       5.</v>
          </cell>
          <cell r="C278" t="str">
            <v>Pembantu Operator</v>
          </cell>
          <cell r="D278" t="str">
            <v>=   ( 1  Orang / Jam )  x  U2</v>
          </cell>
          <cell r="G278" t="str">
            <v>M</v>
          </cell>
          <cell r="H278">
            <v>55000</v>
          </cell>
          <cell r="I278" t="str">
            <v>Rupiah</v>
          </cell>
        </row>
        <row r="280">
          <cell r="C280" t="str">
            <v>Biaya Operasi per Jam        =</v>
          </cell>
          <cell r="E280" t="str">
            <v>(H+I+K+L+M)</v>
          </cell>
          <cell r="G280" t="str">
            <v>P</v>
          </cell>
          <cell r="H280">
            <v>221385</v>
          </cell>
          <cell r="I280" t="str">
            <v>Rupiah</v>
          </cell>
        </row>
        <row r="282">
          <cell r="A282" t="str">
            <v>D.</v>
          </cell>
          <cell r="C282" t="str">
            <v>TOTAL BIAYA SEWA ALAT / JAM   =   ( G + P )</v>
          </cell>
          <cell r="G282" t="str">
            <v>S</v>
          </cell>
          <cell r="H282">
            <v>233951.02308320793</v>
          </cell>
          <cell r="I282" t="str">
            <v>Rupiah</v>
          </cell>
        </row>
        <row r="285">
          <cell r="A285" t="str">
            <v>E.</v>
          </cell>
          <cell r="C285" t="str">
            <v>LAIN - LAIN</v>
          </cell>
        </row>
        <row r="286">
          <cell r="A286" t="str">
            <v xml:space="preserve">       1.</v>
          </cell>
          <cell r="C286" t="str">
            <v>Tingkat Suku Bunga</v>
          </cell>
          <cell r="G286" t="str">
            <v>i</v>
          </cell>
          <cell r="H286">
            <v>20</v>
          </cell>
          <cell r="I286" t="str">
            <v>% / Tahun</v>
          </cell>
        </row>
        <row r="287">
          <cell r="A287" t="str">
            <v xml:space="preserve">       2.</v>
          </cell>
          <cell r="C287" t="str">
            <v>Upah Operator / Sopir</v>
          </cell>
          <cell r="G287" t="str">
            <v>U1</v>
          </cell>
          <cell r="H287">
            <v>85000</v>
          </cell>
          <cell r="I287" t="str">
            <v>Rp./Jam</v>
          </cell>
        </row>
        <row r="288">
          <cell r="A288" t="str">
            <v xml:space="preserve">       3.</v>
          </cell>
          <cell r="C288" t="str">
            <v>Upah Pembantu Operator / Pmb.Sopir</v>
          </cell>
          <cell r="G288" t="str">
            <v>U2</v>
          </cell>
          <cell r="H288">
            <v>55000</v>
          </cell>
          <cell r="I288" t="str">
            <v>Rp./Jam</v>
          </cell>
        </row>
        <row r="289">
          <cell r="A289" t="str">
            <v xml:space="preserve">       4.</v>
          </cell>
          <cell r="C289" t="str">
            <v>Bahan Bakar Bensin</v>
          </cell>
          <cell r="G289" t="str">
            <v>Mb</v>
          </cell>
          <cell r="H289">
            <v>5500</v>
          </cell>
          <cell r="I289" t="str">
            <v>Liter</v>
          </cell>
        </row>
        <row r="290">
          <cell r="A290" t="str">
            <v xml:space="preserve">       5.</v>
          </cell>
          <cell r="C290" t="str">
            <v>Bahan Bakar Solar</v>
          </cell>
          <cell r="G290" t="str">
            <v>Ms</v>
          </cell>
          <cell r="H290">
            <v>5500</v>
          </cell>
          <cell r="I290" t="str">
            <v>Liter</v>
          </cell>
        </row>
        <row r="291">
          <cell r="A291" t="str">
            <v xml:space="preserve">       6.</v>
          </cell>
          <cell r="C291" t="str">
            <v>Minyak Pelumas</v>
          </cell>
          <cell r="G291" t="str">
            <v>Mp</v>
          </cell>
          <cell r="H291">
            <v>26500</v>
          </cell>
          <cell r="I291" t="str">
            <v>Liter</v>
          </cell>
        </row>
        <row r="292">
          <cell r="A292" t="str">
            <v xml:space="preserve">       7.</v>
          </cell>
          <cell r="C292" t="str">
            <v>PPN diperhitungkan pada lembar Rekapitulasi</v>
          </cell>
        </row>
        <row r="293">
          <cell r="C293" t="str">
            <v>Biaya Pekerjaan</v>
          </cell>
        </row>
        <row r="306">
          <cell r="BD306" t="str">
            <v xml:space="preserve"> Alat Baru</v>
          </cell>
        </row>
        <row r="326">
          <cell r="BD326" t="str">
            <v xml:space="preserve"> Alat Baru</v>
          </cell>
        </row>
        <row r="346">
          <cell r="BD346" t="str">
            <v xml:space="preserve"> Alat Baru</v>
          </cell>
        </row>
        <row r="355">
          <cell r="A355" t="str">
            <v>URAIAN ANALISA ALAT</v>
          </cell>
        </row>
        <row r="358">
          <cell r="A358" t="str">
            <v>No.</v>
          </cell>
          <cell r="C358" t="str">
            <v>U R A I A N</v>
          </cell>
          <cell r="G358" t="str">
            <v>KODE</v>
          </cell>
          <cell r="H358" t="str">
            <v>KOEF.</v>
          </cell>
          <cell r="I358" t="str">
            <v>SATUAN</v>
          </cell>
          <cell r="J358" t="str">
            <v>KET.</v>
          </cell>
        </row>
        <row r="361">
          <cell r="A361" t="str">
            <v>A.</v>
          </cell>
          <cell r="C361" t="str">
            <v>URAIAN PERALATAN</v>
          </cell>
        </row>
        <row r="362">
          <cell r="A362" t="str">
            <v xml:space="preserve">       1.</v>
          </cell>
          <cell r="C362" t="str">
            <v>Jenis Peralatan</v>
          </cell>
          <cell r="G362" t="str">
            <v>CRANE 10-15 TON</v>
          </cell>
          <cell r="J362" t="str">
            <v>E07</v>
          </cell>
        </row>
        <row r="363">
          <cell r="A363" t="str">
            <v xml:space="preserve">       2.</v>
          </cell>
          <cell r="C363" t="str">
            <v>Tenaga</v>
          </cell>
          <cell r="G363" t="str">
            <v>Pw</v>
          </cell>
          <cell r="H363">
            <v>150</v>
          </cell>
          <cell r="I363" t="str">
            <v>HP</v>
          </cell>
        </row>
        <row r="364">
          <cell r="A364" t="str">
            <v xml:space="preserve">       3.</v>
          </cell>
          <cell r="C364" t="str">
            <v>Kapasitas</v>
          </cell>
          <cell r="G364" t="str">
            <v>Cp</v>
          </cell>
          <cell r="H364">
            <v>15</v>
          </cell>
          <cell r="I364" t="str">
            <v>Ton</v>
          </cell>
        </row>
        <row r="365">
          <cell r="A365" t="str">
            <v xml:space="preserve">       4.</v>
          </cell>
          <cell r="C365" t="str">
            <v>Alat Baru                :</v>
          </cell>
          <cell r="D365" t="str">
            <v xml:space="preserve">  a.  Umur Ekonomis</v>
          </cell>
          <cell r="G365" t="str">
            <v>A</v>
          </cell>
          <cell r="H365">
            <v>5</v>
          </cell>
          <cell r="I365" t="str">
            <v>Tahun</v>
          </cell>
        </row>
        <row r="366">
          <cell r="D366" t="str">
            <v xml:space="preserve">  b.  Jam Kerja Dalam 1 Tahun</v>
          </cell>
          <cell r="G366" t="str">
            <v>W</v>
          </cell>
          <cell r="H366">
            <v>2000</v>
          </cell>
          <cell r="I366" t="str">
            <v>Jam</v>
          </cell>
        </row>
        <row r="367">
          <cell r="D367" t="str">
            <v xml:space="preserve">  c.  Harga Alat</v>
          </cell>
          <cell r="G367" t="str">
            <v>B</v>
          </cell>
          <cell r="H367">
            <v>580720000</v>
          </cell>
          <cell r="I367" t="str">
            <v>Rupiah</v>
          </cell>
        </row>
        <row r="368">
          <cell r="A368" t="str">
            <v xml:space="preserve">       5.</v>
          </cell>
          <cell r="C368" t="str">
            <v>Alat Yang Dipakai  :</v>
          </cell>
          <cell r="D368" t="str">
            <v xml:space="preserve">  a.  Umur Ekonomis</v>
          </cell>
          <cell r="G368" t="str">
            <v>A'</v>
          </cell>
          <cell r="H368">
            <v>5</v>
          </cell>
          <cell r="I368" t="str">
            <v>Tahun</v>
          </cell>
          <cell r="J368" t="str">
            <v xml:space="preserve"> Alat Baru</v>
          </cell>
        </row>
        <row r="369">
          <cell r="D369" t="str">
            <v xml:space="preserve">  b.  Jam Kerja Dalam 1 Tahun </v>
          </cell>
          <cell r="G369" t="str">
            <v>W'</v>
          </cell>
          <cell r="H369">
            <v>2000</v>
          </cell>
          <cell r="I369" t="str">
            <v>Jam</v>
          </cell>
          <cell r="J369" t="str">
            <v xml:space="preserve"> Alat Baru</v>
          </cell>
        </row>
        <row r="370">
          <cell r="D370" t="str">
            <v xml:space="preserve">  c.  Harga Alat   (*)</v>
          </cell>
          <cell r="G370" t="str">
            <v>B'</v>
          </cell>
          <cell r="H370">
            <v>580720000</v>
          </cell>
          <cell r="I370" t="str">
            <v>Rupiah</v>
          </cell>
          <cell r="J370" t="str">
            <v xml:space="preserve"> Alat Baru</v>
          </cell>
        </row>
        <row r="372">
          <cell r="A372" t="str">
            <v>B.</v>
          </cell>
          <cell r="C372" t="str">
            <v>BIAYA PASTI PER JAM KERJA</v>
          </cell>
        </row>
        <row r="373">
          <cell r="A373" t="str">
            <v xml:space="preserve">       1.</v>
          </cell>
          <cell r="C373" t="str">
            <v>Nilai Sisa Alat</v>
          </cell>
          <cell r="D373" t="str">
            <v>=  10 % x B</v>
          </cell>
          <cell r="G373" t="str">
            <v>C</v>
          </cell>
          <cell r="H373">
            <v>58072000</v>
          </cell>
          <cell r="I373" t="str">
            <v>Rupiah</v>
          </cell>
        </row>
        <row r="375">
          <cell r="A375" t="str">
            <v xml:space="preserve">       2.</v>
          </cell>
          <cell r="C375" t="str">
            <v>Faktor Angsuran Modal    =</v>
          </cell>
          <cell r="E375" t="str">
            <v>i x (1 + i)^A'</v>
          </cell>
          <cell r="G375" t="str">
            <v>D</v>
          </cell>
          <cell r="H375">
            <v>0.33437970328961514</v>
          </cell>
          <cell r="I375" t="str">
            <v>-</v>
          </cell>
        </row>
        <row r="376">
          <cell r="E376" t="str">
            <v>(1 + i)^A' - 1</v>
          </cell>
        </row>
        <row r="377">
          <cell r="A377" t="str">
            <v xml:space="preserve">       3.</v>
          </cell>
          <cell r="C377" t="str">
            <v>Biaya Pasti per Jam  :</v>
          </cell>
        </row>
        <row r="378">
          <cell r="C378" t="str">
            <v>a.  Biaya Pengembalian Modal  =</v>
          </cell>
          <cell r="E378" t="str">
            <v>( B' - C ) x D</v>
          </cell>
          <cell r="G378" t="str">
            <v>E</v>
          </cell>
          <cell r="H378">
            <v>87381.441582455387</v>
          </cell>
          <cell r="I378" t="str">
            <v>Rupiah</v>
          </cell>
        </row>
        <row r="379">
          <cell r="E379" t="str">
            <v>W'</v>
          </cell>
        </row>
        <row r="381">
          <cell r="C381" t="str">
            <v>b.  Asuransi, dll =</v>
          </cell>
          <cell r="D381">
            <v>2E-3</v>
          </cell>
          <cell r="E381" t="str">
            <v xml:space="preserve">  x   B'</v>
          </cell>
          <cell r="G381" t="str">
            <v>F</v>
          </cell>
          <cell r="H381">
            <v>580.72</v>
          </cell>
          <cell r="I381" t="str">
            <v>Rupiah</v>
          </cell>
        </row>
        <row r="382">
          <cell r="E382" t="str">
            <v>W'</v>
          </cell>
        </row>
        <row r="384">
          <cell r="C384" t="str">
            <v>Biaya Pasti per Jam             =</v>
          </cell>
          <cell r="E384" t="str">
            <v>( E + F )</v>
          </cell>
          <cell r="G384" t="str">
            <v>G</v>
          </cell>
          <cell r="H384">
            <v>87962.161582455388</v>
          </cell>
          <cell r="I384" t="str">
            <v>Rupiah</v>
          </cell>
        </row>
        <row r="386">
          <cell r="A386" t="str">
            <v>C.</v>
          </cell>
          <cell r="C386" t="str">
            <v>BIAYA OPERASI PER JAM KERJA</v>
          </cell>
        </row>
        <row r="388">
          <cell r="A388" t="str">
            <v xml:space="preserve">       1.</v>
          </cell>
          <cell r="C388" t="str">
            <v xml:space="preserve">Bahan Bakar  =  (0.125-0.175 Ltr/HP/Jam)   x Pw x Ms </v>
          </cell>
          <cell r="G388" t="str">
            <v>H</v>
          </cell>
          <cell r="H388">
            <v>103125</v>
          </cell>
          <cell r="I388" t="str">
            <v>Rupiah</v>
          </cell>
        </row>
        <row r="390">
          <cell r="A390" t="str">
            <v xml:space="preserve">       2.</v>
          </cell>
          <cell r="C390" t="str">
            <v>Pelumas         =  (0.01-0.02 Ltr/HP/Jam) x Pw x Mp</v>
          </cell>
          <cell r="G390" t="str">
            <v>I</v>
          </cell>
          <cell r="H390">
            <v>39750</v>
          </cell>
          <cell r="I390" t="str">
            <v>Rupiah</v>
          </cell>
        </row>
        <row r="392">
          <cell r="A392" t="str">
            <v xml:space="preserve">       3.</v>
          </cell>
          <cell r="C392" t="str">
            <v>Perawatan dan</v>
          </cell>
          <cell r="D392" t="str">
            <v>(12,5 % - 17,5 %)  x  B'</v>
          </cell>
          <cell r="G392" t="str">
            <v>K</v>
          </cell>
          <cell r="H392">
            <v>36295</v>
          </cell>
          <cell r="I392" t="str">
            <v>Rupiah</v>
          </cell>
        </row>
        <row r="393">
          <cell r="C393" t="str">
            <v xml:space="preserve">        perbaikan    =</v>
          </cell>
          <cell r="D393" t="str">
            <v>W'</v>
          </cell>
        </row>
        <row r="395">
          <cell r="A395" t="str">
            <v xml:space="preserve">       4.</v>
          </cell>
          <cell r="C395" t="str">
            <v>Operator</v>
          </cell>
          <cell r="D395" t="str">
            <v>=   ( 1  Orang / Jam )  x  U1</v>
          </cell>
          <cell r="G395" t="str">
            <v>L</v>
          </cell>
          <cell r="H395">
            <v>85000</v>
          </cell>
          <cell r="I395" t="str">
            <v>Rupiah</v>
          </cell>
        </row>
        <row r="396">
          <cell r="A396" t="str">
            <v xml:space="preserve">       5.</v>
          </cell>
          <cell r="C396" t="str">
            <v>Pembantu Operator</v>
          </cell>
          <cell r="D396" t="str">
            <v>=   ( 1  Orang / Jam )  x  U2</v>
          </cell>
          <cell r="G396" t="str">
            <v>M</v>
          </cell>
          <cell r="H396">
            <v>55000</v>
          </cell>
          <cell r="I396" t="str">
            <v>Rupiah</v>
          </cell>
        </row>
        <row r="398">
          <cell r="C398" t="str">
            <v>Biaya Operasi per Jam        =</v>
          </cell>
          <cell r="E398" t="str">
            <v>(H+I+K+L+M)</v>
          </cell>
          <cell r="G398" t="str">
            <v>P</v>
          </cell>
          <cell r="H398">
            <v>319170</v>
          </cell>
          <cell r="I398" t="str">
            <v>Rupiah</v>
          </cell>
        </row>
        <row r="400">
          <cell r="A400" t="str">
            <v>D.</v>
          </cell>
          <cell r="C400" t="str">
            <v>TOTAL BIAYA SEWA ALAT / JAM   =   ( G + P )</v>
          </cell>
          <cell r="G400" t="str">
            <v>S</v>
          </cell>
          <cell r="H400">
            <v>407132.16158245539</v>
          </cell>
          <cell r="I400" t="str">
            <v>Rupiah</v>
          </cell>
        </row>
        <row r="403">
          <cell r="A403" t="str">
            <v>E.</v>
          </cell>
          <cell r="C403" t="str">
            <v>LAIN - LAIN</v>
          </cell>
        </row>
        <row r="404">
          <cell r="A404" t="str">
            <v xml:space="preserve">       1.</v>
          </cell>
          <cell r="C404" t="str">
            <v>Tingkat Suku Bunga</v>
          </cell>
          <cell r="G404" t="str">
            <v>i</v>
          </cell>
          <cell r="H404">
            <v>20</v>
          </cell>
          <cell r="I404" t="str">
            <v>% / Tahun</v>
          </cell>
        </row>
        <row r="405">
          <cell r="A405" t="str">
            <v xml:space="preserve">       2.</v>
          </cell>
          <cell r="C405" t="str">
            <v>Upah Operator / Sopir</v>
          </cell>
          <cell r="G405" t="str">
            <v>U1</v>
          </cell>
          <cell r="H405">
            <v>85000</v>
          </cell>
          <cell r="I405" t="str">
            <v>Rp./Jam</v>
          </cell>
        </row>
        <row r="406">
          <cell r="A406" t="str">
            <v xml:space="preserve">       3.</v>
          </cell>
          <cell r="C406" t="str">
            <v>Upah Pembantu Operator / Pmb.Sopir</v>
          </cell>
          <cell r="G406" t="str">
            <v>U2</v>
          </cell>
          <cell r="H406">
            <v>55000</v>
          </cell>
          <cell r="I406" t="str">
            <v>Rp./Jam</v>
          </cell>
        </row>
        <row r="407">
          <cell r="A407" t="str">
            <v xml:space="preserve">       4.</v>
          </cell>
          <cell r="C407" t="str">
            <v>Bahan Bakar Bensin</v>
          </cell>
          <cell r="G407" t="str">
            <v>Mb</v>
          </cell>
          <cell r="H407">
            <v>5500</v>
          </cell>
          <cell r="I407" t="str">
            <v>Liter</v>
          </cell>
        </row>
        <row r="408">
          <cell r="A408" t="str">
            <v xml:space="preserve">       5.</v>
          </cell>
          <cell r="C408" t="str">
            <v>Bahan Bakar Solar</v>
          </cell>
          <cell r="G408" t="str">
            <v>Ms</v>
          </cell>
          <cell r="H408">
            <v>5500</v>
          </cell>
          <cell r="I408" t="str">
            <v>Liter</v>
          </cell>
        </row>
        <row r="409">
          <cell r="A409" t="str">
            <v xml:space="preserve">       6.</v>
          </cell>
          <cell r="C409" t="str">
            <v>Minyak Pelumas</v>
          </cell>
          <cell r="G409" t="str">
            <v>Mp</v>
          </cell>
          <cell r="H409">
            <v>26500</v>
          </cell>
          <cell r="I409" t="str">
            <v>Liter</v>
          </cell>
        </row>
        <row r="410">
          <cell r="A410" t="str">
            <v xml:space="preserve">       7.</v>
          </cell>
          <cell r="C410" t="str">
            <v>PPN diperhitungkan pada lembar Rekapitulasi</v>
          </cell>
        </row>
        <row r="411">
          <cell r="C411" t="str">
            <v>Biaya Pekerjaan</v>
          </cell>
        </row>
        <row r="414">
          <cell r="A414" t="str">
            <v>URAIAN ANALISA ALAT</v>
          </cell>
        </row>
        <row r="417">
          <cell r="A417" t="str">
            <v>No.</v>
          </cell>
          <cell r="C417" t="str">
            <v>U R A I A N</v>
          </cell>
          <cell r="G417" t="str">
            <v>KODE</v>
          </cell>
          <cell r="H417" t="str">
            <v>KOEF.</v>
          </cell>
          <cell r="I417" t="str">
            <v>SATUAN</v>
          </cell>
          <cell r="J417" t="str">
            <v>KET.</v>
          </cell>
        </row>
        <row r="420">
          <cell r="A420" t="str">
            <v>A.</v>
          </cell>
          <cell r="C420" t="str">
            <v>URAIAN PERALATAN</v>
          </cell>
        </row>
        <row r="421">
          <cell r="A421" t="str">
            <v xml:space="preserve">       1.</v>
          </cell>
          <cell r="C421" t="str">
            <v>Jenis Peralatan</v>
          </cell>
          <cell r="G421" t="str">
            <v>DUMP TRUCK 3-4 M3</v>
          </cell>
          <cell r="J421" t="str">
            <v>E08</v>
          </cell>
        </row>
        <row r="422">
          <cell r="A422" t="str">
            <v xml:space="preserve">       2.</v>
          </cell>
          <cell r="C422" t="str">
            <v>Tenaga</v>
          </cell>
          <cell r="G422" t="str">
            <v>Pw</v>
          </cell>
          <cell r="H422">
            <v>100</v>
          </cell>
          <cell r="I422" t="str">
            <v>HP</v>
          </cell>
        </row>
        <row r="423">
          <cell r="A423" t="str">
            <v xml:space="preserve">       3.</v>
          </cell>
          <cell r="C423" t="str">
            <v>Kapasitas</v>
          </cell>
          <cell r="G423" t="str">
            <v>Cp</v>
          </cell>
          <cell r="H423">
            <v>6</v>
          </cell>
          <cell r="I423" t="str">
            <v>Ton</v>
          </cell>
        </row>
        <row r="424">
          <cell r="A424" t="str">
            <v xml:space="preserve">       4.</v>
          </cell>
          <cell r="C424" t="str">
            <v>Alat Baru                :</v>
          </cell>
          <cell r="D424" t="str">
            <v xml:space="preserve">  a.  Umur Ekonomis</v>
          </cell>
          <cell r="G424" t="str">
            <v>A</v>
          </cell>
          <cell r="H424">
            <v>5</v>
          </cell>
          <cell r="I424" t="str">
            <v>Tahun</v>
          </cell>
        </row>
        <row r="425">
          <cell r="D425" t="str">
            <v xml:space="preserve">  b.  Jam Kerja Dalam 1 Tahun</v>
          </cell>
          <cell r="G425" t="str">
            <v>W</v>
          </cell>
          <cell r="H425">
            <v>2000</v>
          </cell>
          <cell r="I425" t="str">
            <v>Jam</v>
          </cell>
        </row>
        <row r="426">
          <cell r="D426" t="str">
            <v xml:space="preserve">  c.  Harga Alat</v>
          </cell>
          <cell r="G426" t="str">
            <v>B</v>
          </cell>
          <cell r="H426">
            <v>206265760</v>
          </cell>
          <cell r="I426" t="str">
            <v>Rupiah</v>
          </cell>
        </row>
        <row r="427">
          <cell r="A427" t="str">
            <v xml:space="preserve">       5.</v>
          </cell>
          <cell r="C427" t="str">
            <v>Alat Yang Dipakai  :</v>
          </cell>
          <cell r="D427" t="str">
            <v xml:space="preserve">  a.  Umur Ekonomis</v>
          </cell>
          <cell r="G427" t="str">
            <v>A'</v>
          </cell>
          <cell r="H427">
            <v>5</v>
          </cell>
          <cell r="I427" t="str">
            <v>Tahun</v>
          </cell>
          <cell r="J427" t="str">
            <v xml:space="preserve"> Alat Baru</v>
          </cell>
        </row>
        <row r="428">
          <cell r="D428" t="str">
            <v xml:space="preserve">  b.  Jam Kerja Dalam 1 Tahun </v>
          </cell>
          <cell r="G428" t="str">
            <v>W'</v>
          </cell>
          <cell r="H428">
            <v>2000</v>
          </cell>
          <cell r="I428" t="str">
            <v>Jam</v>
          </cell>
          <cell r="J428" t="str">
            <v xml:space="preserve"> Alat Baru</v>
          </cell>
        </row>
        <row r="429">
          <cell r="D429" t="str">
            <v xml:space="preserve">  c.  Harga Alat   (*)</v>
          </cell>
          <cell r="G429" t="str">
            <v>B'</v>
          </cell>
          <cell r="H429">
            <v>206265760</v>
          </cell>
          <cell r="I429" t="str">
            <v>Rupiah</v>
          </cell>
          <cell r="J429" t="str">
            <v xml:space="preserve"> Alat Baru</v>
          </cell>
        </row>
        <row r="431">
          <cell r="A431" t="str">
            <v>B.</v>
          </cell>
          <cell r="C431" t="str">
            <v>BIAYA PASTI PER JAM KERJA</v>
          </cell>
        </row>
        <row r="432">
          <cell r="A432" t="str">
            <v xml:space="preserve">       1.</v>
          </cell>
          <cell r="C432" t="str">
            <v>Nilai Sisa Alat</v>
          </cell>
          <cell r="D432" t="str">
            <v>=  10 % x B</v>
          </cell>
          <cell r="G432" t="str">
            <v>C</v>
          </cell>
          <cell r="H432">
            <v>20626576</v>
          </cell>
          <cell r="I432" t="str">
            <v>Rupiah</v>
          </cell>
        </row>
        <row r="434">
          <cell r="A434" t="str">
            <v xml:space="preserve">       2.</v>
          </cell>
          <cell r="C434" t="str">
            <v>Faktor Angsuran Modal    =</v>
          </cell>
          <cell r="E434" t="str">
            <v>i x (1 + i)^A'</v>
          </cell>
          <cell r="G434" t="str">
            <v>D</v>
          </cell>
          <cell r="H434">
            <v>0.33437970328961514</v>
          </cell>
          <cell r="I434" t="str">
            <v>-</v>
          </cell>
        </row>
        <row r="435">
          <cell r="E435" t="str">
            <v>(1 + i)^A' - 1</v>
          </cell>
        </row>
        <row r="436">
          <cell r="A436" t="str">
            <v xml:space="preserve">       3.</v>
          </cell>
          <cell r="C436" t="str">
            <v>Biaya Pasti per Jam  :</v>
          </cell>
        </row>
        <row r="437">
          <cell r="C437" t="str">
            <v>a.  Biaya Pengembalian Modal  =</v>
          </cell>
          <cell r="E437" t="str">
            <v>( B' - C ) x D</v>
          </cell>
          <cell r="G437" t="str">
            <v>E</v>
          </cell>
          <cell r="H437">
            <v>31036.987632423137</v>
          </cell>
          <cell r="I437" t="str">
            <v>Rupiah</v>
          </cell>
        </row>
        <row r="438">
          <cell r="E438" t="str">
            <v>W'</v>
          </cell>
        </row>
        <row r="440">
          <cell r="C440" t="str">
            <v>b.  Asuransi, dll =</v>
          </cell>
          <cell r="D440">
            <v>2E-3</v>
          </cell>
          <cell r="E440" t="str">
            <v xml:space="preserve">  x   B'</v>
          </cell>
          <cell r="G440" t="str">
            <v>F</v>
          </cell>
          <cell r="H440">
            <v>206.26576</v>
          </cell>
          <cell r="I440" t="str">
            <v>Rupiah</v>
          </cell>
        </row>
        <row r="441">
          <cell r="E441" t="str">
            <v>W'</v>
          </cell>
        </row>
        <row r="443">
          <cell r="C443" t="str">
            <v>Biaya Pasti per Jam             =</v>
          </cell>
          <cell r="E443" t="str">
            <v>( E + F )</v>
          </cell>
          <cell r="G443" t="str">
            <v>G</v>
          </cell>
          <cell r="H443">
            <v>31243.253392423136</v>
          </cell>
          <cell r="I443" t="str">
            <v>Rupiah</v>
          </cell>
        </row>
        <row r="445">
          <cell r="A445" t="str">
            <v>C.</v>
          </cell>
          <cell r="C445" t="str">
            <v>BIAYA OPERASI PER JAM KERJA</v>
          </cell>
        </row>
        <row r="447">
          <cell r="A447" t="str">
            <v xml:space="preserve">       1.</v>
          </cell>
          <cell r="C447" t="str">
            <v xml:space="preserve">Bahan Bakar  =  (0.125-0.175 Ltr/HP/Jam)   x Pw x Ms </v>
          </cell>
          <cell r="G447" t="str">
            <v>H</v>
          </cell>
          <cell r="H447">
            <v>68750</v>
          </cell>
          <cell r="I447" t="str">
            <v>Rupiah</v>
          </cell>
        </row>
        <row r="449">
          <cell r="A449" t="str">
            <v xml:space="preserve">       2.</v>
          </cell>
          <cell r="C449" t="str">
            <v>Pelumas         =  (0.01-0.02 Ltr/HP/Jam) x Pw x Mp</v>
          </cell>
          <cell r="G449" t="str">
            <v>I</v>
          </cell>
          <cell r="H449">
            <v>26500</v>
          </cell>
          <cell r="I449" t="str">
            <v>Rupiah</v>
          </cell>
        </row>
        <row r="451">
          <cell r="A451" t="str">
            <v xml:space="preserve">       3.</v>
          </cell>
          <cell r="C451" t="str">
            <v>Perawatan dan</v>
          </cell>
          <cell r="D451" t="str">
            <v>(12,5 % - 17,5 %)  x  B'</v>
          </cell>
          <cell r="G451" t="str">
            <v>K</v>
          </cell>
          <cell r="H451">
            <v>12891.61</v>
          </cell>
          <cell r="I451" t="str">
            <v>Rupiah</v>
          </cell>
        </row>
        <row r="452">
          <cell r="C452" t="str">
            <v xml:space="preserve">        perbaikan    =</v>
          </cell>
          <cell r="D452" t="str">
            <v>W'</v>
          </cell>
        </row>
        <row r="454">
          <cell r="A454" t="str">
            <v xml:space="preserve">       4.</v>
          </cell>
          <cell r="C454" t="str">
            <v>Operator</v>
          </cell>
          <cell r="D454" t="str">
            <v>=   ( 1  Orang / Jam )  x  U1</v>
          </cell>
          <cell r="G454" t="str">
            <v>L</v>
          </cell>
          <cell r="H454">
            <v>85000</v>
          </cell>
          <cell r="I454" t="str">
            <v>Rupiah</v>
          </cell>
        </row>
        <row r="455">
          <cell r="A455" t="str">
            <v xml:space="preserve">       5.</v>
          </cell>
          <cell r="C455" t="str">
            <v>Pembantu Operator</v>
          </cell>
          <cell r="D455" t="str">
            <v>=   ( 1  Orang / Jam )  x  U2</v>
          </cell>
          <cell r="G455" t="str">
            <v>M</v>
          </cell>
          <cell r="H455">
            <v>55000</v>
          </cell>
          <cell r="I455" t="str">
            <v>Rupiah</v>
          </cell>
        </row>
        <row r="457">
          <cell r="C457" t="str">
            <v>Biaya Operasi per Jam        =</v>
          </cell>
          <cell r="E457" t="str">
            <v>(H+I+K+L+M)</v>
          </cell>
          <cell r="G457" t="str">
            <v>P</v>
          </cell>
          <cell r="H457">
            <v>248141.61</v>
          </cell>
          <cell r="I457" t="str">
            <v>Rupiah</v>
          </cell>
        </row>
        <row r="459">
          <cell r="A459" t="str">
            <v>D.</v>
          </cell>
          <cell r="C459" t="str">
            <v>TOTAL BIAYA SEWA ALAT / JAM   =   ( G + P )</v>
          </cell>
          <cell r="G459" t="str">
            <v>S</v>
          </cell>
          <cell r="H459">
            <v>279384.86339242314</v>
          </cell>
          <cell r="I459" t="str">
            <v>Rupiah</v>
          </cell>
        </row>
        <row r="462">
          <cell r="A462" t="str">
            <v>E.</v>
          </cell>
          <cell r="C462" t="str">
            <v>LAIN - LAIN</v>
          </cell>
        </row>
        <row r="463">
          <cell r="A463" t="str">
            <v xml:space="preserve">       1.</v>
          </cell>
          <cell r="C463" t="str">
            <v>Tingkat Suku Bunga</v>
          </cell>
          <cell r="G463" t="str">
            <v>i</v>
          </cell>
          <cell r="H463">
            <v>20</v>
          </cell>
          <cell r="I463" t="str">
            <v>% / Tahun</v>
          </cell>
        </row>
        <row r="464">
          <cell r="A464" t="str">
            <v xml:space="preserve">       2.</v>
          </cell>
          <cell r="C464" t="str">
            <v>Upah Operator / Sopir / Mekanik</v>
          </cell>
          <cell r="G464" t="str">
            <v>U1</v>
          </cell>
          <cell r="H464">
            <v>85000</v>
          </cell>
          <cell r="I464" t="str">
            <v>Rp./Jam</v>
          </cell>
        </row>
        <row r="465">
          <cell r="A465" t="str">
            <v xml:space="preserve">       3.</v>
          </cell>
          <cell r="C465" t="str">
            <v>Upah Pembantu Operator / Pmb.Sopir / Pmb.Mekanik</v>
          </cell>
          <cell r="G465" t="str">
            <v>U2</v>
          </cell>
          <cell r="H465">
            <v>55000</v>
          </cell>
          <cell r="I465" t="str">
            <v>Rp./Jam</v>
          </cell>
        </row>
        <row r="466">
          <cell r="A466" t="str">
            <v xml:space="preserve">       4.</v>
          </cell>
          <cell r="C466" t="str">
            <v>Bahan Bakar Bensin</v>
          </cell>
          <cell r="G466" t="str">
            <v>Mb</v>
          </cell>
          <cell r="H466">
            <v>5500</v>
          </cell>
          <cell r="I466" t="str">
            <v>Liter</v>
          </cell>
        </row>
        <row r="467">
          <cell r="A467" t="str">
            <v xml:space="preserve">       5.</v>
          </cell>
          <cell r="C467" t="str">
            <v>Bahan Bakar Solar</v>
          </cell>
          <cell r="G467" t="str">
            <v>Ms</v>
          </cell>
          <cell r="H467">
            <v>5500</v>
          </cell>
          <cell r="I467" t="str">
            <v>Liter</v>
          </cell>
        </row>
        <row r="468">
          <cell r="A468" t="str">
            <v xml:space="preserve">       6.</v>
          </cell>
          <cell r="C468" t="str">
            <v>Minyak Pelumas</v>
          </cell>
          <cell r="G468" t="str">
            <v>Mp</v>
          </cell>
          <cell r="H468">
            <v>26500</v>
          </cell>
          <cell r="I468" t="str">
            <v>Liter</v>
          </cell>
        </row>
        <row r="469">
          <cell r="A469" t="str">
            <v xml:space="preserve">       7.</v>
          </cell>
          <cell r="C469" t="str">
            <v>PPN diperhitungkan pada lembar Rekapitulasi</v>
          </cell>
        </row>
        <row r="470">
          <cell r="C470" t="str">
            <v>Biaya Pekerjaan</v>
          </cell>
        </row>
        <row r="1122">
          <cell r="A1122" t="str">
            <v>URAIAN ANALISA ALAT</v>
          </cell>
        </row>
        <row r="1125">
          <cell r="A1125" t="str">
            <v>No.</v>
          </cell>
          <cell r="C1125" t="str">
            <v>U R A I A N</v>
          </cell>
          <cell r="G1125" t="str">
            <v>KODE</v>
          </cell>
          <cell r="H1125" t="str">
            <v>KOEF.</v>
          </cell>
          <cell r="I1125" t="str">
            <v>SATUAN</v>
          </cell>
          <cell r="J1125" t="str">
            <v>KET.</v>
          </cell>
        </row>
        <row r="1128">
          <cell r="A1128" t="str">
            <v>A.</v>
          </cell>
          <cell r="C1128" t="str">
            <v>URAIAN PERALATAN</v>
          </cell>
        </row>
        <row r="1129">
          <cell r="A1129" t="str">
            <v xml:space="preserve">       1.</v>
          </cell>
          <cell r="C1129" t="str">
            <v>Jenis Peralatan</v>
          </cell>
          <cell r="G1129" t="str">
            <v>CONCRETE VIBRATOR</v>
          </cell>
          <cell r="J1129" t="str">
            <v>E20</v>
          </cell>
        </row>
        <row r="1130">
          <cell r="A1130" t="str">
            <v xml:space="preserve">       2.</v>
          </cell>
          <cell r="C1130" t="str">
            <v>Tenaga</v>
          </cell>
          <cell r="G1130" t="str">
            <v>Pw</v>
          </cell>
          <cell r="H1130">
            <v>10</v>
          </cell>
          <cell r="I1130" t="str">
            <v>HP</v>
          </cell>
        </row>
        <row r="1131">
          <cell r="A1131" t="str">
            <v xml:space="preserve">       3.</v>
          </cell>
          <cell r="C1131" t="str">
            <v>Kapasitas</v>
          </cell>
          <cell r="G1131" t="str">
            <v>Cp</v>
          </cell>
          <cell r="H1131" t="str">
            <v xml:space="preserve">-  </v>
          </cell>
          <cell r="I1131" t="str">
            <v>-</v>
          </cell>
        </row>
        <row r="1132">
          <cell r="A1132" t="str">
            <v xml:space="preserve">       4.</v>
          </cell>
          <cell r="C1132" t="str">
            <v>Alat Baru                :</v>
          </cell>
          <cell r="D1132" t="str">
            <v xml:space="preserve">  a.  Umur Ekonomis</v>
          </cell>
          <cell r="G1132" t="str">
            <v>A</v>
          </cell>
          <cell r="H1132">
            <v>4</v>
          </cell>
          <cell r="I1132" t="str">
            <v>Tahun</v>
          </cell>
        </row>
        <row r="1133">
          <cell r="D1133" t="str">
            <v xml:space="preserve">  b.  Jam Kerja Dalam 1 Tahun</v>
          </cell>
          <cell r="G1133" t="str">
            <v>W</v>
          </cell>
          <cell r="H1133">
            <v>1000</v>
          </cell>
          <cell r="I1133" t="str">
            <v>Jam</v>
          </cell>
        </row>
        <row r="1134">
          <cell r="D1134" t="str">
            <v xml:space="preserve">  c.  Harga Alat</v>
          </cell>
          <cell r="G1134" t="str">
            <v>B</v>
          </cell>
          <cell r="H1134">
            <v>8540800</v>
          </cell>
          <cell r="I1134" t="str">
            <v>Rupiah</v>
          </cell>
        </row>
        <row r="1135">
          <cell r="A1135" t="str">
            <v xml:space="preserve">       5.</v>
          </cell>
          <cell r="C1135" t="str">
            <v>Alat Yang Dipakai  :</v>
          </cell>
          <cell r="D1135" t="str">
            <v xml:space="preserve">  a.  Umur Ekonomis</v>
          </cell>
          <cell r="G1135" t="str">
            <v>A'</v>
          </cell>
          <cell r="H1135">
            <v>4</v>
          </cell>
          <cell r="I1135" t="str">
            <v>Tahun</v>
          </cell>
          <cell r="J1135" t="str">
            <v xml:space="preserve"> Alat Baru</v>
          </cell>
        </row>
        <row r="1136">
          <cell r="D1136" t="str">
            <v xml:space="preserve">  b.  Jam Kerja Dalam 1 Tahun </v>
          </cell>
          <cell r="G1136" t="str">
            <v>W'</v>
          </cell>
          <cell r="H1136">
            <v>1000</v>
          </cell>
          <cell r="I1136" t="str">
            <v>Jam</v>
          </cell>
          <cell r="J1136" t="str">
            <v xml:space="preserve"> Alat Baru</v>
          </cell>
        </row>
        <row r="1137">
          <cell r="D1137" t="str">
            <v xml:space="preserve">  c.  Harga Alat   (*)</v>
          </cell>
          <cell r="G1137" t="str">
            <v>B'</v>
          </cell>
          <cell r="H1137">
            <v>8540800</v>
          </cell>
          <cell r="I1137" t="str">
            <v>Rupiah</v>
          </cell>
          <cell r="J1137" t="str">
            <v xml:space="preserve"> Alat Baru</v>
          </cell>
        </row>
        <row r="1139">
          <cell r="A1139" t="str">
            <v>B.</v>
          </cell>
          <cell r="C1139" t="str">
            <v>BIAYA PASTI PER JAM KERJA</v>
          </cell>
        </row>
        <row r="1140">
          <cell r="A1140" t="str">
            <v xml:space="preserve">       1.</v>
          </cell>
          <cell r="C1140" t="str">
            <v>Nilai Sisa Alat</v>
          </cell>
          <cell r="D1140" t="str">
            <v>=  10 % x B</v>
          </cell>
          <cell r="G1140" t="str">
            <v>C</v>
          </cell>
          <cell r="H1140">
            <v>854080</v>
          </cell>
          <cell r="I1140" t="str">
            <v>Rupiah</v>
          </cell>
        </row>
        <row r="1142">
          <cell r="A1142" t="str">
            <v xml:space="preserve">       2.</v>
          </cell>
          <cell r="C1142" t="str">
            <v>Faktor Angsuran Modal    =</v>
          </cell>
          <cell r="E1142" t="str">
            <v>i x (1 + i)^A'</v>
          </cell>
          <cell r="G1142" t="str">
            <v>D</v>
          </cell>
          <cell r="H1142">
            <v>0.38628912071535026</v>
          </cell>
          <cell r="I1142" t="str">
            <v>-</v>
          </cell>
        </row>
        <row r="1143">
          <cell r="E1143" t="str">
            <v>(1 + i)^A' - 1</v>
          </cell>
        </row>
        <row r="1144">
          <cell r="A1144" t="str">
            <v xml:space="preserve">       3.</v>
          </cell>
          <cell r="C1144" t="str">
            <v>Biaya Pasti per Jam  :</v>
          </cell>
        </row>
        <row r="1145">
          <cell r="C1145" t="str">
            <v>a.  Biaya Pengembalian Modal  =</v>
          </cell>
          <cell r="E1145" t="str">
            <v>( B' - C ) x D</v>
          </cell>
          <cell r="G1145" t="str">
            <v>E</v>
          </cell>
          <cell r="H1145">
            <v>2969.2963099850972</v>
          </cell>
          <cell r="I1145" t="str">
            <v>Rupiah</v>
          </cell>
        </row>
        <row r="1146">
          <cell r="E1146" t="str">
            <v>W'</v>
          </cell>
        </row>
        <row r="1148">
          <cell r="C1148" t="str">
            <v>b.  Asuransi, dll =</v>
          </cell>
          <cell r="D1148">
            <v>2E-3</v>
          </cell>
          <cell r="E1148" t="str">
            <v xml:space="preserve">  x   B'</v>
          </cell>
          <cell r="G1148" t="str">
            <v>F</v>
          </cell>
          <cell r="H1148">
            <v>17.081599999999998</v>
          </cell>
          <cell r="I1148" t="str">
            <v>Rupiah</v>
          </cell>
        </row>
        <row r="1149">
          <cell r="E1149" t="str">
            <v>W'</v>
          </cell>
        </row>
        <row r="1151">
          <cell r="C1151" t="str">
            <v>Biaya Pasti per Jam             =</v>
          </cell>
          <cell r="E1151" t="str">
            <v>( E + F )</v>
          </cell>
          <cell r="G1151" t="str">
            <v>G</v>
          </cell>
          <cell r="H1151">
            <v>2986.3779099850972</v>
          </cell>
          <cell r="I1151" t="str">
            <v>Rupiah</v>
          </cell>
        </row>
        <row r="1153">
          <cell r="A1153" t="str">
            <v>C.</v>
          </cell>
          <cell r="C1153" t="str">
            <v>BIAYA OPERASI PER JAM KERJA</v>
          </cell>
        </row>
        <row r="1155">
          <cell r="A1155" t="str">
            <v xml:space="preserve">       1.</v>
          </cell>
          <cell r="C1155" t="str">
            <v xml:space="preserve">Bahan Bakar  =  (0.125-0.175 Ltr/HP/Jam)   x Pw x Ms </v>
          </cell>
          <cell r="G1155" t="str">
            <v>H</v>
          </cell>
          <cell r="H1155">
            <v>6875</v>
          </cell>
          <cell r="I1155" t="str">
            <v>Rupiah</v>
          </cell>
        </row>
        <row r="1157">
          <cell r="A1157" t="str">
            <v xml:space="preserve">       2.</v>
          </cell>
          <cell r="C1157" t="str">
            <v>Pelumas         =  (0.01-0.02 Ltr/HP/Jam) x Pw x Mp</v>
          </cell>
          <cell r="G1157" t="str">
            <v>I</v>
          </cell>
          <cell r="H1157">
            <v>2650</v>
          </cell>
          <cell r="I1157" t="str">
            <v>Rupiah</v>
          </cell>
        </row>
        <row r="1159">
          <cell r="A1159" t="str">
            <v xml:space="preserve">       3.</v>
          </cell>
          <cell r="C1159" t="str">
            <v>Perawatan dan</v>
          </cell>
          <cell r="D1159" t="str">
            <v>(12,5 % - 17,5 %)  x  B'</v>
          </cell>
          <cell r="G1159" t="str">
            <v>K</v>
          </cell>
          <cell r="H1159">
            <v>1067.5999999999999</v>
          </cell>
          <cell r="I1159" t="str">
            <v>Rupiah</v>
          </cell>
        </row>
        <row r="1160">
          <cell r="C1160" t="str">
            <v xml:space="preserve">        perbaikan    =</v>
          </cell>
          <cell r="D1160" t="str">
            <v>W'</v>
          </cell>
        </row>
        <row r="1162">
          <cell r="A1162" t="str">
            <v xml:space="preserve">       4.</v>
          </cell>
          <cell r="C1162" t="str">
            <v>Operator</v>
          </cell>
          <cell r="D1162" t="str">
            <v>=   ( 1  Orang / Jam )  x  U1</v>
          </cell>
          <cell r="G1162" t="str">
            <v>L</v>
          </cell>
          <cell r="H1162">
            <v>85000</v>
          </cell>
          <cell r="I1162" t="str">
            <v>Rupiah</v>
          </cell>
        </row>
        <row r="1163">
          <cell r="A1163" t="str">
            <v xml:space="preserve">       5.</v>
          </cell>
          <cell r="C1163" t="str">
            <v>Pembantu Operator</v>
          </cell>
          <cell r="D1163" t="str">
            <v>=   ( 1  Orang / Jam )  x  U2</v>
          </cell>
          <cell r="G1163" t="str">
            <v>M</v>
          </cell>
          <cell r="H1163">
            <v>55000</v>
          </cell>
          <cell r="I1163" t="str">
            <v>Rupiah</v>
          </cell>
        </row>
        <row r="1165">
          <cell r="C1165" t="str">
            <v>Biaya Operasi per Jam        =</v>
          </cell>
          <cell r="E1165" t="str">
            <v>(H+I+K+L+M)</v>
          </cell>
          <cell r="G1165" t="str">
            <v>P</v>
          </cell>
          <cell r="H1165">
            <v>150592.6</v>
          </cell>
          <cell r="I1165" t="str">
            <v>Rupiah</v>
          </cell>
        </row>
        <row r="1167">
          <cell r="A1167" t="str">
            <v>D.</v>
          </cell>
          <cell r="C1167" t="str">
            <v>TOTAL BIAYA SEWA ALAT / JAM   =   ( G + P )</v>
          </cell>
          <cell r="G1167" t="str">
            <v>S</v>
          </cell>
          <cell r="H1167">
            <v>153578.97790998511</v>
          </cell>
          <cell r="I1167" t="str">
            <v>Rupiah</v>
          </cell>
        </row>
        <row r="1170">
          <cell r="A1170" t="str">
            <v>E.</v>
          </cell>
          <cell r="C1170" t="str">
            <v>LAIN - LAIN</v>
          </cell>
        </row>
        <row r="1171">
          <cell r="A1171" t="str">
            <v xml:space="preserve">       1.</v>
          </cell>
          <cell r="C1171" t="str">
            <v>Tingkat Suku Bunga</v>
          </cell>
          <cell r="G1171" t="str">
            <v>i</v>
          </cell>
          <cell r="H1171">
            <v>20</v>
          </cell>
          <cell r="I1171" t="str">
            <v>% / Tahun</v>
          </cell>
        </row>
        <row r="1172">
          <cell r="A1172" t="str">
            <v xml:space="preserve">       2.</v>
          </cell>
          <cell r="C1172" t="str">
            <v>Upah Operator / Sopir</v>
          </cell>
          <cell r="G1172" t="str">
            <v>U1</v>
          </cell>
          <cell r="H1172">
            <v>85000</v>
          </cell>
          <cell r="I1172" t="str">
            <v>Rp./Jam</v>
          </cell>
        </row>
        <row r="1173">
          <cell r="A1173" t="str">
            <v xml:space="preserve">       3.</v>
          </cell>
          <cell r="C1173" t="str">
            <v>Upah Pembantu Operator / Pmb.Sopir</v>
          </cell>
          <cell r="G1173" t="str">
            <v>U2</v>
          </cell>
          <cell r="H1173">
            <v>55000</v>
          </cell>
          <cell r="I1173" t="str">
            <v>Rp./Jam</v>
          </cell>
        </row>
        <row r="1174">
          <cell r="A1174" t="str">
            <v xml:space="preserve">       4.</v>
          </cell>
          <cell r="C1174" t="str">
            <v>Bahan Bakar Bensin</v>
          </cell>
          <cell r="G1174" t="str">
            <v>Mb</v>
          </cell>
          <cell r="H1174">
            <v>5500</v>
          </cell>
          <cell r="I1174" t="str">
            <v>Liter</v>
          </cell>
        </row>
        <row r="1175">
          <cell r="A1175" t="str">
            <v xml:space="preserve">       5.</v>
          </cell>
          <cell r="C1175" t="str">
            <v>Bahan Bakar Solar</v>
          </cell>
          <cell r="G1175" t="str">
            <v>Ms</v>
          </cell>
          <cell r="H1175">
            <v>5500</v>
          </cell>
          <cell r="I1175" t="str">
            <v>Liter</v>
          </cell>
        </row>
        <row r="1176">
          <cell r="A1176" t="str">
            <v xml:space="preserve">       6.</v>
          </cell>
          <cell r="C1176" t="str">
            <v>Minyak Pelumas</v>
          </cell>
          <cell r="G1176" t="str">
            <v>Mp</v>
          </cell>
          <cell r="H1176">
            <v>26500</v>
          </cell>
          <cell r="I1176" t="str">
            <v>Liter</v>
          </cell>
        </row>
        <row r="1177">
          <cell r="A1177" t="str">
            <v xml:space="preserve">       7.</v>
          </cell>
          <cell r="C1177" t="str">
            <v>PPN diperhitungkan pada lembar Rekapitulasi</v>
          </cell>
        </row>
        <row r="1178">
          <cell r="C1178" t="str">
            <v>Biaya Pekerjaan</v>
          </cell>
        </row>
      </sheetData>
      <sheetData sheetId="6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NAWARAN"/>
      <sheetName val="DFT KUAN&amp;HRG"/>
      <sheetName val="methode"/>
      <sheetName val="ANALISA"/>
      <sheetName val="ANAL AB"/>
      <sheetName val="ANAL TEK"/>
      <sheetName val="UPH &amp; BHN"/>
      <sheetName val="JADWAL"/>
      <sheetName val="PERSON PRO"/>
      <sheetName val="ALAT UTAMA"/>
      <sheetName val="SUB"/>
      <sheetName val="Sheet5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Q"/>
      <sheetName val="BQ (2)"/>
      <sheetName val="UP"/>
      <sheetName val="BREAK ALAT"/>
      <sheetName val="PE"/>
      <sheetName val="E-F"/>
      <sheetName val="WC1"/>
    </sheetNames>
    <sheetDataSet>
      <sheetData sheetId="0"/>
      <sheetData sheetId="1"/>
      <sheetData sheetId="2"/>
      <sheetData sheetId="3"/>
      <sheetData sheetId="4">
        <row r="10">
          <cell r="B10" t="str">
            <v>INDUSTRIAL MATERIAL</v>
          </cell>
        </row>
        <row r="11">
          <cell r="B11" t="str">
            <v>.Aspal</v>
          </cell>
          <cell r="C11" t="str">
            <v>kg</v>
          </cell>
          <cell r="D11">
            <v>1760</v>
          </cell>
          <cell r="G11">
            <v>100</v>
          </cell>
        </row>
        <row r="12">
          <cell r="B12" t="str">
            <v>.Cement Portland type I 50kg/zak</v>
          </cell>
          <cell r="C12" t="str">
            <v>bag</v>
          </cell>
          <cell r="D12">
            <v>22886</v>
          </cell>
          <cell r="G12">
            <v>100</v>
          </cell>
        </row>
        <row r="13">
          <cell r="B13" t="str">
            <v>.Concrete Girder I 090 - 16,60</v>
          </cell>
          <cell r="C13" t="str">
            <v>unit</v>
          </cell>
          <cell r="D13">
            <v>15814385</v>
          </cell>
          <cell r="G13">
            <v>100</v>
          </cell>
        </row>
        <row r="14">
          <cell r="B14" t="str">
            <v>.Concrete Girder I 125 - 25,80</v>
          </cell>
          <cell r="C14" t="str">
            <v>unit</v>
          </cell>
          <cell r="D14">
            <v>25643483</v>
          </cell>
          <cell r="G14">
            <v>100</v>
          </cell>
        </row>
        <row r="15">
          <cell r="B15" t="str">
            <v>.Concrete Girder I 160 - 31,60</v>
          </cell>
          <cell r="C15" t="str">
            <v>unit</v>
          </cell>
          <cell r="D15">
            <v>37510359</v>
          </cell>
          <cell r="G15">
            <v>100</v>
          </cell>
        </row>
        <row r="16">
          <cell r="B16" t="str">
            <v>.Concrete Girder I 170 - 40,80</v>
          </cell>
          <cell r="C16" t="str">
            <v>unit</v>
          </cell>
          <cell r="D16">
            <v>67685816</v>
          </cell>
          <cell r="G16">
            <v>100</v>
          </cell>
        </row>
        <row r="17">
          <cell r="B17" t="str">
            <v>.Concrete peil (reinforcced)</v>
          </cell>
          <cell r="C17" t="str">
            <v>pcs</v>
          </cell>
          <cell r="D17">
            <v>149259</v>
          </cell>
          <cell r="G17">
            <v>100</v>
          </cell>
        </row>
        <row r="18">
          <cell r="B18" t="str">
            <v xml:space="preserve">.Diafragma ending </v>
          </cell>
          <cell r="C18" t="str">
            <v>unit</v>
          </cell>
          <cell r="D18">
            <v>163399</v>
          </cell>
          <cell r="G18">
            <v>100</v>
          </cell>
        </row>
        <row r="19">
          <cell r="B19" t="str">
            <v xml:space="preserve">.Diafragma ending  </v>
          </cell>
          <cell r="C19" t="str">
            <v>unit</v>
          </cell>
          <cell r="D19">
            <v>208505</v>
          </cell>
          <cell r="G19">
            <v>100</v>
          </cell>
        </row>
        <row r="20">
          <cell r="B20" t="str">
            <v xml:space="preserve">.Diafragma ending   </v>
          </cell>
          <cell r="C20" t="str">
            <v>unit</v>
          </cell>
          <cell r="D20">
            <v>228078</v>
          </cell>
          <cell r="G20">
            <v>100</v>
          </cell>
        </row>
        <row r="21">
          <cell r="B21" t="str">
            <v xml:space="preserve">.Diafragma middle </v>
          </cell>
          <cell r="C21" t="str">
            <v>unit</v>
          </cell>
          <cell r="D21">
            <v>154038</v>
          </cell>
          <cell r="G21">
            <v>100</v>
          </cell>
        </row>
        <row r="22">
          <cell r="B22" t="str">
            <v xml:space="preserve">.Diafragma middle  </v>
          </cell>
          <cell r="C22" t="str">
            <v>unit</v>
          </cell>
          <cell r="D22">
            <v>194888</v>
          </cell>
          <cell r="G22">
            <v>100</v>
          </cell>
        </row>
        <row r="23">
          <cell r="B23" t="str">
            <v xml:space="preserve">.Diafragma middle   </v>
          </cell>
          <cell r="C23" t="str">
            <v>unit</v>
          </cell>
          <cell r="D23">
            <v>235737</v>
          </cell>
          <cell r="G23">
            <v>100</v>
          </cell>
        </row>
        <row r="24">
          <cell r="B24" t="str">
            <v xml:space="preserve">.Diafragma middle    </v>
          </cell>
          <cell r="C24" t="str">
            <v>unit</v>
          </cell>
          <cell r="D24">
            <v>247652</v>
          </cell>
          <cell r="G24">
            <v>100</v>
          </cell>
        </row>
        <row r="25">
          <cell r="B25" t="str">
            <v>.Elastomeric bearing pad 406 x 280 x 67 mm</v>
          </cell>
          <cell r="C25" t="str">
            <v>pcs</v>
          </cell>
          <cell r="D25">
            <v>647411</v>
          </cell>
          <cell r="G25">
            <v>100</v>
          </cell>
        </row>
        <row r="26">
          <cell r="B26" t="str">
            <v>.Elastomeric bearing pad 480 x 300 x 67 mm</v>
          </cell>
          <cell r="C26" t="str">
            <v>pcs</v>
          </cell>
          <cell r="D26">
            <v>836000</v>
          </cell>
          <cell r="G26">
            <v>100</v>
          </cell>
        </row>
        <row r="27">
          <cell r="B27" t="str">
            <v>.Galvanis iron pipe ø 2" - 6 m</v>
          </cell>
          <cell r="C27" t="str">
            <v>pcs</v>
          </cell>
          <cell r="D27">
            <v>163438</v>
          </cell>
          <cell r="G27">
            <v>100</v>
          </cell>
        </row>
        <row r="28">
          <cell r="B28" t="str">
            <v>.Galvanis iron pipe ø 3" - 6 m</v>
          </cell>
          <cell r="C28" t="str">
            <v>pcs</v>
          </cell>
          <cell r="D28">
            <v>296776</v>
          </cell>
          <cell r="G28">
            <v>100</v>
          </cell>
        </row>
        <row r="29">
          <cell r="B29" t="str">
            <v>.Galvanis iron pipe ø 4" - 6 m</v>
          </cell>
          <cell r="C29" t="str">
            <v>pcs</v>
          </cell>
          <cell r="D29">
            <v>427752</v>
          </cell>
          <cell r="G29">
            <v>100</v>
          </cell>
        </row>
        <row r="30">
          <cell r="B30" t="str">
            <v>.Joint Filler 120 x 180 x 10</v>
          </cell>
          <cell r="C30" t="str">
            <v>sheet</v>
          </cell>
          <cell r="D30">
            <v>135577</v>
          </cell>
          <cell r="G30">
            <v>100</v>
          </cell>
        </row>
        <row r="31">
          <cell r="B31" t="str">
            <v>.Maccaferri gabion 3 x 1.5 x 0.5</v>
          </cell>
          <cell r="C31" t="str">
            <v>unit</v>
          </cell>
          <cell r="D31">
            <v>420413</v>
          </cell>
          <cell r="G31">
            <v>100</v>
          </cell>
        </row>
        <row r="32">
          <cell r="B32" t="str">
            <v>.Maccaferri gabion cylinder</v>
          </cell>
          <cell r="C32" t="str">
            <v>unit</v>
          </cell>
          <cell r="D32">
            <v>0</v>
          </cell>
          <cell r="G32">
            <v>100</v>
          </cell>
        </row>
        <row r="33">
          <cell r="B33" t="str">
            <v>.Mowilex paint</v>
          </cell>
          <cell r="C33" t="str">
            <v>kg</v>
          </cell>
          <cell r="D33">
            <v>43534</v>
          </cell>
          <cell r="G33">
            <v>100</v>
          </cell>
        </row>
        <row r="34">
          <cell r="B34" t="str">
            <v>.Multiplek 12 mm</v>
          </cell>
          <cell r="C34" t="str">
            <v>sheet</v>
          </cell>
          <cell r="D34">
            <v>88934</v>
          </cell>
          <cell r="G34">
            <v>100</v>
          </cell>
        </row>
        <row r="35">
          <cell r="B35" t="str">
            <v>.Multiplek 9 mm</v>
          </cell>
          <cell r="C35" t="str">
            <v>sheet</v>
          </cell>
          <cell r="D35">
            <v>77117</v>
          </cell>
          <cell r="G35">
            <v>100</v>
          </cell>
        </row>
        <row r="36">
          <cell r="B36" t="str">
            <v>.Nail</v>
          </cell>
          <cell r="C36" t="str">
            <v>kg</v>
          </cell>
          <cell r="D36">
            <v>4540</v>
          </cell>
          <cell r="G36">
            <v>100</v>
          </cell>
        </row>
        <row r="37">
          <cell r="B37" t="str">
            <v>.Oil form</v>
          </cell>
          <cell r="C37" t="str">
            <v>ltr</v>
          </cell>
          <cell r="D37">
            <v>11816</v>
          </cell>
          <cell r="G37">
            <v>100</v>
          </cell>
        </row>
        <row r="38">
          <cell r="B38" t="str">
            <v>.PC Pile diam. 300 A2</v>
          </cell>
          <cell r="C38" t="str">
            <v>m</v>
          </cell>
          <cell r="D38">
            <v>78871</v>
          </cell>
          <cell r="G38">
            <v>100</v>
          </cell>
        </row>
        <row r="39">
          <cell r="B39" t="str">
            <v>.PC Pile diam. 400 A3</v>
          </cell>
          <cell r="C39" t="str">
            <v>m</v>
          </cell>
          <cell r="D39">
            <v>129980</v>
          </cell>
          <cell r="G39">
            <v>100</v>
          </cell>
        </row>
        <row r="40">
          <cell r="B40" t="str">
            <v>.PC Pile diam. 400 Bo</v>
          </cell>
          <cell r="C40" t="str">
            <v>m</v>
          </cell>
          <cell r="D40">
            <v>77968</v>
          </cell>
          <cell r="G40">
            <v>100</v>
          </cell>
        </row>
        <row r="41">
          <cell r="B41" t="str">
            <v>.PC Pile diam. 600 A3</v>
          </cell>
          <cell r="C41" t="str">
            <v>m</v>
          </cell>
          <cell r="D41">
            <v>264313</v>
          </cell>
          <cell r="G41">
            <v>100</v>
          </cell>
        </row>
        <row r="42">
          <cell r="B42" t="str">
            <v>.Profile L 75 x 75 x 6 mm</v>
          </cell>
          <cell r="C42" t="str">
            <v>kg</v>
          </cell>
          <cell r="D42">
            <v>4291</v>
          </cell>
          <cell r="G42">
            <v>100</v>
          </cell>
        </row>
        <row r="43">
          <cell r="B43" t="str">
            <v>.PVC Pipe diam. 25 mm</v>
          </cell>
          <cell r="C43" t="str">
            <v>m</v>
          </cell>
          <cell r="D43">
            <v>17364</v>
          </cell>
          <cell r="G43">
            <v>100</v>
          </cell>
        </row>
        <row r="44">
          <cell r="B44" t="str">
            <v>.PVC Pipe diam. 50 mm</v>
          </cell>
          <cell r="C44" t="str">
            <v>m</v>
          </cell>
          <cell r="D44">
            <v>40797</v>
          </cell>
          <cell r="G44">
            <v>100</v>
          </cell>
        </row>
        <row r="45">
          <cell r="B45" t="str">
            <v>.RC Pile 400 x 400</v>
          </cell>
          <cell r="C45" t="str">
            <v>m</v>
          </cell>
          <cell r="D45">
            <v>111945</v>
          </cell>
          <cell r="G45">
            <v>100</v>
          </cell>
        </row>
        <row r="46">
          <cell r="B46" t="str">
            <v>.RC Pipe dia. 60 cm , L = 1.25 m</v>
          </cell>
          <cell r="C46" t="str">
            <v>unit</v>
          </cell>
          <cell r="D46">
            <v>257658</v>
          </cell>
          <cell r="G46">
            <v>100</v>
          </cell>
        </row>
        <row r="47">
          <cell r="B47" t="str">
            <v>.RC slab</v>
          </cell>
          <cell r="C47" t="str">
            <v>unit</v>
          </cell>
          <cell r="D47">
            <v>181598</v>
          </cell>
          <cell r="G47">
            <v>100</v>
          </cell>
        </row>
        <row r="48">
          <cell r="B48" t="str">
            <v xml:space="preserve">.RC slab </v>
          </cell>
          <cell r="C48" t="str">
            <v>unit</v>
          </cell>
          <cell r="D48">
            <v>180355</v>
          </cell>
          <cell r="G48">
            <v>100</v>
          </cell>
        </row>
        <row r="49">
          <cell r="B49" t="str">
            <v xml:space="preserve">.RC slab    </v>
          </cell>
          <cell r="C49" t="str">
            <v>unit</v>
          </cell>
          <cell r="D49">
            <v>179111</v>
          </cell>
          <cell r="G49">
            <v>100</v>
          </cell>
        </row>
        <row r="50">
          <cell r="B50" t="str">
            <v>.RC  Slab</v>
          </cell>
          <cell r="C50" t="str">
            <v>unit</v>
          </cell>
          <cell r="D50">
            <v>165858.75</v>
          </cell>
          <cell r="G50">
            <v>100</v>
          </cell>
        </row>
        <row r="51">
          <cell r="B51" t="str">
            <v>.Reinforcement deform bar</v>
          </cell>
          <cell r="C51" t="str">
            <v>kg</v>
          </cell>
          <cell r="D51">
            <v>2848</v>
          </cell>
          <cell r="G51">
            <v>100</v>
          </cell>
        </row>
        <row r="52">
          <cell r="B52" t="str">
            <v>.Reinforcement plain bar</v>
          </cell>
          <cell r="C52" t="str">
            <v>kg</v>
          </cell>
          <cell r="D52">
            <v>2716</v>
          </cell>
          <cell r="G52">
            <v>100</v>
          </cell>
        </row>
        <row r="53">
          <cell r="B53" t="str">
            <v>.SP Pile ø 400 mm</v>
          </cell>
          <cell r="C53" t="str">
            <v>m</v>
          </cell>
          <cell r="D53">
            <v>271762</v>
          </cell>
          <cell r="G53">
            <v>100</v>
          </cell>
        </row>
        <row r="54">
          <cell r="B54" t="str">
            <v>.Steel sheet pile w= 40 cm</v>
          </cell>
          <cell r="C54" t="str">
            <v>m</v>
          </cell>
          <cell r="D54">
            <v>228239</v>
          </cell>
          <cell r="G54">
            <v>100</v>
          </cell>
        </row>
        <row r="55">
          <cell r="B55" t="str">
            <v>.Water stop welding</v>
          </cell>
          <cell r="C55" t="str">
            <v>unit</v>
          </cell>
          <cell r="D55">
            <v>310956</v>
          </cell>
          <cell r="G55">
            <v>100</v>
          </cell>
        </row>
        <row r="56">
          <cell r="B56" t="str">
            <v>.Water stop w=320 mm</v>
          </cell>
          <cell r="C56" t="str">
            <v>m</v>
          </cell>
          <cell r="D56">
            <v>113923</v>
          </cell>
          <cell r="G56">
            <v>100</v>
          </cell>
        </row>
        <row r="57">
          <cell r="B57" t="str">
            <v>.Welding rod</v>
          </cell>
          <cell r="C57" t="str">
            <v>kg</v>
          </cell>
          <cell r="D57">
            <v>13682</v>
          </cell>
          <cell r="G57">
            <v>100</v>
          </cell>
        </row>
        <row r="58">
          <cell r="B58" t="str">
            <v>.Wire</v>
          </cell>
          <cell r="C58" t="str">
            <v>kg</v>
          </cell>
          <cell r="D58">
            <v>4795</v>
          </cell>
          <cell r="G58">
            <v>100</v>
          </cell>
        </row>
        <row r="59">
          <cell r="B59" t="str">
            <v>.Wire for Gabion</v>
          </cell>
          <cell r="C59" t="str">
            <v>kg</v>
          </cell>
          <cell r="D59">
            <v>4565</v>
          </cell>
          <cell r="G59">
            <v>100</v>
          </cell>
        </row>
        <row r="60">
          <cell r="B60" t="str">
            <v>.Sunny hose ø 4"</v>
          </cell>
          <cell r="C60" t="str">
            <v>m</v>
          </cell>
          <cell r="D60">
            <v>18657</v>
          </cell>
          <cell r="G60">
            <v>100</v>
          </cell>
        </row>
        <row r="61">
          <cell r="B61" t="str">
            <v>.Supply material R.Dam</v>
          </cell>
          <cell r="C61" t="str">
            <v>unit</v>
          </cell>
          <cell r="D61">
            <v>2635956637.3000002</v>
          </cell>
          <cell r="G61">
            <v>100</v>
          </cell>
        </row>
        <row r="64">
          <cell r="B64" t="str">
            <v>NATURAL MATERIAL</v>
          </cell>
        </row>
        <row r="65">
          <cell r="B65" t="str">
            <v>.Crusher run</v>
          </cell>
          <cell r="C65" t="str">
            <v xml:space="preserve">m³ </v>
          </cell>
          <cell r="D65">
            <v>95071</v>
          </cell>
          <cell r="G65">
            <v>100</v>
          </cell>
        </row>
        <row r="66">
          <cell r="B66" t="str">
            <v xml:space="preserve">.Gravel </v>
          </cell>
          <cell r="C66" t="str">
            <v xml:space="preserve">m³ </v>
          </cell>
          <cell r="D66">
            <v>55225</v>
          </cell>
          <cell r="G66">
            <v>100</v>
          </cell>
        </row>
        <row r="67">
          <cell r="B67" t="str">
            <v>.Log pile ø 6 " - 4 m</v>
          </cell>
          <cell r="C67" t="str">
            <v>pcs</v>
          </cell>
          <cell r="D67">
            <v>13085</v>
          </cell>
          <cell r="G67">
            <v>100</v>
          </cell>
        </row>
        <row r="68">
          <cell r="B68" t="str">
            <v>.Palm fibre</v>
          </cell>
          <cell r="C68" t="str">
            <v>kg</v>
          </cell>
          <cell r="D68">
            <v>2180</v>
          </cell>
          <cell r="G68">
            <v>100</v>
          </cell>
        </row>
        <row r="69">
          <cell r="B69" t="str">
            <v>.River stone</v>
          </cell>
          <cell r="C69" t="str">
            <v xml:space="preserve">m³ </v>
          </cell>
          <cell r="D69">
            <v>37544</v>
          </cell>
          <cell r="G69">
            <v>100</v>
          </cell>
        </row>
        <row r="70">
          <cell r="B70" t="str">
            <v>.Sand</v>
          </cell>
          <cell r="C70" t="str">
            <v xml:space="preserve">m³ </v>
          </cell>
          <cell r="D70">
            <v>31488</v>
          </cell>
          <cell r="G70">
            <v>100</v>
          </cell>
        </row>
        <row r="71">
          <cell r="B71" t="str">
            <v>.Split 2/3</v>
          </cell>
          <cell r="C71" t="str">
            <v xml:space="preserve">m³ </v>
          </cell>
          <cell r="D71">
            <v>73150</v>
          </cell>
          <cell r="G71">
            <v>100</v>
          </cell>
        </row>
        <row r="72">
          <cell r="B72" t="str">
            <v>.Wooden for bekisting</v>
          </cell>
          <cell r="C72" t="str">
            <v xml:space="preserve">m³ </v>
          </cell>
          <cell r="D72">
            <v>1307980</v>
          </cell>
          <cell r="G72">
            <v>100</v>
          </cell>
        </row>
        <row r="73">
          <cell r="B73" t="str">
            <v>.Sodding</v>
          </cell>
          <cell r="C73" t="str">
            <v xml:space="preserve">m² </v>
          </cell>
          <cell r="D73">
            <v>4845</v>
          </cell>
          <cell r="G73">
            <v>100</v>
          </cell>
        </row>
        <row r="74">
          <cell r="B74" t="str">
            <v>.Wood</v>
          </cell>
          <cell r="C74" t="str">
            <v xml:space="preserve">m³ </v>
          </cell>
          <cell r="D74">
            <v>1307980</v>
          </cell>
          <cell r="G74">
            <v>100</v>
          </cell>
        </row>
        <row r="78">
          <cell r="B78" t="str">
            <v>LABOUR</v>
          </cell>
        </row>
        <row r="79">
          <cell r="B79" t="str">
            <v>.Carpenter</v>
          </cell>
          <cell r="C79" t="str">
            <v>man.day</v>
          </cell>
          <cell r="D79">
            <v>30114</v>
          </cell>
          <cell r="F79">
            <v>100</v>
          </cell>
        </row>
        <row r="80">
          <cell r="B80" t="str">
            <v>.Foreman</v>
          </cell>
          <cell r="C80" t="str">
            <v>man.day</v>
          </cell>
          <cell r="D80">
            <v>36660</v>
          </cell>
          <cell r="F80">
            <v>100</v>
          </cell>
        </row>
        <row r="81">
          <cell r="B81" t="str">
            <v>.Ironsmith</v>
          </cell>
          <cell r="C81" t="str">
            <v>man.day</v>
          </cell>
          <cell r="D81">
            <v>26840</v>
          </cell>
          <cell r="F81">
            <v>100</v>
          </cell>
        </row>
        <row r="82">
          <cell r="B82" t="str">
            <v>.Mason</v>
          </cell>
          <cell r="C82" t="str">
            <v>man.day</v>
          </cell>
          <cell r="D82">
            <v>26840</v>
          </cell>
          <cell r="F82">
            <v>100</v>
          </cell>
        </row>
        <row r="83">
          <cell r="B83" t="str">
            <v>.Mechanic</v>
          </cell>
          <cell r="C83" t="str">
            <v>man.day</v>
          </cell>
          <cell r="D83">
            <v>30114</v>
          </cell>
          <cell r="F83">
            <v>100</v>
          </cell>
        </row>
        <row r="84">
          <cell r="B84" t="str">
            <v>.Operator</v>
          </cell>
          <cell r="C84" t="str">
            <v>man.day</v>
          </cell>
          <cell r="D84">
            <v>23567</v>
          </cell>
          <cell r="F84">
            <v>100</v>
          </cell>
        </row>
        <row r="85">
          <cell r="B85" t="str">
            <v>.Skilled labour</v>
          </cell>
          <cell r="C85" t="str">
            <v>man.day</v>
          </cell>
          <cell r="D85">
            <v>30114</v>
          </cell>
          <cell r="F85">
            <v>100</v>
          </cell>
        </row>
        <row r="86">
          <cell r="B86" t="str">
            <v>.Unskilled labour</v>
          </cell>
          <cell r="C86" t="str">
            <v>man.day</v>
          </cell>
          <cell r="D86">
            <v>19639</v>
          </cell>
          <cell r="F86">
            <v>100</v>
          </cell>
        </row>
        <row r="87">
          <cell r="B87" t="str">
            <v>.Welder</v>
          </cell>
          <cell r="C87" t="str">
            <v>man.day</v>
          </cell>
          <cell r="D87">
            <v>30114</v>
          </cell>
          <cell r="F87">
            <v>100</v>
          </cell>
        </row>
        <row r="88">
          <cell r="B88" t="str">
            <v>.Install R. Dam</v>
          </cell>
          <cell r="C88" t="str">
            <v>unit</v>
          </cell>
          <cell r="D88">
            <v>222999828.78</v>
          </cell>
          <cell r="F88">
            <v>100</v>
          </cell>
        </row>
        <row r="91">
          <cell r="B91" t="str">
            <v>EQUIPMENT</v>
          </cell>
        </row>
        <row r="92">
          <cell r="B92" t="str">
            <v>.Air Compressor 175 cfm</v>
          </cell>
          <cell r="C92" t="str">
            <v>hour</v>
          </cell>
          <cell r="D92">
            <v>16107</v>
          </cell>
          <cell r="H92">
            <v>27.453902030173211</v>
          </cell>
          <cell r="I92">
            <v>72.546097969826789</v>
          </cell>
        </row>
        <row r="93">
          <cell r="B93" t="str">
            <v>.Baby roller</v>
          </cell>
          <cell r="C93" t="str">
            <v>hour</v>
          </cell>
          <cell r="D93">
            <v>5965</v>
          </cell>
          <cell r="H93">
            <v>67.139473012864897</v>
          </cell>
          <cell r="I93">
            <v>32.860526987135096</v>
          </cell>
        </row>
        <row r="94">
          <cell r="B94" t="str">
            <v>.Bar bender</v>
          </cell>
          <cell r="C94" t="str">
            <v>hour</v>
          </cell>
          <cell r="D94">
            <v>2422</v>
          </cell>
          <cell r="H94">
            <v>0</v>
          </cell>
          <cell r="I94">
            <v>100</v>
          </cell>
        </row>
        <row r="95">
          <cell r="B95" t="str">
            <v>.Bar cutter</v>
          </cell>
          <cell r="C95" t="str">
            <v>hour</v>
          </cell>
          <cell r="D95">
            <v>2422</v>
          </cell>
          <cell r="H95">
            <v>0</v>
          </cell>
          <cell r="I95">
            <v>100</v>
          </cell>
        </row>
        <row r="96">
          <cell r="B96" t="str">
            <v>.Bulldozer D7G</v>
          </cell>
          <cell r="C96" t="str">
            <v>hour</v>
          </cell>
          <cell r="D96">
            <v>257139</v>
          </cell>
          <cell r="H96">
            <v>11.783808470682047</v>
          </cell>
          <cell r="I96">
            <v>88.216191529317953</v>
          </cell>
        </row>
        <row r="97">
          <cell r="B97" t="str">
            <v>.Chain saw</v>
          </cell>
          <cell r="C97" t="str">
            <v>hour</v>
          </cell>
          <cell r="D97">
            <v>11385</v>
          </cell>
          <cell r="H97">
            <v>2.9797101449275365</v>
          </cell>
          <cell r="I97">
            <v>97.020289855072463</v>
          </cell>
        </row>
        <row r="98">
          <cell r="B98" t="str">
            <v>.Chute</v>
          </cell>
          <cell r="C98" t="str">
            <v>unit</v>
          </cell>
          <cell r="D98">
            <v>302774</v>
          </cell>
          <cell r="H98">
            <v>0</v>
          </cell>
          <cell r="I98">
            <v>100</v>
          </cell>
        </row>
        <row r="99">
          <cell r="B99" t="str">
            <v>.Concrete mixer 350 liter</v>
          </cell>
          <cell r="C99" t="str">
            <v>hour</v>
          </cell>
          <cell r="D99">
            <v>4421</v>
          </cell>
          <cell r="H99">
            <v>2.5378873558018546</v>
          </cell>
          <cell r="I99">
            <v>97.462112644198157</v>
          </cell>
        </row>
        <row r="100">
          <cell r="B100" t="str">
            <v>.Concrete mixer 400 lt winget</v>
          </cell>
          <cell r="C100" t="str">
            <v>hour</v>
          </cell>
          <cell r="D100">
            <v>29760</v>
          </cell>
          <cell r="H100">
            <v>0.37701612903225806</v>
          </cell>
          <cell r="I100">
            <v>99.622983870967744</v>
          </cell>
        </row>
        <row r="101">
          <cell r="B101" t="str">
            <v>.Concrete vibrator</v>
          </cell>
          <cell r="C101" t="str">
            <v>hour</v>
          </cell>
          <cell r="D101">
            <v>4804</v>
          </cell>
          <cell r="H101">
            <v>5.495420482930891</v>
          </cell>
          <cell r="I101">
            <v>94.504579517069104</v>
          </cell>
        </row>
        <row r="102">
          <cell r="B102" t="str">
            <v>.Crawler crane 40 ton</v>
          </cell>
          <cell r="C102" t="str">
            <v>hour</v>
          </cell>
          <cell r="D102">
            <v>167615</v>
          </cell>
          <cell r="H102">
            <v>17.418433868322495</v>
          </cell>
          <cell r="I102">
            <v>82.581566131677505</v>
          </cell>
        </row>
        <row r="103">
          <cell r="B103" t="str">
            <v>.Dump truck 8 ton</v>
          </cell>
          <cell r="C103" t="str">
            <v>hour</v>
          </cell>
          <cell r="D103">
            <v>48807</v>
          </cell>
          <cell r="H103">
            <v>22.284390991041128</v>
          </cell>
          <cell r="I103">
            <v>77.715609008958879</v>
          </cell>
        </row>
        <row r="104">
          <cell r="B104" t="str">
            <v>.Excavator Long arm PC-200</v>
          </cell>
          <cell r="C104" t="str">
            <v>hour</v>
          </cell>
          <cell r="D104">
            <v>206855</v>
          </cell>
          <cell r="H104">
            <v>9.6995183190765655</v>
          </cell>
          <cell r="I104">
            <v>90.300481680923426</v>
          </cell>
        </row>
        <row r="105">
          <cell r="B105" t="str">
            <v>.Excavator PC-200</v>
          </cell>
          <cell r="C105" t="str">
            <v>hour</v>
          </cell>
          <cell r="D105">
            <v>164466</v>
          </cell>
          <cell r="H105">
            <v>12.199444638360408</v>
          </cell>
          <cell r="I105">
            <v>87.800555361639582</v>
          </cell>
        </row>
        <row r="106">
          <cell r="B106" t="str">
            <v>.Genset 45 KVA</v>
          </cell>
          <cell r="C106" t="str">
            <v>hour</v>
          </cell>
          <cell r="D106">
            <v>14835</v>
          </cell>
          <cell r="H106">
            <v>26.83310414560162</v>
          </cell>
          <cell r="I106">
            <v>73.166895854398376</v>
          </cell>
        </row>
        <row r="107">
          <cell r="B107" t="str">
            <v>.Pick hammer 30 kg</v>
          </cell>
          <cell r="C107" t="str">
            <v>hour</v>
          </cell>
          <cell r="D107">
            <v>7569</v>
          </cell>
          <cell r="H107">
            <v>0</v>
          </cell>
          <cell r="I107">
            <v>100</v>
          </cell>
        </row>
        <row r="108">
          <cell r="B108" t="str">
            <v>.Piling equipment ( crane 25t &amp; hammer K-25 )</v>
          </cell>
          <cell r="C108" t="str">
            <v>month</v>
          </cell>
          <cell r="D108">
            <v>48443712</v>
          </cell>
          <cell r="H108">
            <v>0</v>
          </cell>
          <cell r="I108">
            <v>100</v>
          </cell>
        </row>
        <row r="109">
          <cell r="B109" t="str">
            <v>.Vibro roller CA-25</v>
          </cell>
          <cell r="C109" t="str">
            <v>hour</v>
          </cell>
          <cell r="D109">
            <v>116023</v>
          </cell>
          <cell r="H109">
            <v>17.293070011054557</v>
          </cell>
          <cell r="I109">
            <v>82.706929988945433</v>
          </cell>
        </row>
        <row r="110">
          <cell r="B110" t="str">
            <v>.Water pump 4"</v>
          </cell>
          <cell r="C110" t="str">
            <v>hour</v>
          </cell>
          <cell r="D110">
            <v>3634</v>
          </cell>
          <cell r="H110">
            <v>18.161805173362687</v>
          </cell>
          <cell r="I110">
            <v>81.838194826637306</v>
          </cell>
        </row>
        <row r="111">
          <cell r="B111" t="str">
            <v>.Water tank 5000 lt</v>
          </cell>
          <cell r="C111" t="str">
            <v>hour</v>
          </cell>
          <cell r="D111">
            <v>59465</v>
          </cell>
          <cell r="H111">
            <v>14.93496034440083</v>
          </cell>
          <cell r="I111">
            <v>85.065039655599179</v>
          </cell>
        </row>
        <row r="112">
          <cell r="B112" t="str">
            <v>.Welder machine + genset</v>
          </cell>
          <cell r="C112" t="str">
            <v>hour</v>
          </cell>
          <cell r="D112">
            <v>18166</v>
          </cell>
          <cell r="H112">
            <v>21.912864692282287</v>
          </cell>
          <cell r="I112">
            <v>78.087135307717716</v>
          </cell>
        </row>
        <row r="113">
          <cell r="B113" t="str">
            <v>.Concrete pump 85 m3</v>
          </cell>
          <cell r="C113" t="str">
            <v>hour</v>
          </cell>
          <cell r="D113">
            <v>222115</v>
          </cell>
          <cell r="H113">
            <v>8.4899339890576488</v>
          </cell>
          <cell r="I113">
            <v>91.510066010942353</v>
          </cell>
        </row>
        <row r="116">
          <cell r="B116" t="str">
            <v>.Tools</v>
          </cell>
          <cell r="C116" t="str">
            <v>ls</v>
          </cell>
          <cell r="I116">
            <v>100</v>
          </cell>
        </row>
        <row r="118">
          <cell r="B118" t="str">
            <v>SUBCONTRACTOR</v>
          </cell>
        </row>
        <row r="119">
          <cell r="B119" t="str">
            <v>.Concrete block crib t 20 cm</v>
          </cell>
          <cell r="C119" t="str">
            <v>nos</v>
          </cell>
          <cell r="D119">
            <v>121109</v>
          </cell>
          <cell r="G119">
            <v>100</v>
          </cell>
        </row>
        <row r="120">
          <cell r="B120" t="str">
            <v>.Control house</v>
          </cell>
          <cell r="C120" t="str">
            <v xml:space="preserve">m² </v>
          </cell>
          <cell r="D120">
            <v>787210</v>
          </cell>
          <cell r="G120">
            <v>100</v>
          </cell>
        </row>
        <row r="121">
          <cell r="B121" t="str">
            <v>.Flap gate ø 600 mm</v>
          </cell>
          <cell r="C121" t="str">
            <v>unit</v>
          </cell>
          <cell r="D121">
            <v>18166392</v>
          </cell>
          <cell r="G121">
            <v>100</v>
          </cell>
        </row>
        <row r="122">
          <cell r="B122" t="str">
            <v>.Name plate</v>
          </cell>
          <cell r="C122" t="str">
            <v>unit</v>
          </cell>
          <cell r="D122">
            <v>908320</v>
          </cell>
          <cell r="G122">
            <v>100</v>
          </cell>
        </row>
        <row r="123">
          <cell r="B123" t="str">
            <v>.Piling work PC pile ø 60 cm</v>
          </cell>
          <cell r="C123" t="str">
            <v>m</v>
          </cell>
          <cell r="D123">
            <v>54499</v>
          </cell>
          <cell r="I123">
            <v>100</v>
          </cell>
        </row>
        <row r="124">
          <cell r="B124" t="str">
            <v>.Piling work PC pile or SP Pile ø 30 cm or ø 35 cm</v>
          </cell>
          <cell r="C124" t="str">
            <v>m</v>
          </cell>
          <cell r="D124">
            <v>42388</v>
          </cell>
          <cell r="I124">
            <v>100</v>
          </cell>
        </row>
        <row r="125">
          <cell r="B125" t="str">
            <v>.Piling work PC pile or SP Pile ø 40 cm or ø 50 cm</v>
          </cell>
          <cell r="C125" t="str">
            <v>m</v>
          </cell>
          <cell r="D125">
            <v>42388</v>
          </cell>
          <cell r="I125">
            <v>100</v>
          </cell>
        </row>
        <row r="126">
          <cell r="B126" t="str">
            <v>.Ready mix K-350 for B</v>
          </cell>
          <cell r="C126" t="str">
            <v xml:space="preserve">m³ </v>
          </cell>
          <cell r="D126">
            <v>333051</v>
          </cell>
          <cell r="G126">
            <v>100</v>
          </cell>
        </row>
        <row r="127">
          <cell r="B127" t="str">
            <v>.Static loading test</v>
          </cell>
          <cell r="C127" t="str">
            <v>nos</v>
          </cell>
          <cell r="D127">
            <v>18166392</v>
          </cell>
          <cell r="I127">
            <v>100</v>
          </cell>
        </row>
        <row r="128">
          <cell r="B128" t="str">
            <v>.Steel sheet piling work</v>
          </cell>
          <cell r="C128" t="str">
            <v>m</v>
          </cell>
          <cell r="D128">
            <v>42388</v>
          </cell>
          <cell r="I128">
            <v>100</v>
          </cell>
        </row>
        <row r="129">
          <cell r="B129" t="str">
            <v>.Steel slide gate (H= 1m, B= 1m, x 2)</v>
          </cell>
          <cell r="C129" t="str">
            <v>unit</v>
          </cell>
          <cell r="D129">
            <v>8233732</v>
          </cell>
          <cell r="G129">
            <v>100</v>
          </cell>
        </row>
        <row r="130">
          <cell r="B130" t="str">
            <v>.Steel slide gate (H= 1m, B= 1,25m, x 2)</v>
          </cell>
          <cell r="C130" t="str">
            <v>unit</v>
          </cell>
          <cell r="D130">
            <v>8890335</v>
          </cell>
          <cell r="G130">
            <v>100</v>
          </cell>
        </row>
        <row r="131">
          <cell r="B131" t="str">
            <v>.Steel slide gate (H= 1,5m, B= 2m, x 2)</v>
          </cell>
          <cell r="C131" t="str">
            <v>unit</v>
          </cell>
          <cell r="D131">
            <v>12573526</v>
          </cell>
          <cell r="G131">
            <v>100</v>
          </cell>
        </row>
        <row r="132">
          <cell r="B132" t="str">
            <v>.Erection Diafragma wall</v>
          </cell>
          <cell r="C132" t="str">
            <v>unit</v>
          </cell>
          <cell r="D132">
            <v>170207</v>
          </cell>
          <cell r="I132">
            <v>100</v>
          </cell>
        </row>
        <row r="133">
          <cell r="B133" t="str">
            <v>.Erection of concrete girder I 125 - 25.60</v>
          </cell>
          <cell r="C133" t="str">
            <v>unit</v>
          </cell>
          <cell r="D133">
            <v>9019643</v>
          </cell>
          <cell r="I133">
            <v>100</v>
          </cell>
        </row>
        <row r="134">
          <cell r="B134" t="str">
            <v>.Erection of concrete girder I 160 - 31.60</v>
          </cell>
          <cell r="C134" t="str">
            <v>unit</v>
          </cell>
          <cell r="D134">
            <v>16453019</v>
          </cell>
          <cell r="I134">
            <v>100</v>
          </cell>
        </row>
        <row r="135">
          <cell r="B135" t="str">
            <v>.Erection of concrete girder I 170 - 40.80</v>
          </cell>
          <cell r="C135" t="str">
            <v>unit</v>
          </cell>
          <cell r="D135">
            <v>25555655</v>
          </cell>
          <cell r="I135">
            <v>100</v>
          </cell>
        </row>
        <row r="136">
          <cell r="B136" t="str">
            <v>.Erection of concrete girder I 090 - 16.60</v>
          </cell>
          <cell r="C136" t="str">
            <v>unit</v>
          </cell>
          <cell r="D136">
            <v>4548969</v>
          </cell>
          <cell r="I136">
            <v>100</v>
          </cell>
        </row>
        <row r="137">
          <cell r="B137" t="str">
            <v>.Erection of RC slab</v>
          </cell>
          <cell r="C137" t="str">
            <v>unit</v>
          </cell>
          <cell r="D137">
            <v>114890</v>
          </cell>
          <cell r="I137">
            <v>100</v>
          </cell>
        </row>
        <row r="138">
          <cell r="B138" t="str">
            <v>.Steel plate girder</v>
          </cell>
          <cell r="C138" t="str">
            <v>ls</v>
          </cell>
          <cell r="D138">
            <v>217445435</v>
          </cell>
          <cell r="G138">
            <v>100</v>
          </cell>
        </row>
        <row r="144">
          <cell r="B144" t="str">
            <v>.Rubber dam</v>
          </cell>
          <cell r="C144" t="str">
            <v>ls</v>
          </cell>
          <cell r="D144">
            <v>2858956466</v>
          </cell>
          <cell r="G144">
            <v>100</v>
          </cell>
        </row>
      </sheetData>
      <sheetData sheetId="5"/>
      <sheetData sheetId="6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"/>
      <sheetName val="BIAYA"/>
      <sheetName val="UPH BHN"/>
      <sheetName val="OKS"/>
      <sheetName val="OKS AKT"/>
      <sheetName val="PENGADAAN"/>
      <sheetName val="TNH_BAHU"/>
      <sheetName val="PAVE"/>
      <sheetName val="BTON"/>
      <sheetName val="BOW"/>
      <sheetName val="ANAL E"/>
      <sheetName val="alat"/>
    </sheetNames>
    <sheetDataSet>
      <sheetData sheetId="0" refreshError="1"/>
      <sheetData sheetId="1" refreshError="1"/>
      <sheetData sheetId="2">
        <row r="25">
          <cell r="I25">
            <v>51562.5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"/>
      <sheetName val="BIAYA"/>
      <sheetName val="UPH BHN"/>
      <sheetName val="OKS"/>
      <sheetName val="OKS AKT"/>
      <sheetName val="PENGADAAN"/>
      <sheetName val="TNH_BAHU"/>
      <sheetName val="PAVE"/>
      <sheetName val="BTON"/>
      <sheetName val="BOW"/>
      <sheetName val="ANAL E"/>
      <sheetName val="An Sat Alat"/>
    </sheetNames>
    <sheetDataSet>
      <sheetData sheetId="0" refreshError="1"/>
      <sheetData sheetId="1" refreshError="1"/>
      <sheetData sheetId="2">
        <row r="25">
          <cell r="I25">
            <v>51562.5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XXXX"/>
      <sheetName val="REKAP"/>
      <sheetName val="BQ"/>
      <sheetName val="L-3a(Analisa)"/>
      <sheetName val="Lamp-3b(Ur-Anl)"/>
      <sheetName val="L-3b(Ur-Anl) (2)"/>
      <sheetName val="REKAP DIRECT COST"/>
      <sheetName val="BQ DIRECT COST"/>
      <sheetName val="L-1(Dt Ktk)"/>
      <sheetName val="L-2a(Schedule)"/>
      <sheetName val="L-2b(Pengg Alt)"/>
      <sheetName val="L-2c(Peny Bhn)"/>
      <sheetName val="Penawaran"/>
      <sheetName val="L-4a(Mob)"/>
      <sheetName val="L6a,6b(Plant)"/>
      <sheetName val="L-7(Pemb Utama) "/>
      <sheetName val="L-8(Alat)"/>
      <sheetName val="L-9(Personil)"/>
      <sheetName val="L-10(Sub-Kont)"/>
      <sheetName val="L-11(Lp-Penaw)"/>
      <sheetName val="Hrg Upah"/>
      <sheetName val="Hrg Bahan"/>
      <sheetName val="Anl-Bahan"/>
      <sheetName val="Hrg Alat"/>
      <sheetName val="Anl-Alt"/>
      <sheetName val="Bahan&amp;Jarak(Quary)"/>
      <sheetName val="Denah AMP"/>
      <sheetName val="Lamp 5 On-Site"/>
      <sheetName val="Lamp-9 (Rutin)"/>
      <sheetName val="Dft Kelengkapan PQ"/>
      <sheetName val="Penilaian Kualifikasi"/>
      <sheetName val="Pakta Integritas"/>
      <sheetName val="Srt Minat (2)"/>
      <sheetName val="Harga Sewa Alat"/>
      <sheetName val="Alamat"/>
      <sheetName val="cari alat"/>
      <sheetName val="cari alat (2)"/>
      <sheetName val="Dft Kelengkapan PQ (2)"/>
      <sheetName val="Sheet1"/>
      <sheetName val="Sheet2"/>
      <sheetName val="Sheet3"/>
    </sheetNames>
    <sheetDataSet>
      <sheetData sheetId="0"/>
      <sheetData sheetId="1"/>
      <sheetData sheetId="2" refreshError="1">
        <row r="9">
          <cell r="J9" t="str">
            <v>PEMBANGUNAN JALAN DAN JEMBATAN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 PRICE"/>
      <sheetName val="UNIT PRICE2"/>
      <sheetName val="EQUIPMENT"/>
      <sheetName val="BASIC PRICE"/>
      <sheetName val="FACTOR"/>
      <sheetName val="INDEX"/>
      <sheetName val="BPS"/>
      <sheetName val="RATIO"/>
      <sheetName val="BREAKDWN"/>
      <sheetName val="1st"/>
      <sheetName val="2nd"/>
      <sheetName val="3rd"/>
      <sheetName val="4th"/>
      <sheetName val="5th"/>
      <sheetName val="6th "/>
      <sheetName val="SUM1"/>
      <sheetName val="SUM2"/>
      <sheetName val="SUM3"/>
      <sheetName val="SUM4"/>
      <sheetName val="SUM5"/>
      <sheetName val="SUM6"/>
      <sheetName val="TOTAL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4">
          <cell r="F24" t="str">
            <v>DW</v>
          </cell>
          <cell r="G24">
            <v>15</v>
          </cell>
          <cell r="H24">
            <v>10</v>
          </cell>
          <cell r="I24">
            <v>60</v>
          </cell>
          <cell r="J24">
            <v>13</v>
          </cell>
          <cell r="K24">
            <v>2</v>
          </cell>
          <cell r="L24">
            <v>0</v>
          </cell>
          <cell r="M24">
            <v>9.0300000000000005E-2</v>
          </cell>
        </row>
        <row r="25">
          <cell r="F25" t="str">
            <v>EW</v>
          </cell>
          <cell r="G25">
            <v>15</v>
          </cell>
          <cell r="H25">
            <v>1</v>
          </cell>
          <cell r="I25">
            <v>69</v>
          </cell>
          <cell r="J25">
            <v>15</v>
          </cell>
          <cell r="K25">
            <v>0</v>
          </cell>
          <cell r="L25">
            <v>0</v>
          </cell>
          <cell r="M25">
            <v>4.1200000000000001E-2</v>
          </cell>
        </row>
        <row r="26">
          <cell r="F26" t="str">
            <v>CW</v>
          </cell>
          <cell r="G26">
            <v>15</v>
          </cell>
          <cell r="H26">
            <v>7</v>
          </cell>
          <cell r="I26">
            <v>12</v>
          </cell>
          <cell r="J26">
            <v>0</v>
          </cell>
          <cell r="K26">
            <v>66</v>
          </cell>
          <cell r="L26">
            <v>0</v>
          </cell>
          <cell r="M26">
            <v>0.16619999999999999</v>
          </cell>
        </row>
        <row r="27">
          <cell r="F27" t="str">
            <v>RW</v>
          </cell>
          <cell r="G27">
            <v>15</v>
          </cell>
          <cell r="H27">
            <v>7</v>
          </cell>
          <cell r="I27">
            <v>1</v>
          </cell>
          <cell r="J27">
            <v>0</v>
          </cell>
          <cell r="K27">
            <v>77</v>
          </cell>
          <cell r="L27">
            <v>0</v>
          </cell>
          <cell r="M27">
            <v>0.15260000000000001</v>
          </cell>
        </row>
        <row r="28">
          <cell r="F28" t="str">
            <v>PW</v>
          </cell>
          <cell r="G28">
            <v>15</v>
          </cell>
          <cell r="H28">
            <v>2</v>
          </cell>
          <cell r="I28">
            <v>17</v>
          </cell>
          <cell r="J28">
            <v>0</v>
          </cell>
          <cell r="K28">
            <v>66</v>
          </cell>
          <cell r="L28">
            <v>0</v>
          </cell>
          <cell r="M28">
            <v>0.14019999999999999</v>
          </cell>
        </row>
        <row r="29">
          <cell r="F29" t="str">
            <v>SW</v>
          </cell>
          <cell r="G29">
            <v>15</v>
          </cell>
          <cell r="H29">
            <v>15</v>
          </cell>
          <cell r="I29">
            <v>0</v>
          </cell>
          <cell r="J29">
            <v>0</v>
          </cell>
          <cell r="K29">
            <v>70</v>
          </cell>
          <cell r="L29">
            <v>0</v>
          </cell>
          <cell r="M29">
            <v>0.21379999999999999</v>
          </cell>
        </row>
        <row r="30">
          <cell r="F30" t="str">
            <v>RP</v>
          </cell>
          <cell r="G30">
            <v>15</v>
          </cell>
          <cell r="H30">
            <v>5</v>
          </cell>
          <cell r="I30">
            <v>5</v>
          </cell>
          <cell r="J30">
            <v>1</v>
          </cell>
          <cell r="K30">
            <v>74</v>
          </cell>
          <cell r="L30">
            <v>0</v>
          </cell>
          <cell r="M30">
            <v>0.16800000000000001</v>
          </cell>
        </row>
        <row r="31">
          <cell r="F31" t="str">
            <v>MW</v>
          </cell>
          <cell r="G31">
            <v>15</v>
          </cell>
          <cell r="H31">
            <v>2</v>
          </cell>
          <cell r="I31">
            <v>0</v>
          </cell>
          <cell r="J31">
            <v>0</v>
          </cell>
          <cell r="K31">
            <v>83</v>
          </cell>
          <cell r="L31">
            <v>0</v>
          </cell>
          <cell r="M31">
            <v>0.16550000000000001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HB (2)"/>
      <sheetName val="lueng.oe"/>
      <sheetName val="samp.oe"/>
      <sheetName val="RANTAU OE"/>
      <sheetName val="ANLS (rantau)"/>
      <sheetName val="RAB RANTAU"/>
      <sheetName val="DUHB (Rantau)"/>
      <sheetName val="DUHB (Rantau) (2)"/>
      <sheetName val="RAB RANTAU (10%)"/>
      <sheetName val="ANLS (SERWAY)"/>
      <sheetName val="ANLS (Tangse Lama)"/>
      <sheetName val="DUHB (seruway)"/>
      <sheetName val="TG. LAMA DASK"/>
      <sheetName val="TG. LAMA DASK (Asli)"/>
      <sheetName val="DUHB (Sampaimah)."/>
      <sheetName val="Analisa AB (Sampaimah)"/>
      <sheetName val="Analisa BD (Sampaimah)"/>
      <sheetName val="RAB SAMPAIMAH"/>
      <sheetName val="DUHB (Lung M)"/>
      <sheetName val="Analisa AB (Lung M)"/>
      <sheetName val="Analisa BD (Lung M)"/>
      <sheetName val="ANLS (LUENG M)"/>
      <sheetName val="RAB LUENG MANYO"/>
    </sheetNames>
    <sheetDataSet>
      <sheetData sheetId="0" refreshError="1">
        <row r="28">
          <cell r="D28">
            <v>40000</v>
          </cell>
        </row>
        <row r="32">
          <cell r="D32">
            <v>3850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bilisasi"/>
      <sheetName val="Quarry"/>
      <sheetName val="HARGA"/>
      <sheetName val="Agregat H K"/>
      <sheetName val="Agregat ABC"/>
      <sheetName val="4"/>
      <sheetName val="5"/>
      <sheetName val="6"/>
      <sheetName val="8"/>
      <sheetName val="anls"/>
      <sheetName val="alat"/>
      <sheetName val="H Print"/>
      <sheetName val="SNI"/>
      <sheetName val="SATUAN"/>
      <sheetName val="RAB"/>
      <sheetName val="Agregat A"/>
      <sheetName val="Agregat B"/>
      <sheetName val="Agregat C"/>
      <sheetName val="REKAP"/>
      <sheetName val="SCH"/>
      <sheetName val="V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nawaran"/>
      <sheetName val="DKH"/>
      <sheetName val="Daftar Harga"/>
      <sheetName val="HSP"/>
      <sheetName val="Analisa Alat"/>
      <sheetName val="Schedule"/>
      <sheetName val="Metode"/>
      <sheetName val="Peralatan"/>
      <sheetName val="Personil"/>
      <sheetName val="Orgnasi"/>
    </sheetNames>
    <sheetDataSet>
      <sheetData sheetId="0" refreshError="1"/>
      <sheetData sheetId="1" refreshError="1"/>
      <sheetData sheetId="2">
        <row r="38">
          <cell r="G38">
            <v>12500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a"/>
      <sheetName val="RAB"/>
      <sheetName val="Daft Harg"/>
    </sheetNames>
    <sheetDataSet>
      <sheetData sheetId="0" refreshError="1"/>
      <sheetData sheetId="1" refreshError="1"/>
      <sheetData sheetId="2">
        <row r="6">
          <cell r="D6">
            <v>50000</v>
          </cell>
        </row>
        <row r="7">
          <cell r="D7">
            <v>55000</v>
          </cell>
        </row>
        <row r="8">
          <cell r="D8">
            <v>32000</v>
          </cell>
        </row>
        <row r="9">
          <cell r="D9">
            <v>50000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MBATAN"/>
      <sheetName val="TEMBOK"/>
      <sheetName val="BOX CULVET"/>
      <sheetName val="SNI"/>
      <sheetName val="H Print"/>
      <sheetName val="alat"/>
      <sheetName val="anls"/>
    </sheetNames>
    <sheetDataSet>
      <sheetData sheetId="0"/>
      <sheetData sheetId="1"/>
      <sheetData sheetId="2"/>
      <sheetData sheetId="3"/>
      <sheetData sheetId="4"/>
      <sheetData sheetId="5">
        <row r="1">
          <cell r="AO1" t="str">
            <v>DAFTAR BIAYA SEWA PERALATAN PER JAM KERJA</v>
          </cell>
        </row>
        <row r="18">
          <cell r="AW18">
            <v>279482.05751881318</v>
          </cell>
        </row>
      </sheetData>
      <sheetData sheetId="6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RAB"/>
      <sheetName val="RKP Anl"/>
      <sheetName val="analisa"/>
      <sheetName val="UPAH-BAHAN-ALAT"/>
      <sheetName val="upah dan bahan"/>
      <sheetName val="VOLUME"/>
    </sheetNames>
    <sheetDataSet>
      <sheetData sheetId="0"/>
      <sheetData sheetId="1">
        <row r="22">
          <cell r="B22">
            <v>4</v>
          </cell>
          <cell r="C22" t="str">
            <v>Urugan Tanah Peninggian Lantai dan Pemadatan</v>
          </cell>
        </row>
        <row r="23">
          <cell r="C23" t="str">
            <v>- Urugan Tanah Bekas Galian</v>
          </cell>
        </row>
        <row r="24">
          <cell r="C24" t="str">
            <v>- Urugan Tanah Didatangkan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(2)"/>
      <sheetName val="RAB (2)"/>
      <sheetName val="V.1 (t1)"/>
      <sheetName val="V.2 (t1)"/>
      <sheetName val="V.3 (t1)"/>
      <sheetName val="Rekap"/>
      <sheetName val="RAB"/>
      <sheetName val="V.1"/>
      <sheetName val="V.1 (2)"/>
      <sheetName val="V.1 (3)"/>
      <sheetName val="V.atap"/>
      <sheetName val="R.Anl"/>
      <sheetName val="ANL"/>
      <sheetName val="SMK3"/>
      <sheetName val="HIT."/>
      <sheetName val="ELT"/>
      <sheetName val="PLMB"/>
      <sheetName val="BAHAN"/>
      <sheetName val="UB mep"/>
      <sheetName val="UPAH"/>
      <sheetName val="AN.PANCANG"/>
      <sheetName val="PEMANCANGAN"/>
      <sheetName val="WELDING"/>
      <sheetName val="CUTTING"/>
      <sheetName val="PERALATAN"/>
      <sheetName val="ID"/>
    </sheetNames>
    <sheetDataSet>
      <sheetData sheetId="0"/>
      <sheetData sheetId="1">
        <row r="11">
          <cell r="B11">
            <v>1</v>
          </cell>
          <cell r="C11" t="str">
            <v>Pengukuran/Bowplank</v>
          </cell>
        </row>
        <row r="12">
          <cell r="B12">
            <v>2</v>
          </cell>
          <cell r="C12" t="str">
            <v>Pagar Pengaman Proyek</v>
          </cell>
        </row>
        <row r="18">
          <cell r="B18">
            <v>8</v>
          </cell>
          <cell r="C18" t="str">
            <v>Biaya SMK 3</v>
          </cell>
        </row>
        <row r="22">
          <cell r="C22" t="str">
            <v>PEKERJAAN TANAH</v>
          </cell>
        </row>
        <row r="23">
          <cell r="B23">
            <v>1</v>
          </cell>
          <cell r="C23" t="str">
            <v xml:space="preserve">Galian Tanah </v>
          </cell>
        </row>
        <row r="24">
          <cell r="B24">
            <v>2</v>
          </cell>
          <cell r="C24" t="str">
            <v>Urugan Tanah Kembali Bekas Galian</v>
          </cell>
        </row>
        <row r="25">
          <cell r="B25">
            <v>3</v>
          </cell>
          <cell r="C25" t="str">
            <v xml:space="preserve">Urugan Pasir di bawah Pondasi </v>
          </cell>
        </row>
        <row r="26">
          <cell r="B26">
            <v>4</v>
          </cell>
          <cell r="C26" t="str">
            <v>Urugan Tanah Peninggian Lantai Dipadatkan</v>
          </cell>
        </row>
        <row r="27">
          <cell r="C27" t="str">
            <v>- Urugan tanah bekas galian</v>
          </cell>
        </row>
        <row r="28">
          <cell r="C28" t="str">
            <v>- Urugan tanah yang didatangkan</v>
          </cell>
        </row>
        <row r="31">
          <cell r="B31" t="str">
            <v>II</v>
          </cell>
          <cell r="C31" t="str">
            <v>PEKERJAAN STRUKTUR</v>
          </cell>
        </row>
        <row r="32">
          <cell r="B32">
            <v>1</v>
          </cell>
          <cell r="C32" t="str">
            <v>Pekerjaan Tiang Pancang</v>
          </cell>
        </row>
        <row r="33">
          <cell r="C33" t="str">
            <v>-</v>
          </cell>
          <cell r="D33" t="str">
            <v>Mobilisasi dan Demobilisasi Alat Pemancang</v>
          </cell>
        </row>
        <row r="34">
          <cell r="C34" t="str">
            <v>-</v>
          </cell>
          <cell r="D34" t="str">
            <v>Pengadaan Spun Pile Ø 30  Cm K-600</v>
          </cell>
        </row>
        <row r="35">
          <cell r="C35" t="str">
            <v>-</v>
          </cell>
          <cell r="D35" t="str">
            <v>Pemancangan Spun Pile Ø 30 Cm K-600 dengan Hydraulic Jacking System kap. 120 Ton</v>
          </cell>
        </row>
        <row r="36">
          <cell r="C36" t="str">
            <v>-</v>
          </cell>
          <cell r="D36" t="str">
            <v>Penyambungan Tiang Pancang</v>
          </cell>
        </row>
        <row r="38">
          <cell r="C38" t="str">
            <v>-</v>
          </cell>
          <cell r="D38" t="str">
            <v>PDA Test</v>
          </cell>
        </row>
        <row r="39">
          <cell r="B39">
            <v>2</v>
          </cell>
          <cell r="C39" t="str">
            <v>Pile Cap tipe - PC1</v>
          </cell>
        </row>
        <row r="40">
          <cell r="D40" t="str">
            <v xml:space="preserve">Beton mutu f'c=26,4 Mpa </v>
          </cell>
        </row>
        <row r="41">
          <cell r="D41" t="str">
            <v>Pembesian Ulir</v>
          </cell>
        </row>
        <row r="42">
          <cell r="D42" t="str">
            <v>Bekisting Pondasi</v>
          </cell>
        </row>
        <row r="43">
          <cell r="B43">
            <v>3</v>
          </cell>
          <cell r="C43" t="str">
            <v>Pile Cap tipe - PC2</v>
          </cell>
        </row>
        <row r="44">
          <cell r="D44" t="str">
            <v xml:space="preserve">Beton mutu f'c=26,4 Mpa </v>
          </cell>
        </row>
        <row r="45">
          <cell r="D45" t="str">
            <v>Pembesian Ulir</v>
          </cell>
        </row>
        <row r="46">
          <cell r="D46" t="str">
            <v>Bekisting Pondasi</v>
          </cell>
        </row>
        <row r="47">
          <cell r="B47">
            <v>4</v>
          </cell>
          <cell r="C47" t="str">
            <v>Sloof 20x40 Cm (S1)</v>
          </cell>
        </row>
        <row r="48">
          <cell r="D48" t="str">
            <v xml:space="preserve">Beton mutu f'c=26,4 Mpa </v>
          </cell>
        </row>
        <row r="49">
          <cell r="D49" t="str">
            <v>Pembesian Ulir</v>
          </cell>
        </row>
        <row r="50">
          <cell r="D50" t="str">
            <v>Pembesian sengkang</v>
          </cell>
        </row>
        <row r="51">
          <cell r="D51" t="str">
            <v>Bekisting Sloof</v>
          </cell>
        </row>
        <row r="52">
          <cell r="B52">
            <v>5</v>
          </cell>
          <cell r="C52" t="str">
            <v>Kolom 40x40 Cm (K1)</v>
          </cell>
        </row>
        <row r="53">
          <cell r="D53" t="str">
            <v xml:space="preserve">Beton mutu f'c=26,4 Mpa </v>
          </cell>
        </row>
        <row r="54">
          <cell r="D54" t="str">
            <v>Pembesian Ulir</v>
          </cell>
        </row>
        <row r="55">
          <cell r="D55" t="str">
            <v>Pembesian sengkang</v>
          </cell>
        </row>
        <row r="56">
          <cell r="D56" t="str">
            <v>Bekisting Kolom</v>
          </cell>
        </row>
        <row r="57">
          <cell r="B57">
            <v>6</v>
          </cell>
          <cell r="C57" t="str">
            <v>Kolom Praktis</v>
          </cell>
        </row>
        <row r="58">
          <cell r="B58">
            <v>7</v>
          </cell>
          <cell r="C58" t="str">
            <v>Balok Latai</v>
          </cell>
        </row>
        <row r="59">
          <cell r="B59">
            <v>8</v>
          </cell>
          <cell r="C59" t="str">
            <v>Balok 25x50 Cm (B1)</v>
          </cell>
        </row>
        <row r="60">
          <cell r="D60" t="str">
            <v xml:space="preserve">Beton mutu f'c=26,4 Mpa </v>
          </cell>
        </row>
        <row r="61">
          <cell r="D61" t="str">
            <v>Pembesian Ulir</v>
          </cell>
        </row>
        <row r="62">
          <cell r="D62" t="str">
            <v>Pembesian sengkang</v>
          </cell>
        </row>
        <row r="63">
          <cell r="D63" t="str">
            <v>Bekisting Balok</v>
          </cell>
        </row>
        <row r="64">
          <cell r="B64">
            <v>9</v>
          </cell>
          <cell r="C64" t="str">
            <v>Balok 20x40 Cm (B2)</v>
          </cell>
        </row>
        <row r="65">
          <cell r="D65" t="str">
            <v xml:space="preserve">Beton mutu f'c=26,4 Mpa </v>
          </cell>
        </row>
        <row r="66">
          <cell r="D66" t="str">
            <v>Pembesian Ulir</v>
          </cell>
        </row>
        <row r="67">
          <cell r="D67" t="str">
            <v>Pembesian sengkang</v>
          </cell>
        </row>
        <row r="68">
          <cell r="D68" t="str">
            <v>Bekisting Balok</v>
          </cell>
        </row>
        <row r="69">
          <cell r="B69">
            <v>10</v>
          </cell>
          <cell r="C69" t="str">
            <v>Balok 15x30 Cm (B3)</v>
          </cell>
        </row>
        <row r="70">
          <cell r="D70" t="str">
            <v xml:space="preserve">Beton mutu f'c=26,4 Mpa </v>
          </cell>
        </row>
        <row r="71">
          <cell r="D71" t="str">
            <v>Pembesian Ulir</v>
          </cell>
        </row>
        <row r="72">
          <cell r="D72" t="str">
            <v>Pembesian sengkang</v>
          </cell>
        </row>
        <row r="73">
          <cell r="D73" t="str">
            <v>Bekisting Balok</v>
          </cell>
        </row>
        <row r="74">
          <cell r="B74">
            <v>11</v>
          </cell>
          <cell r="C74" t="str">
            <v xml:space="preserve">Tangga </v>
          </cell>
        </row>
        <row r="75">
          <cell r="D75" t="str">
            <v xml:space="preserve">Beton mutu f'c=26,4 Mpa </v>
          </cell>
        </row>
        <row r="76">
          <cell r="D76" t="str">
            <v>Pembesian Ulir</v>
          </cell>
        </row>
        <row r="77">
          <cell r="D77" t="str">
            <v>Bekisting Tangga</v>
          </cell>
        </row>
        <row r="78">
          <cell r="B78">
            <v>12</v>
          </cell>
          <cell r="C78" t="str">
            <v>Plat Lantai</v>
          </cell>
        </row>
        <row r="79">
          <cell r="D79" t="str">
            <v xml:space="preserve">Beton mutu f'c=26,4 Mpa </v>
          </cell>
        </row>
        <row r="80">
          <cell r="D80" t="str">
            <v>Pembesian Polos</v>
          </cell>
        </row>
        <row r="81">
          <cell r="D81" t="str">
            <v>Bekisting Plat</v>
          </cell>
        </row>
        <row r="84">
          <cell r="B84" t="str">
            <v>III</v>
          </cell>
          <cell r="C84" t="str">
            <v>PEKERJAAN DINDING &amp; PLESTERAN</v>
          </cell>
        </row>
        <row r="85">
          <cell r="B85">
            <v>1</v>
          </cell>
          <cell r="C85" t="str">
            <v xml:space="preserve">Pasangan 1/2 bata camp. 1 : 4 </v>
          </cell>
        </row>
        <row r="86">
          <cell r="B86">
            <v>2</v>
          </cell>
          <cell r="C86" t="str">
            <v>Plesteran 1 PC : 4 PP, tebal 15 mm</v>
          </cell>
        </row>
        <row r="87">
          <cell r="B87">
            <v>3</v>
          </cell>
          <cell r="C87" t="str">
            <v>Acian</v>
          </cell>
        </row>
        <row r="88">
          <cell r="B88">
            <v>4</v>
          </cell>
          <cell r="C88" t="str">
            <v>Pekerjaan Benangan Lobang Kusen Alumunium</v>
          </cell>
        </row>
        <row r="89">
          <cell r="B89">
            <v>5</v>
          </cell>
          <cell r="C89" t="str">
            <v>Railing Tangga Finsh. Cat minyak (Avian)</v>
          </cell>
        </row>
        <row r="92">
          <cell r="B92" t="str">
            <v>IV</v>
          </cell>
          <cell r="C92" t="str">
            <v>PEKERJAAN PINTU &amp; JENDELA</v>
          </cell>
        </row>
        <row r="93">
          <cell r="B93">
            <v>1</v>
          </cell>
          <cell r="C93" t="str">
            <v>Pintu Type P2</v>
          </cell>
        </row>
        <row r="94">
          <cell r="D94" t="str">
            <v>- Kusen Kayu kelas 1</v>
          </cell>
        </row>
        <row r="95">
          <cell r="D95" t="str">
            <v>- Daun Pintu Kayu panel kelas II</v>
          </cell>
        </row>
        <row r="96">
          <cell r="D96" t="str">
            <v>- Engsel Pintu 4 inc</v>
          </cell>
        </row>
        <row r="97">
          <cell r="D97" t="str">
            <v>- Kunci Tanam ex. Ses</v>
          </cell>
        </row>
        <row r="98">
          <cell r="D98" t="str">
            <v>- Door Stoop</v>
          </cell>
        </row>
        <row r="99">
          <cell r="D99" t="str">
            <v>- Grendel Pintu 8 Inc Stainless Stail</v>
          </cell>
        </row>
        <row r="100">
          <cell r="B100">
            <v>2</v>
          </cell>
          <cell r="C100" t="str">
            <v>Pintu KM</v>
          </cell>
        </row>
        <row r="101">
          <cell r="B101">
            <v>3</v>
          </cell>
          <cell r="C101" t="str">
            <v>Jendela Type J.1</v>
          </cell>
        </row>
        <row r="110">
          <cell r="B110">
            <v>4</v>
          </cell>
          <cell r="C110" t="str">
            <v>Jendela Type J2</v>
          </cell>
        </row>
        <row r="117">
          <cell r="B117" t="str">
            <v>V</v>
          </cell>
          <cell r="C117" t="str">
            <v>PEKERJAAN PENUTUP LANTAI &amp; DINDING</v>
          </cell>
        </row>
        <row r="118">
          <cell r="B118">
            <v>1</v>
          </cell>
          <cell r="C118" t="str">
            <v xml:space="preserve">Cor Beton bawah lantai </v>
          </cell>
        </row>
        <row r="119">
          <cell r="D119" t="str">
            <v>Pasir Urug</v>
          </cell>
        </row>
        <row r="120">
          <cell r="D120" t="str">
            <v>Beton Lantai Kerja Mutu f'c=9.8 Mpa</v>
          </cell>
        </row>
        <row r="121">
          <cell r="D121" t="str">
            <v>Pembesian Whiremas M-6</v>
          </cell>
        </row>
        <row r="122">
          <cell r="B122">
            <v>2</v>
          </cell>
          <cell r="C122" t="str">
            <v xml:space="preserve">Lantai Keramik Polish Uk. (60 x 60) Cm </v>
          </cell>
        </row>
        <row r="123">
          <cell r="B123">
            <v>3</v>
          </cell>
          <cell r="C123" t="str">
            <v xml:space="preserve">Dinding Kramik Uk. (40 x 40) Cm polished </v>
          </cell>
        </row>
        <row r="124">
          <cell r="B124">
            <v>4</v>
          </cell>
          <cell r="C124" t="str">
            <v xml:space="preserve">Lantai Kramik Uk. (40 x 40) Cm unpolished </v>
          </cell>
        </row>
        <row r="125">
          <cell r="B125">
            <v>5</v>
          </cell>
          <cell r="C125" t="str">
            <v>Anti Slip Lantai Uk. 7,5 x 60 cm</v>
          </cell>
        </row>
        <row r="128">
          <cell r="B128" t="str">
            <v>VI</v>
          </cell>
          <cell r="C128" t="str">
            <v>PEKERJAAN PLAFON</v>
          </cell>
        </row>
        <row r="129">
          <cell r="B129">
            <v>1</v>
          </cell>
          <cell r="C129" t="str">
            <v xml:space="preserve">Pemasangan Rangka Furing Plafond </v>
          </cell>
        </row>
        <row r="130">
          <cell r="B130">
            <v>2</v>
          </cell>
          <cell r="C130" t="str">
            <v>Pemasangan Plafond Gybsum board tbl. 9 mm</v>
          </cell>
        </row>
        <row r="133">
          <cell r="B133" t="str">
            <v>VII</v>
          </cell>
          <cell r="C133" t="str">
            <v>PEKERJAAN PENGECATAN</v>
          </cell>
        </row>
        <row r="134">
          <cell r="B134">
            <v>1</v>
          </cell>
          <cell r="C134" t="str">
            <v>Pengecatan bidang tembok eksterior (Jotun weathershield)</v>
          </cell>
        </row>
        <row r="135">
          <cell r="B135">
            <v>2</v>
          </cell>
          <cell r="C135" t="str">
            <v>Pengecatan bidang tembok interior (Jotun Jotaplast)</v>
          </cell>
        </row>
        <row r="136">
          <cell r="B136">
            <v>3</v>
          </cell>
          <cell r="C136" t="str">
            <v>Pengecatan langit-langit (Jotun Jotaplast)</v>
          </cell>
        </row>
        <row r="137">
          <cell r="B137">
            <v>4</v>
          </cell>
          <cell r="C137" t="str">
            <v>Pengecatan Minyak bidang besi dan Kayu (Avian)</v>
          </cell>
        </row>
        <row r="140">
          <cell r="B140" t="str">
            <v>VIII</v>
          </cell>
          <cell r="C140" t="str">
            <v>PEKERJAAN SANITAIR</v>
          </cell>
        </row>
        <row r="141">
          <cell r="C141" t="str">
            <v>Instalasi Pipa Air Bersih Pipa PPR PN 10.</v>
          </cell>
        </row>
        <row r="142">
          <cell r="D142" t="str">
            <v>Dia. 20 mm (1/2")</v>
          </cell>
        </row>
        <row r="143">
          <cell r="D143" t="str">
            <v xml:space="preserve">Gate Valve Dia 15 mm (1/2") </v>
          </cell>
        </row>
        <row r="144">
          <cell r="C144" t="str">
            <v>Instalasi Pipa Air kotor dan bekas pipa PVC class AW 10 kg/cm3.</v>
          </cell>
        </row>
        <row r="145">
          <cell r="D145" t="str">
            <v>Dia. 150 mm (6") tinja</v>
          </cell>
        </row>
        <row r="146">
          <cell r="D146" t="str">
            <v>Dia. 150 mm (6") Air kotor</v>
          </cell>
        </row>
        <row r="147">
          <cell r="C147" t="str">
            <v>Kloset Jongkok porselin</v>
          </cell>
        </row>
        <row r="148">
          <cell r="C148" t="str">
            <v xml:space="preserve">Floor Drain Stainless staill </v>
          </cell>
        </row>
        <row r="149">
          <cell r="C149" t="str">
            <v>Kran air Stainless staill 1/2 inc</v>
          </cell>
        </row>
        <row r="150">
          <cell r="C150" t="str">
            <v>Septiktank  &amp; Resapan</v>
          </cell>
        </row>
        <row r="151">
          <cell r="D151" t="str">
            <v xml:space="preserve">- Galian Tanah </v>
          </cell>
        </row>
        <row r="163">
          <cell r="B163" t="str">
            <v>IX</v>
          </cell>
          <cell r="C163" t="str">
            <v>PEKERJAAN ELEKTRIKAL</v>
          </cell>
        </row>
        <row r="164">
          <cell r="C164" t="str">
            <v>PANEL</v>
          </cell>
        </row>
        <row r="165">
          <cell r="C165" t="str">
            <v>- Sub Distribution Panel ( SDP ) Lantai 1</v>
          </cell>
        </row>
        <row r="166">
          <cell r="C166" t="str">
            <v>KABEL</v>
          </cell>
        </row>
        <row r="167">
          <cell r="C167" t="str">
            <v>Kabel dari MDP ke SDP lantai 1  NYY 4 x 10 mm + BC 10 mm.</v>
          </cell>
        </row>
        <row r="168">
          <cell r="C168" t="str">
            <v>PEKERJAAN GROUNDING SYSTEM ARUS KUAT</v>
          </cell>
        </row>
        <row r="170">
          <cell r="C170" t="str">
            <v>Grounding system max  5 ohm</v>
          </cell>
        </row>
        <row r="175">
          <cell r="C175" t="str">
            <v>SISTEM PENERANGAN</v>
          </cell>
        </row>
        <row r="176">
          <cell r="C176" t="str">
            <v xml:space="preserve">Fiting duduk + bola Lampu essential LED 5 watt </v>
          </cell>
        </row>
        <row r="177">
          <cell r="C177" t="str">
            <v xml:space="preserve">Fiting duduk + bola Lampu essential  LED 15 watt </v>
          </cell>
        </row>
        <row r="178">
          <cell r="C178" t="str">
            <v xml:space="preserve">Saklar double </v>
          </cell>
        </row>
        <row r="179">
          <cell r="C179" t="str">
            <v>Stop Kontak</v>
          </cell>
        </row>
        <row r="180">
          <cell r="C180" t="str">
            <v>INSTALASI KABEL</v>
          </cell>
        </row>
        <row r="181">
          <cell r="C181" t="str">
            <v xml:space="preserve">Instalasi Penerangan kabel NYM 3 x 1,5 mm dalam pipa counduit high impact </v>
          </cell>
        </row>
        <row r="182">
          <cell r="C182" t="str">
            <v>Instalasi saklar kabel NYM 3 x 1,5 mm dalam pipa counduit high impact</v>
          </cell>
        </row>
        <row r="183">
          <cell r="C183" t="str">
            <v>Instalasi stopkontak kabel NYM 3  x 2,5 mm dalam pipa counduit</v>
          </cell>
        </row>
      </sheetData>
      <sheetData sheetId="2"/>
      <sheetData sheetId="3"/>
      <sheetData sheetId="4"/>
      <sheetData sheetId="5"/>
      <sheetData sheetId="6">
        <row r="10">
          <cell r="B10" t="str">
            <v>A</v>
          </cell>
          <cell r="C10" t="str">
            <v>PEKERJAAN PERSIAPAN</v>
          </cell>
        </row>
        <row r="11">
          <cell r="C11" t="str">
            <v>Pengukuran/Bowplank</v>
          </cell>
        </row>
        <row r="143">
          <cell r="D143" t="str">
            <v>- Pasangan Batu-Bata 1 : 4</v>
          </cell>
        </row>
        <row r="144">
          <cell r="D144" t="str">
            <v>- Plasteran 1 : 2 Tebal 1,5 cm</v>
          </cell>
        </row>
        <row r="145">
          <cell r="D145" t="str">
            <v>- Beton mutu f'c=14,5 Mpa (K 175) Lantai dan Cover</v>
          </cell>
        </row>
        <row r="146">
          <cell r="D146" t="str">
            <v>- Pembesian dengan Besi Polos</v>
          </cell>
        </row>
        <row r="147">
          <cell r="D147" t="str">
            <v>- Bekisting plat</v>
          </cell>
        </row>
        <row r="148">
          <cell r="D148" t="str">
            <v>- Pipa Hawa</v>
          </cell>
        </row>
        <row r="149">
          <cell r="D149" t="str">
            <v>- Pipa PVC 4 Inc Berlobang 4 inc</v>
          </cell>
        </row>
        <row r="150">
          <cell r="D150" t="str">
            <v>- Lapisan ijuk</v>
          </cell>
        </row>
        <row r="151">
          <cell r="D151" t="str">
            <v>- Kerikil</v>
          </cell>
        </row>
        <row r="167">
          <cell r="C167" t="str">
            <v>Penarikan kabel grounding BC 35 mm dari MDP ke box grounding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 - lt 01"/>
      <sheetName val="Vol - lt 02"/>
      <sheetName val="Vol - me"/>
      <sheetName val="REKAP"/>
      <sheetName val="RAB-Struktur"/>
      <sheetName val="rekap anal"/>
      <sheetName val="RAB ME"/>
      <sheetName val="ANALISA"/>
      <sheetName val="RAB-Arsitek"/>
      <sheetName val="RAB-ME"/>
      <sheetName val="halaman"/>
      <sheetName val="UPAH-BAHAN"/>
      <sheetName val="Schdl"/>
      <sheetName val="Rekap Anl."/>
      <sheetName val="Cat"/>
      <sheetName val="Elektri"/>
      <sheetName val="pek.kunci&amp;kaca"/>
      <sheetName val="Sanitasi"/>
      <sheetName val="Keramik"/>
      <sheetName val="Plafond"/>
      <sheetName val="Atap"/>
      <sheetName val="pek.besi &amp; aluminium"/>
      <sheetName val="pek.kayu"/>
      <sheetName val="Pintu&amp;Jend"/>
      <sheetName val="Plester"/>
      <sheetName val="Dinding"/>
      <sheetName val="Beton Bertulang"/>
      <sheetName val="Pondasi"/>
      <sheetName val="Tanah"/>
      <sheetName val="Bor Pile"/>
      <sheetName val="Persiapan"/>
      <sheetName val="Taksir"/>
      <sheetName val="Taksir (supl)"/>
      <sheetName val="elektronik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3">
          <cell r="G13" t="str">
            <v>L.01</v>
          </cell>
        </row>
        <row r="14">
          <cell r="G14" t="str">
            <v>L.02</v>
          </cell>
        </row>
        <row r="15">
          <cell r="G15" t="str">
            <v>L.03</v>
          </cell>
        </row>
        <row r="16">
          <cell r="G16" t="str">
            <v>L.04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 Lt1"/>
      <sheetName val="rekap rab"/>
      <sheetName val="rab"/>
      <sheetName val="rekap anal"/>
      <sheetName val="RAB ME"/>
      <sheetName val="UP_BHN_2017"/>
      <sheetName val="pek.cat"/>
      <sheetName val="elektrikal"/>
      <sheetName val="pek.kunci&amp;kaca"/>
      <sheetName val="pek.sanitasi"/>
      <sheetName val="pek.lantai &amp; dinding"/>
      <sheetName val="pek.langit-2"/>
      <sheetName val="pek. atap"/>
      <sheetName val="pek.besi &amp; aluminium"/>
      <sheetName val="pek.kayu"/>
      <sheetName val="pek.plesteran"/>
      <sheetName val="pek. dinding"/>
      <sheetName val="pek.beton"/>
      <sheetName val="pek. pondasi"/>
      <sheetName val="pek. Tanah"/>
      <sheetName val="pek. persiapan"/>
      <sheetName val="Taksir"/>
      <sheetName val="Taksir (supl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H7" t="str">
            <v>L.01</v>
          </cell>
        </row>
        <row r="8">
          <cell r="H8" t="str">
            <v>L.02</v>
          </cell>
        </row>
        <row r="9">
          <cell r="H9" t="str">
            <v>L.03</v>
          </cell>
        </row>
        <row r="17">
          <cell r="H17" t="str">
            <v>L.04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"/>
      <sheetName val="RKP Anl"/>
      <sheetName val="ANL"/>
      <sheetName val="UB mep"/>
      <sheetName val="REKAP ANALISA"/>
      <sheetName val="ELEKTRIKAL"/>
      <sheetName val="PLAMBING"/>
      <sheetName val="RAB ME"/>
    </sheetNames>
    <sheetDataSet>
      <sheetData sheetId="0" refreshError="1"/>
      <sheetData sheetId="1" refreshError="1"/>
      <sheetData sheetId="2" refreshError="1"/>
      <sheetData sheetId="3">
        <row r="66">
          <cell r="I66">
            <v>45000</v>
          </cell>
        </row>
        <row r="67">
          <cell r="I67">
            <v>91500</v>
          </cell>
        </row>
        <row r="68">
          <cell r="I68">
            <v>15500</v>
          </cell>
        </row>
        <row r="96">
          <cell r="I96">
            <v>11500</v>
          </cell>
        </row>
        <row r="103">
          <cell r="I103">
            <v>95000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ic Price"/>
      <sheetName val="Rekap AHSP"/>
      <sheetName val="Analisa"/>
      <sheetName val="Pemancangan"/>
      <sheetName val="Penyediaan Tiang Pancang"/>
      <sheetName val="Welding"/>
      <sheetName val="Cutting"/>
      <sheetName val="Anl. Alat"/>
      <sheetName val="Identitas"/>
      <sheetName val="Sheet2"/>
    </sheetNames>
    <sheetDataSet>
      <sheetData sheetId="0" refreshError="1">
        <row r="9">
          <cell r="C9" t="str">
            <v>Upah Kerja</v>
          </cell>
          <cell r="D9" t="str">
            <v>L</v>
          </cell>
        </row>
        <row r="10">
          <cell r="C10" t="str">
            <v>Pekerja</v>
          </cell>
          <cell r="D10" t="str">
            <v>L.01</v>
          </cell>
          <cell r="E10" t="str">
            <v>orang/hari</v>
          </cell>
          <cell r="F10">
            <v>125000</v>
          </cell>
        </row>
        <row r="11">
          <cell r="C11" t="str">
            <v>Tukang</v>
          </cell>
          <cell r="D11" t="str">
            <v>L.02</v>
          </cell>
          <cell r="E11" t="str">
            <v>orang/hari</v>
          </cell>
          <cell r="F11">
            <v>150000</v>
          </cell>
        </row>
        <row r="12">
          <cell r="C12" t="str">
            <v>Kepala Tukang Kayu</v>
          </cell>
          <cell r="D12" t="str">
            <v>L.03</v>
          </cell>
          <cell r="E12" t="str">
            <v>orang/hari</v>
          </cell>
          <cell r="F12">
            <v>180000</v>
          </cell>
        </row>
        <row r="13">
          <cell r="C13" t="str">
            <v>Mandor</v>
          </cell>
          <cell r="D13" t="str">
            <v>L.04</v>
          </cell>
          <cell r="E13" t="str">
            <v>orang/hari</v>
          </cell>
          <cell r="F13">
            <v>156000</v>
          </cell>
        </row>
        <row r="14">
          <cell r="C14" t="str">
            <v>Operator Alat Berat</v>
          </cell>
          <cell r="D14" t="str">
            <v>L.05</v>
          </cell>
          <cell r="E14" t="str">
            <v>orang/hari</v>
          </cell>
          <cell r="F14">
            <v>300000</v>
          </cell>
        </row>
        <row r="15">
          <cell r="C15" t="str">
            <v>Pembantu Operator</v>
          </cell>
          <cell r="D15" t="str">
            <v>L.06</v>
          </cell>
          <cell r="E15" t="str">
            <v>orang/hari</v>
          </cell>
          <cell r="F15">
            <v>132000</v>
          </cell>
        </row>
        <row r="16">
          <cell r="C16" t="str">
            <v>Sopir</v>
          </cell>
          <cell r="D16" t="str">
            <v>L.07</v>
          </cell>
          <cell r="E16" t="str">
            <v>orang/hari</v>
          </cell>
          <cell r="F16">
            <v>180000</v>
          </cell>
        </row>
        <row r="17">
          <cell r="C17" t="str">
            <v>Pembantu Sopir</v>
          </cell>
          <cell r="D17" t="str">
            <v>L.08</v>
          </cell>
          <cell r="E17" t="str">
            <v>orang/hari</v>
          </cell>
          <cell r="F17">
            <v>132000</v>
          </cell>
        </row>
        <row r="19">
          <cell r="C19" t="str">
            <v>Bahan / Material</v>
          </cell>
          <cell r="D19" t="str">
            <v>M</v>
          </cell>
        </row>
        <row r="20">
          <cell r="C20" t="str">
            <v>Cat Menie Besi</v>
          </cell>
          <cell r="D20" t="str">
            <v>M.01</v>
          </cell>
          <cell r="E20" t="str">
            <v>kg</v>
          </cell>
          <cell r="F20">
            <v>103400</v>
          </cell>
        </row>
        <row r="21">
          <cell r="C21" t="str">
            <v>Kayu Papan/ Broti (SK)</v>
          </cell>
          <cell r="D21" t="str">
            <v>M.02</v>
          </cell>
          <cell r="E21" t="str">
            <v>m3</v>
          </cell>
          <cell r="F21">
            <v>4300000</v>
          </cell>
        </row>
        <row r="22">
          <cell r="C22" t="str">
            <v>Kayu Bulat/ Dolken</v>
          </cell>
          <cell r="D22" t="str">
            <v>M.03</v>
          </cell>
          <cell r="E22" t="str">
            <v>btg</v>
          </cell>
          <cell r="F22">
            <v>20000</v>
          </cell>
        </row>
        <row r="23">
          <cell r="C23" t="str">
            <v>Kawat Las</v>
          </cell>
          <cell r="D23" t="str">
            <v>M.04</v>
          </cell>
          <cell r="E23" t="str">
            <v>kg</v>
          </cell>
          <cell r="F23">
            <v>69300</v>
          </cell>
        </row>
        <row r="24">
          <cell r="C24" t="str">
            <v>Kerikil Beton</v>
          </cell>
          <cell r="D24" t="str">
            <v>M.05</v>
          </cell>
          <cell r="E24" t="str">
            <v>m3</v>
          </cell>
          <cell r="F24">
            <v>506400</v>
          </cell>
        </row>
        <row r="25">
          <cell r="C25" t="str">
            <v>Minyak Pelumas / Oli</v>
          </cell>
          <cell r="D25" t="str">
            <v>M.06</v>
          </cell>
          <cell r="E25" t="str">
            <v>ltr</v>
          </cell>
          <cell r="F25">
            <v>38200</v>
          </cell>
        </row>
        <row r="26">
          <cell r="C26" t="str">
            <v>Minyak Pertalite</v>
          </cell>
          <cell r="D26" t="str">
            <v>M.07</v>
          </cell>
          <cell r="E26" t="str">
            <v>ltr</v>
          </cell>
          <cell r="F26">
            <v>8950</v>
          </cell>
        </row>
        <row r="27">
          <cell r="C27" t="str">
            <v>Minyak Solar (Industri)</v>
          </cell>
          <cell r="D27" t="str">
            <v>M.08</v>
          </cell>
          <cell r="E27" t="str">
            <v>ltr</v>
          </cell>
          <cell r="F27">
            <v>11900</v>
          </cell>
        </row>
        <row r="28">
          <cell r="C28" t="str">
            <v>Paku Biasa</v>
          </cell>
          <cell r="D28" t="str">
            <v>M.09</v>
          </cell>
          <cell r="E28" t="str">
            <v>kg</v>
          </cell>
          <cell r="F28">
            <v>22000</v>
          </cell>
        </row>
        <row r="29">
          <cell r="C29" t="str">
            <v>Pasir Beton</v>
          </cell>
          <cell r="D29" t="str">
            <v>M.010</v>
          </cell>
          <cell r="E29" t="str">
            <v>m3</v>
          </cell>
          <cell r="F29">
            <v>291400</v>
          </cell>
        </row>
        <row r="30">
          <cell r="C30" t="str">
            <v>Semen Portland</v>
          </cell>
          <cell r="D30" t="str">
            <v>M.11</v>
          </cell>
          <cell r="E30" t="str">
            <v>kg</v>
          </cell>
          <cell r="F30">
            <v>1440</v>
          </cell>
        </row>
        <row r="31">
          <cell r="C31" t="str">
            <v>Seng Gelombang</v>
          </cell>
          <cell r="D31" t="str">
            <v>M.12</v>
          </cell>
          <cell r="E31" t="str">
            <v>lbr</v>
          </cell>
          <cell r="F31">
            <v>36500</v>
          </cell>
        </row>
        <row r="33">
          <cell r="C33" t="str">
            <v>Sewa Alat Berat</v>
          </cell>
          <cell r="D33" t="str">
            <v>E</v>
          </cell>
        </row>
        <row r="34">
          <cell r="C34" t="str">
            <v>Hidraulic Static Pile Driver (HSPD 120)</v>
          </cell>
          <cell r="D34" t="str">
            <v>E.01</v>
          </cell>
          <cell r="E34" t="str">
            <v>jam</v>
          </cell>
          <cell r="F34">
            <v>693658.25614145235</v>
          </cell>
        </row>
        <row r="35">
          <cell r="C35" t="str">
            <v>Trado</v>
          </cell>
          <cell r="D35" t="str">
            <v>E.02</v>
          </cell>
          <cell r="E35" t="str">
            <v>jam</v>
          </cell>
          <cell r="F35">
            <v>1673676.7140920938</v>
          </cell>
        </row>
      </sheetData>
      <sheetData sheetId="1" refreshError="1">
        <row r="8">
          <cell r="B8" t="str">
            <v>ANS</v>
          </cell>
        </row>
      </sheetData>
      <sheetData sheetId="2" refreshError="1">
        <row r="83">
          <cell r="H83">
            <v>485800</v>
          </cell>
        </row>
        <row r="141">
          <cell r="H141">
            <v>77610</v>
          </cell>
        </row>
      </sheetData>
      <sheetData sheetId="3" refreshError="1"/>
      <sheetData sheetId="4" refreshError="1">
        <row r="27">
          <cell r="L27">
            <v>6.25E-2</v>
          </cell>
          <cell r="M27" t="str">
            <v>m3</v>
          </cell>
        </row>
        <row r="40">
          <cell r="L40">
            <v>4.4622936189201247E-2</v>
          </cell>
          <cell r="M40" t="str">
            <v>jam</v>
          </cell>
        </row>
        <row r="55">
          <cell r="L55">
            <v>0.17849174475680499</v>
          </cell>
        </row>
        <row r="56">
          <cell r="L56">
            <v>4.4622936189201247E-2</v>
          </cell>
        </row>
        <row r="57">
          <cell r="L57">
            <v>4.4622936189201247E-2</v>
          </cell>
        </row>
      </sheetData>
      <sheetData sheetId="5" refreshError="1"/>
      <sheetData sheetId="6" refreshError="1"/>
      <sheetData sheetId="7" refreshError="1">
        <row r="169">
          <cell r="I169">
            <v>765472.45205654786</v>
          </cell>
        </row>
      </sheetData>
      <sheetData sheetId="8" refreshError="1">
        <row r="9">
          <cell r="D9">
            <v>10</v>
          </cell>
        </row>
      </sheetData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mus"/>
      <sheetName val="REK"/>
      <sheetName val="RAB"/>
      <sheetName val="Harga Bhn &amp; Upah"/>
      <sheetName val="Ana Harga Sat."/>
      <sheetName val="Peralatan"/>
      <sheetName val="Time"/>
      <sheetName val="Pekerjaan Utama"/>
    </sheetNames>
    <sheetDataSet>
      <sheetData sheetId="0"/>
      <sheetData sheetId="1"/>
      <sheetData sheetId="2"/>
      <sheetData sheetId="3"/>
      <sheetData sheetId="4"/>
      <sheetData sheetId="5">
        <row r="1">
          <cell r="L1" t="str">
            <v>ANALISA BIAYA SEWA PERALATAN PER JAM KERJA (I)</v>
          </cell>
          <cell r="AO1" t="str">
            <v>DAFTAR BIAYA SEWA PERALATAN PER JAM KERJA</v>
          </cell>
        </row>
        <row r="3">
          <cell r="AW3" t="str">
            <v>BIAYA</v>
          </cell>
        </row>
        <row r="4">
          <cell r="A4" t="str">
            <v>URAIAN ANALISA ALAT</v>
          </cell>
          <cell r="P4" t="str">
            <v>TENAGA</v>
          </cell>
          <cell r="Q4" t="str">
            <v>KAPASITAS</v>
          </cell>
          <cell r="S4" t="str">
            <v>HARGA</v>
          </cell>
          <cell r="T4" t="str">
            <v>ALAT  YANG  DIPAKAI</v>
          </cell>
          <cell r="W4" t="str">
            <v>NILAI</v>
          </cell>
          <cell r="X4" t="str">
            <v>FAKTOR</v>
          </cell>
          <cell r="Y4" t="str">
            <v>BIAYA PASTI PER JAM</v>
          </cell>
          <cell r="AB4" t="str">
            <v>BIAYA OPERASI PER JAM KERJA</v>
          </cell>
          <cell r="AL4" t="str">
            <v>TOTAL</v>
          </cell>
          <cell r="AO4" t="str">
            <v>No.</v>
          </cell>
          <cell r="AP4" t="str">
            <v>URAIAN</v>
          </cell>
          <cell r="AR4" t="str">
            <v>KO</v>
          </cell>
          <cell r="AS4" t="str">
            <v>HP</v>
          </cell>
          <cell r="AT4" t="str">
            <v>KAP.</v>
          </cell>
          <cell r="AV4" t="str">
            <v>HARGA</v>
          </cell>
          <cell r="AW4" t="str">
            <v>SEWA</v>
          </cell>
          <cell r="AX4" t="str">
            <v>KET.</v>
          </cell>
        </row>
        <row r="5">
          <cell r="P5" t="str">
            <v>ALAT</v>
          </cell>
          <cell r="Q5" t="str">
            <v>ALAT</v>
          </cell>
          <cell r="S5" t="str">
            <v>ALAT</v>
          </cell>
          <cell r="U5" t="str">
            <v>JAM</v>
          </cell>
          <cell r="W5" t="str">
            <v>SISA</v>
          </cell>
          <cell r="X5" t="str">
            <v>PENGEM-</v>
          </cell>
          <cell r="Y5" t="str">
            <v>BIAYA</v>
          </cell>
          <cell r="Z5" t="str">
            <v>ASURANSI</v>
          </cell>
          <cell r="AA5" t="str">
            <v>TOTAL</v>
          </cell>
          <cell r="AB5" t="str">
            <v>BAHAN BAKAR &amp; PELUMAS</v>
          </cell>
          <cell r="AE5" t="str">
            <v>WORKSHOP</v>
          </cell>
          <cell r="AG5" t="str">
            <v>PERBAIKAN &amp; PERAWATAN</v>
          </cell>
          <cell r="AI5" t="str">
            <v>UPAH</v>
          </cell>
          <cell r="AK5" t="str">
            <v>TOTAL</v>
          </cell>
          <cell r="AL5" t="str">
            <v>BIAYA</v>
          </cell>
          <cell r="AR5" t="str">
            <v>DE</v>
          </cell>
          <cell r="AV5" t="str">
            <v>ALAT</v>
          </cell>
          <cell r="AW5" t="str">
            <v>ALAT/JAM</v>
          </cell>
        </row>
        <row r="6">
          <cell r="T6" t="str">
            <v>UMUR</v>
          </cell>
          <cell r="U6" t="str">
            <v>KERJA</v>
          </cell>
          <cell r="V6" t="str">
            <v>HARGA</v>
          </cell>
          <cell r="W6" t="str">
            <v>ALAT</v>
          </cell>
          <cell r="X6" t="str">
            <v>BALIAN</v>
          </cell>
          <cell r="Y6" t="str">
            <v>PENGEM-</v>
          </cell>
          <cell r="Z6" t="str">
            <v>DAN</v>
          </cell>
          <cell r="AA6" t="str">
            <v>BIAYA</v>
          </cell>
          <cell r="AB6" t="str">
            <v>BAHAN</v>
          </cell>
          <cell r="AC6" t="str">
            <v>MINYAK</v>
          </cell>
          <cell r="AI6" t="str">
            <v>OPERATOR</v>
          </cell>
          <cell r="AJ6" t="str">
            <v>PEMBANTU</v>
          </cell>
          <cell r="AK6" t="str">
            <v>BIAYA</v>
          </cell>
          <cell r="AL6" t="str">
            <v>SEWA ALAT</v>
          </cell>
          <cell r="AW6" t="str">
            <v>(di luar PPN)</v>
          </cell>
        </row>
        <row r="7">
          <cell r="A7" t="str">
            <v>No.</v>
          </cell>
          <cell r="C7" t="str">
            <v>U R A I A N</v>
          </cell>
          <cell r="G7" t="str">
            <v>KODE</v>
          </cell>
          <cell r="H7" t="str">
            <v>KOEF.</v>
          </cell>
          <cell r="I7" t="str">
            <v>SATUAN</v>
          </cell>
          <cell r="J7" t="str">
            <v>KET.</v>
          </cell>
          <cell r="T7" t="str">
            <v>ALAT</v>
          </cell>
          <cell r="U7" t="str">
            <v>1 TAHUN</v>
          </cell>
          <cell r="V7" t="str">
            <v>ALAT</v>
          </cell>
          <cell r="X7" t="str">
            <v>MODAL</v>
          </cell>
          <cell r="Y7" t="str">
            <v>BALIAN</v>
          </cell>
          <cell r="Z7" t="str">
            <v>LAIN-LAIN</v>
          </cell>
          <cell r="AA7" t="str">
            <v>PASTI / JAM</v>
          </cell>
          <cell r="AB7" t="str">
            <v>BAKAR</v>
          </cell>
          <cell r="AC7" t="str">
            <v>PELUMAS</v>
          </cell>
          <cell r="AD7" t="str">
            <v>BIAYA</v>
          </cell>
          <cell r="AE7" t="str">
            <v>KOEF.</v>
          </cell>
          <cell r="AF7" t="str">
            <v>BIAYA</v>
          </cell>
          <cell r="AG7" t="str">
            <v>KOEF.</v>
          </cell>
          <cell r="AH7" t="str">
            <v>BIAYA</v>
          </cell>
          <cell r="AI7" t="str">
            <v>/ SOPIR</v>
          </cell>
          <cell r="AJ7" t="str">
            <v>OPERATOR</v>
          </cell>
          <cell r="AK7" t="str">
            <v>OPERASI</v>
          </cell>
          <cell r="AL7" t="str">
            <v>PER</v>
          </cell>
        </row>
        <row r="8">
          <cell r="Y8" t="str">
            <v>MODAL</v>
          </cell>
          <cell r="AJ8" t="str">
            <v>/ SOPIR</v>
          </cell>
          <cell r="AK8" t="str">
            <v>/ JAM</v>
          </cell>
          <cell r="AL8" t="str">
            <v>JAM KERJA</v>
          </cell>
          <cell r="AO8" t="str">
            <v>1.</v>
          </cell>
          <cell r="AQ8" t="e">
            <v>#REF!</v>
          </cell>
          <cell r="AR8" t="str">
            <v>E01</v>
          </cell>
          <cell r="AS8" t="e">
            <v>#REF!</v>
          </cell>
          <cell r="AT8" t="e">
            <v>#REF!</v>
          </cell>
          <cell r="AU8" t="e">
            <v>#REF!</v>
          </cell>
          <cell r="AV8" t="e">
            <v>#REF!</v>
          </cell>
          <cell r="AW8" t="e">
            <v>#REF!</v>
          </cell>
          <cell r="AX8" t="e">
            <v>#REF!</v>
          </cell>
        </row>
        <row r="9">
          <cell r="P9" t="str">
            <v>(HP)</v>
          </cell>
          <cell r="Q9" t="str">
            <v>-</v>
          </cell>
          <cell r="S9" t="str">
            <v>(Tahun)</v>
          </cell>
          <cell r="T9" t="str">
            <v>(Tahun)</v>
          </cell>
          <cell r="U9" t="str">
            <v>(Jam)</v>
          </cell>
          <cell r="V9" t="str">
            <v>(Rp.)</v>
          </cell>
          <cell r="W9" t="str">
            <v>(Rp.)</v>
          </cell>
          <cell r="X9" t="str">
            <v>-</v>
          </cell>
          <cell r="Y9" t="str">
            <v>(Rp.)</v>
          </cell>
          <cell r="Z9" t="str">
            <v>(Rp.)</v>
          </cell>
          <cell r="AA9" t="str">
            <v>(Rp.)</v>
          </cell>
          <cell r="AB9" t="str">
            <v>Lt/HP/Jam</v>
          </cell>
          <cell r="AC9" t="str">
            <v>Ltr/HP/Jam</v>
          </cell>
          <cell r="AD9" t="str">
            <v>(Rp.)</v>
          </cell>
          <cell r="AE9" t="str">
            <v>-</v>
          </cell>
          <cell r="AF9" t="str">
            <v>(Rp.)</v>
          </cell>
          <cell r="AG9" t="str">
            <v>-</v>
          </cell>
          <cell r="AH9" t="str">
            <v>(Rp.)</v>
          </cell>
          <cell r="AI9" t="str">
            <v>(Rp.)</v>
          </cell>
          <cell r="AJ9" t="str">
            <v>(Rp.)</v>
          </cell>
          <cell r="AK9" t="str">
            <v>(Rp.)</v>
          </cell>
          <cell r="AL9" t="str">
            <v>(Rp.)</v>
          </cell>
          <cell r="AM9" t="str">
            <v>KET.</v>
          </cell>
          <cell r="AO9" t="str">
            <v>2.</v>
          </cell>
          <cell r="AQ9" t="e">
            <v>#REF!</v>
          </cell>
          <cell r="AR9" t="str">
            <v>E02</v>
          </cell>
          <cell r="AS9" t="e">
            <v>#REF!</v>
          </cell>
          <cell r="AT9" t="e">
            <v>#REF!</v>
          </cell>
          <cell r="AU9" t="e">
            <v>#REF!</v>
          </cell>
          <cell r="AV9" t="e">
            <v>#REF!</v>
          </cell>
          <cell r="AW9" t="e">
            <v>#REF!</v>
          </cell>
          <cell r="AX9" t="e">
            <v>#REF!</v>
          </cell>
        </row>
        <row r="10">
          <cell r="A10" t="str">
            <v>A.</v>
          </cell>
          <cell r="C10" t="str">
            <v>URAIAN PERALATAN</v>
          </cell>
          <cell r="L10" t="str">
            <v>No.</v>
          </cell>
          <cell r="M10" t="str">
            <v>JENIS PERALATAN</v>
          </cell>
          <cell r="O10" t="str">
            <v>KODE</v>
          </cell>
          <cell r="AD10" t="str">
            <v>f1 x HP x</v>
          </cell>
          <cell r="AI10" t="str">
            <v>1 Orang</v>
          </cell>
          <cell r="AJ10" t="str">
            <v>1 Orang</v>
          </cell>
          <cell r="AO10" t="str">
            <v>3.</v>
          </cell>
          <cell r="AQ10" t="e">
            <v>#REF!</v>
          </cell>
          <cell r="AR10" t="str">
            <v>E03</v>
          </cell>
          <cell r="AS10" t="e">
            <v>#REF!</v>
          </cell>
          <cell r="AT10" t="e">
            <v>#REF!</v>
          </cell>
          <cell r="AU10" t="e">
            <v>#REF!</v>
          </cell>
          <cell r="AV10" t="e">
            <v>#REF!</v>
          </cell>
          <cell r="AW10" t="e">
            <v>#REF!</v>
          </cell>
          <cell r="AX10" t="e">
            <v>#REF!</v>
          </cell>
        </row>
        <row r="11">
          <cell r="A11" t="str">
            <v xml:space="preserve">       1.</v>
          </cell>
          <cell r="C11" t="str">
            <v>Jenis Peralatan</v>
          </cell>
          <cell r="G11" t="str">
            <v>DUMP TRUCK</v>
          </cell>
          <cell r="J11" t="str">
            <v>E09</v>
          </cell>
          <cell r="O11" t="str">
            <v>ALAT</v>
          </cell>
          <cell r="X11" t="str">
            <v>i(1+i)^A</v>
          </cell>
          <cell r="Y11" t="str">
            <v>(B - C) x D</v>
          </cell>
          <cell r="Z11" t="str">
            <v>0.002 x B</v>
          </cell>
          <cell r="AB11" t="str">
            <v>0.125</v>
          </cell>
          <cell r="AC11" t="str">
            <v>0.01</v>
          </cell>
          <cell r="AD11" t="str">
            <v>Harga BBM</v>
          </cell>
          <cell r="AE11" t="str">
            <v>0.0625</v>
          </cell>
          <cell r="AF11" t="str">
            <v>(g1 x B')</v>
          </cell>
          <cell r="AG11" t="str">
            <v>0.125</v>
          </cell>
          <cell r="AH11" t="str">
            <v>(g1 x B')</v>
          </cell>
          <cell r="AI11" t="str">
            <v>Per</v>
          </cell>
          <cell r="AJ11" t="str">
            <v>Per</v>
          </cell>
          <cell r="AO11" t="str">
            <v>4.</v>
          </cell>
          <cell r="AQ11" t="e">
            <v>#REF!</v>
          </cell>
          <cell r="AR11" t="str">
            <v>E04</v>
          </cell>
          <cell r="AS11" t="e">
            <v>#REF!</v>
          </cell>
          <cell r="AT11" t="e">
            <v>#REF!</v>
          </cell>
          <cell r="AU11" t="e">
            <v>#REF!</v>
          </cell>
          <cell r="AV11" t="e">
            <v>#REF!</v>
          </cell>
          <cell r="AW11" t="e">
            <v>#REF!</v>
          </cell>
          <cell r="AX11" t="e">
            <v>#REF!</v>
          </cell>
        </row>
        <row r="12">
          <cell r="A12" t="str">
            <v xml:space="preserve">       2.</v>
          </cell>
          <cell r="C12" t="str">
            <v>Tenaga</v>
          </cell>
          <cell r="G12" t="str">
            <v>Pw</v>
          </cell>
          <cell r="H12">
            <v>125</v>
          </cell>
          <cell r="I12" t="str">
            <v>HP</v>
          </cell>
          <cell r="W12" t="str">
            <v>(10% X B)</v>
          </cell>
          <cell r="X12" t="str">
            <v>-----------</v>
          </cell>
          <cell r="Y12" t="str">
            <v>-----------</v>
          </cell>
          <cell r="Z12" t="str">
            <v>-----------</v>
          </cell>
          <cell r="AA12" t="str">
            <v>(e1 + e2)</v>
          </cell>
          <cell r="AB12" t="str">
            <v>s / d</v>
          </cell>
          <cell r="AC12" t="str">
            <v>s / d</v>
          </cell>
          <cell r="AD12" t="str">
            <v>+</v>
          </cell>
          <cell r="AE12" t="str">
            <v>s / d</v>
          </cell>
          <cell r="AF12" t="str">
            <v>-----</v>
          </cell>
          <cell r="AG12" t="str">
            <v>s / d</v>
          </cell>
          <cell r="AH12" t="str">
            <v>-----------</v>
          </cell>
          <cell r="AI12" t="str">
            <v>Jam Kerja</v>
          </cell>
          <cell r="AJ12" t="str">
            <v>Jam Kerja</v>
          </cell>
          <cell r="AK12" t="str">
            <v>F+G+H+I</v>
          </cell>
          <cell r="AL12" t="str">
            <v>E + J</v>
          </cell>
          <cell r="AO12" t="str">
            <v>5.</v>
          </cell>
          <cell r="AQ12" t="e">
            <v>#REF!</v>
          </cell>
          <cell r="AR12" t="str">
            <v>E05</v>
          </cell>
          <cell r="AS12" t="e">
            <v>#REF!</v>
          </cell>
          <cell r="AT12" t="e">
            <v>#REF!</v>
          </cell>
          <cell r="AU12" t="e">
            <v>#REF!</v>
          </cell>
          <cell r="AV12" t="e">
            <v>#REF!</v>
          </cell>
          <cell r="AW12" t="e">
            <v>#REF!</v>
          </cell>
          <cell r="AX12" t="e">
            <v>#REF!</v>
          </cell>
        </row>
        <row r="13">
          <cell r="A13" t="str">
            <v xml:space="preserve">       3.</v>
          </cell>
          <cell r="C13" t="str">
            <v>Kapasitas</v>
          </cell>
          <cell r="G13" t="str">
            <v>Cp</v>
          </cell>
          <cell r="H13">
            <v>8</v>
          </cell>
          <cell r="I13" t="str">
            <v>Ton</v>
          </cell>
          <cell r="X13" t="str">
            <v>(1+i)^A-1</v>
          </cell>
          <cell r="Y13" t="str">
            <v>W</v>
          </cell>
          <cell r="Z13" t="str">
            <v>W</v>
          </cell>
          <cell r="AB13" t="str">
            <v>0.175</v>
          </cell>
          <cell r="AC13" t="str">
            <v>0.02</v>
          </cell>
          <cell r="AD13" t="str">
            <v>f2 x HP x</v>
          </cell>
          <cell r="AE13" t="str">
            <v>0.0875</v>
          </cell>
          <cell r="AF13" t="str">
            <v>W</v>
          </cell>
          <cell r="AG13" t="str">
            <v>0.175</v>
          </cell>
          <cell r="AH13" t="str">
            <v>W</v>
          </cell>
          <cell r="AI13" t="str">
            <v>=</v>
          </cell>
          <cell r="AJ13" t="str">
            <v>=</v>
          </cell>
          <cell r="AO13" t="str">
            <v>6.</v>
          </cell>
          <cell r="AQ13" t="e">
            <v>#REF!</v>
          </cell>
          <cell r="AR13" t="str">
            <v>E06</v>
          </cell>
          <cell r="AS13" t="e">
            <v>#REF!</v>
          </cell>
          <cell r="AT13" t="e">
            <v>#REF!</v>
          </cell>
          <cell r="AU13" t="e">
            <v>#REF!</v>
          </cell>
          <cell r="AV13" t="e">
            <v>#REF!</v>
          </cell>
          <cell r="AW13" t="e">
            <v>#REF!</v>
          </cell>
          <cell r="AX13" t="e">
            <v>#REF!</v>
          </cell>
        </row>
        <row r="14">
          <cell r="A14" t="str">
            <v xml:space="preserve">       4.</v>
          </cell>
          <cell r="C14" t="str">
            <v>Alat Baru                :</v>
          </cell>
          <cell r="D14" t="str">
            <v xml:space="preserve">  a.  Umur Ekonomis</v>
          </cell>
          <cell r="G14" t="str">
            <v>A</v>
          </cell>
          <cell r="H14">
            <v>5</v>
          </cell>
          <cell r="I14" t="str">
            <v>Tahun</v>
          </cell>
          <cell r="AD14" t="str">
            <v>Harga Olie</v>
          </cell>
          <cell r="AI14">
            <v>5000</v>
          </cell>
          <cell r="AJ14">
            <v>5000</v>
          </cell>
          <cell r="AO14" t="str">
            <v>7.</v>
          </cell>
          <cell r="AQ14" t="e">
            <v>#REF!</v>
          </cell>
          <cell r="AR14" t="str">
            <v>E07</v>
          </cell>
          <cell r="AS14" t="e">
            <v>#REF!</v>
          </cell>
          <cell r="AT14" t="e">
            <v>#REF!</v>
          </cell>
          <cell r="AU14" t="e">
            <v>#REF!</v>
          </cell>
          <cell r="AV14" t="e">
            <v>#REF!</v>
          </cell>
          <cell r="AW14" t="e">
            <v>#REF!</v>
          </cell>
          <cell r="AX14" t="e">
            <v>#REF!</v>
          </cell>
        </row>
        <row r="15">
          <cell r="D15" t="str">
            <v xml:space="preserve">  b.  Jam Kerja Dalam 1 Tahun</v>
          </cell>
          <cell r="G15" t="str">
            <v>W</v>
          </cell>
          <cell r="H15">
            <v>2000</v>
          </cell>
          <cell r="I15" t="str">
            <v>Jam</v>
          </cell>
          <cell r="P15" t="str">
            <v>HP</v>
          </cell>
          <cell r="Q15" t="str">
            <v>Cp</v>
          </cell>
          <cell r="S15" t="str">
            <v>B</v>
          </cell>
          <cell r="T15" t="str">
            <v>A</v>
          </cell>
          <cell r="U15" t="str">
            <v>W</v>
          </cell>
          <cell r="V15" t="str">
            <v>B</v>
          </cell>
          <cell r="W15" t="str">
            <v>C</v>
          </cell>
          <cell r="X15" t="str">
            <v>D</v>
          </cell>
          <cell r="Y15" t="str">
            <v>e1</v>
          </cell>
          <cell r="Z15" t="str">
            <v>e2</v>
          </cell>
          <cell r="AA15" t="str">
            <v>E</v>
          </cell>
          <cell r="AB15" t="str">
            <v>f1</v>
          </cell>
          <cell r="AC15" t="str">
            <v>f2</v>
          </cell>
          <cell r="AD15" t="str">
            <v>F</v>
          </cell>
          <cell r="AE15" t="str">
            <v>g1</v>
          </cell>
          <cell r="AF15" t="str">
            <v>G</v>
          </cell>
          <cell r="AG15" t="str">
            <v>g1</v>
          </cell>
          <cell r="AH15" t="str">
            <v>G</v>
          </cell>
          <cell r="AI15" t="str">
            <v>H</v>
          </cell>
          <cell r="AJ15" t="str">
            <v>I</v>
          </cell>
          <cell r="AK15" t="str">
            <v>J</v>
          </cell>
          <cell r="AL15" t="str">
            <v>K</v>
          </cell>
          <cell r="AM15" t="str">
            <v>L</v>
          </cell>
          <cell r="AO15" t="str">
            <v>8.</v>
          </cell>
          <cell r="AQ15" t="e">
            <v>#REF!</v>
          </cell>
          <cell r="AR15" t="str">
            <v>E08</v>
          </cell>
          <cell r="AS15" t="e">
            <v>#REF!</v>
          </cell>
          <cell r="AT15" t="e">
            <v>#REF!</v>
          </cell>
          <cell r="AU15" t="e">
            <v>#REF!</v>
          </cell>
          <cell r="AV15" t="e">
            <v>#REF!</v>
          </cell>
          <cell r="AW15" t="e">
            <v>#REF!</v>
          </cell>
          <cell r="AX15" t="e">
            <v>#REF!</v>
          </cell>
        </row>
        <row r="16">
          <cell r="D16" t="str">
            <v xml:space="preserve">  c.  Harga Alat</v>
          </cell>
          <cell r="G16" t="str">
            <v>B</v>
          </cell>
          <cell r="H16">
            <v>350000000</v>
          </cell>
          <cell r="I16" t="str">
            <v>Rupiah</v>
          </cell>
          <cell r="L16" t="str">
            <v>1</v>
          </cell>
          <cell r="M16" t="str">
            <v>2</v>
          </cell>
          <cell r="O16" t="str">
            <v>2a</v>
          </cell>
          <cell r="P16" t="str">
            <v>3</v>
          </cell>
          <cell r="Q16" t="str">
            <v>4</v>
          </cell>
          <cell r="S16" t="str">
            <v>5</v>
          </cell>
          <cell r="T16" t="str">
            <v>6</v>
          </cell>
          <cell r="U16" t="str">
            <v>7</v>
          </cell>
          <cell r="V16" t="str">
            <v>8</v>
          </cell>
          <cell r="W16" t="str">
            <v>9</v>
          </cell>
          <cell r="X16" t="str">
            <v>10</v>
          </cell>
          <cell r="Y16" t="str">
            <v>11</v>
          </cell>
          <cell r="Z16" t="str">
            <v>12</v>
          </cell>
          <cell r="AA16" t="str">
            <v>13</v>
          </cell>
          <cell r="AB16" t="str">
            <v>14</v>
          </cell>
          <cell r="AC16" t="str">
            <v>15</v>
          </cell>
          <cell r="AD16" t="str">
            <v>16</v>
          </cell>
          <cell r="AE16" t="str">
            <v>17</v>
          </cell>
          <cell r="AF16" t="str">
            <v>18</v>
          </cell>
          <cell r="AG16" t="str">
            <v>17</v>
          </cell>
          <cell r="AH16" t="str">
            <v>18</v>
          </cell>
          <cell r="AI16" t="str">
            <v>19</v>
          </cell>
          <cell r="AJ16" t="str">
            <v>20</v>
          </cell>
          <cell r="AK16" t="str">
            <v>21</v>
          </cell>
          <cell r="AL16" t="str">
            <v>22</v>
          </cell>
          <cell r="AM16" t="str">
            <v>23</v>
          </cell>
          <cell r="AO16" t="str">
            <v>9.</v>
          </cell>
          <cell r="AQ16" t="str">
            <v>DUMP TRUCK</v>
          </cell>
          <cell r="AR16" t="str">
            <v>E09</v>
          </cell>
          <cell r="AS16">
            <v>125</v>
          </cell>
          <cell r="AT16">
            <v>8</v>
          </cell>
          <cell r="AU16" t="str">
            <v>Ton</v>
          </cell>
          <cell r="AV16">
            <v>350000000</v>
          </cell>
          <cell r="AW16">
            <v>290514.8032681144</v>
          </cell>
          <cell r="AX16" t="str">
            <v xml:space="preserve"> Alat Baru</v>
          </cell>
        </row>
        <row r="17">
          <cell r="A17" t="str">
            <v xml:space="preserve">       5.</v>
          </cell>
          <cell r="C17" t="str">
            <v>Alat Yang Dipakai  :</v>
          </cell>
          <cell r="D17" t="str">
            <v xml:space="preserve">  a.  Umur Ekonomis</v>
          </cell>
          <cell r="G17" t="str">
            <v>A'</v>
          </cell>
          <cell r="H17">
            <v>5</v>
          </cell>
          <cell r="I17" t="str">
            <v>Tahun</v>
          </cell>
          <cell r="J17" t="str">
            <v xml:space="preserve"> Alat Baru</v>
          </cell>
          <cell r="AO17" t="str">
            <v>10.</v>
          </cell>
          <cell r="AQ17" t="str">
            <v>EXCAVATOR 80-140 HP</v>
          </cell>
          <cell r="AR17" t="str">
            <v>E10</v>
          </cell>
          <cell r="AS17">
            <v>80</v>
          </cell>
          <cell r="AT17">
            <v>0.5</v>
          </cell>
          <cell r="AU17" t="str">
            <v>M3</v>
          </cell>
          <cell r="AV17">
            <v>1200000000</v>
          </cell>
          <cell r="AW17">
            <v>403765.03977639216</v>
          </cell>
          <cell r="AX17" t="str">
            <v xml:space="preserve"> Alat Baru</v>
          </cell>
        </row>
        <row r="18">
          <cell r="D18" t="str">
            <v xml:space="preserve">  b.  Jam Kerja Dalam 1 Tahun </v>
          </cell>
          <cell r="G18" t="str">
            <v>W'</v>
          </cell>
          <cell r="H18">
            <v>2000</v>
          </cell>
          <cell r="I18" t="str">
            <v>Jam</v>
          </cell>
          <cell r="J18" t="str">
            <v xml:space="preserve"> Alat Baru</v>
          </cell>
          <cell r="L18" t="str">
            <v>1.</v>
          </cell>
          <cell r="N18" t="e">
            <v>#REF!</v>
          </cell>
          <cell r="O18" t="str">
            <v>E01</v>
          </cell>
          <cell r="P18" t="e">
            <v>#REF!</v>
          </cell>
          <cell r="Q18" t="e">
            <v>#REF!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V18" t="e">
            <v>#REF!</v>
          </cell>
          <cell r="W18" t="e">
            <v>#REF!</v>
          </cell>
          <cell r="X18" t="e">
            <v>#REF!</v>
          </cell>
          <cell r="Y18" t="e">
            <v>#REF!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>
            <v>0</v>
          </cell>
          <cell r="AF18" t="e">
            <v>#REF!</v>
          </cell>
          <cell r="AG18" t="e">
            <v>#REF!</v>
          </cell>
          <cell r="AH18" t="e">
            <v>#REF!</v>
          </cell>
          <cell r="AI18">
            <v>5000</v>
          </cell>
          <cell r="AJ18">
            <v>15000</v>
          </cell>
          <cell r="AK18" t="e">
            <v>#REF!</v>
          </cell>
          <cell r="AL18" t="e">
            <v>#REF!</v>
          </cell>
          <cell r="AM18" t="e">
            <v>#REF!</v>
          </cell>
          <cell r="AO18" t="str">
            <v>11.</v>
          </cell>
          <cell r="AQ18" t="e">
            <v>#REF!</v>
          </cell>
          <cell r="AR18" t="str">
            <v>E11</v>
          </cell>
          <cell r="AS18" t="e">
            <v>#REF!</v>
          </cell>
          <cell r="AT18" t="e">
            <v>#REF!</v>
          </cell>
          <cell r="AU18" t="e">
            <v>#REF!</v>
          </cell>
          <cell r="AV18" t="e">
            <v>#REF!</v>
          </cell>
          <cell r="AW18" t="e">
            <v>#REF!</v>
          </cell>
          <cell r="AX18" t="e">
            <v>#REF!</v>
          </cell>
        </row>
        <row r="19">
          <cell r="D19" t="str">
            <v xml:space="preserve">  c.  Harga Alat   (*)</v>
          </cell>
          <cell r="G19" t="str">
            <v>B'</v>
          </cell>
          <cell r="H19">
            <v>350000000</v>
          </cell>
          <cell r="I19" t="str">
            <v>Rupiah</v>
          </cell>
          <cell r="J19" t="str">
            <v xml:space="preserve"> Alat Baru</v>
          </cell>
          <cell r="L19" t="str">
            <v>2.</v>
          </cell>
          <cell r="N19" t="e">
            <v>#REF!</v>
          </cell>
          <cell r="O19" t="str">
            <v>E02</v>
          </cell>
          <cell r="P19" t="e">
            <v>#REF!</v>
          </cell>
          <cell r="Q19" t="e">
            <v>#REF!</v>
          </cell>
          <cell r="R19" t="e">
            <v>#REF!</v>
          </cell>
          <cell r="S19" t="e">
            <v>#REF!</v>
          </cell>
          <cell r="T19" t="e">
            <v>#REF!</v>
          </cell>
          <cell r="U19" t="e">
            <v>#REF!</v>
          </cell>
          <cell r="V19" t="e">
            <v>#REF!</v>
          </cell>
          <cell r="W19" t="e">
            <v>#REF!</v>
          </cell>
          <cell r="X19" t="e">
            <v>#REF!</v>
          </cell>
          <cell r="Y19" t="e">
            <v>#REF!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>
            <v>0</v>
          </cell>
          <cell r="AF19" t="e">
            <v>#REF!</v>
          </cell>
          <cell r="AG19" t="e">
            <v>#REF!</v>
          </cell>
          <cell r="AH19" t="e">
            <v>#REF!</v>
          </cell>
          <cell r="AI19">
            <v>5000</v>
          </cell>
          <cell r="AJ19">
            <v>5000</v>
          </cell>
          <cell r="AK19" t="e">
            <v>#REF!</v>
          </cell>
          <cell r="AL19" t="e">
            <v>#REF!</v>
          </cell>
          <cell r="AM19" t="e">
            <v>#REF!</v>
          </cell>
          <cell r="AO19" t="str">
            <v>12.</v>
          </cell>
          <cell r="AQ19" t="e">
            <v>#REF!</v>
          </cell>
          <cell r="AR19" t="str">
            <v>E12</v>
          </cell>
          <cell r="AS19" t="e">
            <v>#REF!</v>
          </cell>
          <cell r="AT19" t="e">
            <v>#REF!</v>
          </cell>
          <cell r="AU19" t="e">
            <v>#REF!</v>
          </cell>
          <cell r="AV19" t="e">
            <v>#REF!</v>
          </cell>
          <cell r="AW19" t="e">
            <v>#REF!</v>
          </cell>
          <cell r="AX19" t="e">
            <v>#REF!</v>
          </cell>
        </row>
        <row r="20">
          <cell r="L20" t="str">
            <v>3.</v>
          </cell>
          <cell r="N20" t="e">
            <v>#REF!</v>
          </cell>
          <cell r="O20" t="str">
            <v>E03</v>
          </cell>
          <cell r="P20" t="e">
            <v>#REF!</v>
          </cell>
          <cell r="Q20" t="e">
            <v>#REF!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V20" t="e">
            <v>#REF!</v>
          </cell>
          <cell r="W20" t="e">
            <v>#REF!</v>
          </cell>
          <cell r="X20" t="e">
            <v>#REF!</v>
          </cell>
          <cell r="Y20" t="e">
            <v>#REF!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>
            <v>0</v>
          </cell>
          <cell r="AF20" t="e">
            <v>#REF!</v>
          </cell>
          <cell r="AG20" t="e">
            <v>#REF!</v>
          </cell>
          <cell r="AH20" t="e">
            <v>#REF!</v>
          </cell>
          <cell r="AI20">
            <v>5000</v>
          </cell>
          <cell r="AJ20">
            <v>5000</v>
          </cell>
          <cell r="AK20" t="e">
            <v>#REF!</v>
          </cell>
          <cell r="AL20" t="e">
            <v>#REF!</v>
          </cell>
          <cell r="AM20" t="e">
            <v>#REF!</v>
          </cell>
          <cell r="AO20" t="str">
            <v>13.</v>
          </cell>
          <cell r="AQ20" t="e">
            <v>#REF!</v>
          </cell>
          <cell r="AR20" t="str">
            <v>E13</v>
          </cell>
          <cell r="AS20" t="e">
            <v>#REF!</v>
          </cell>
          <cell r="AT20" t="e">
            <v>#REF!</v>
          </cell>
          <cell r="AU20" t="e">
            <v>#REF!</v>
          </cell>
          <cell r="AV20" t="e">
            <v>#REF!</v>
          </cell>
          <cell r="AW20" t="e">
            <v>#REF!</v>
          </cell>
          <cell r="AX20" t="e">
            <v>#REF!</v>
          </cell>
        </row>
        <row r="21">
          <cell r="A21" t="str">
            <v>B.</v>
          </cell>
          <cell r="C21" t="str">
            <v>BIAYA PASTI PER JAM KERJA</v>
          </cell>
          <cell r="L21" t="str">
            <v>4.</v>
          </cell>
          <cell r="N21" t="e">
            <v>#REF!</v>
          </cell>
          <cell r="O21" t="str">
            <v>E04</v>
          </cell>
          <cell r="P21" t="e">
            <v>#REF!</v>
          </cell>
          <cell r="Q21" t="e">
            <v>#REF!</v>
          </cell>
          <cell r="R21" t="e">
            <v>#REF!</v>
          </cell>
          <cell r="S21" t="e">
            <v>#REF!</v>
          </cell>
          <cell r="T21" t="e">
            <v>#REF!</v>
          </cell>
          <cell r="U21" t="e">
            <v>#REF!</v>
          </cell>
          <cell r="V21" t="e">
            <v>#REF!</v>
          </cell>
          <cell r="W21" t="e">
            <v>#REF!</v>
          </cell>
          <cell r="X21" t="e">
            <v>#REF!</v>
          </cell>
          <cell r="Y21" t="e">
            <v>#REF!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>
            <v>0</v>
          </cell>
          <cell r="AF21" t="e">
            <v>#REF!</v>
          </cell>
          <cell r="AG21" t="e">
            <v>#REF!</v>
          </cell>
          <cell r="AH21" t="e">
            <v>#REF!</v>
          </cell>
          <cell r="AI21">
            <v>5000</v>
          </cell>
          <cell r="AJ21">
            <v>5000</v>
          </cell>
          <cell r="AK21" t="e">
            <v>#REF!</v>
          </cell>
          <cell r="AL21" t="e">
            <v>#REF!</v>
          </cell>
          <cell r="AM21" t="e">
            <v>#REF!</v>
          </cell>
          <cell r="AO21" t="str">
            <v>14.</v>
          </cell>
          <cell r="AQ21" t="e">
            <v>#REF!</v>
          </cell>
          <cell r="AR21" t="str">
            <v>E14</v>
          </cell>
          <cell r="AS21" t="e">
            <v>#REF!</v>
          </cell>
          <cell r="AT21" t="e">
            <v>#REF!</v>
          </cell>
          <cell r="AU21" t="e">
            <v>#REF!</v>
          </cell>
          <cell r="AV21" t="e">
            <v>#REF!</v>
          </cell>
          <cell r="AW21" t="e">
            <v>#REF!</v>
          </cell>
          <cell r="AX21" t="e">
            <v>#REF!</v>
          </cell>
        </row>
        <row r="22">
          <cell r="A22" t="str">
            <v xml:space="preserve">       1.</v>
          </cell>
          <cell r="C22" t="str">
            <v>Nilai Sisa Alat</v>
          </cell>
          <cell r="D22" t="str">
            <v>=  10 % x B</v>
          </cell>
          <cell r="G22" t="str">
            <v>C</v>
          </cell>
          <cell r="H22">
            <v>35000000</v>
          </cell>
          <cell r="I22" t="str">
            <v>Rupiah</v>
          </cell>
          <cell r="L22" t="str">
            <v>5.</v>
          </cell>
          <cell r="N22" t="e">
            <v>#REF!</v>
          </cell>
          <cell r="O22" t="str">
            <v>E05</v>
          </cell>
          <cell r="P22" t="e">
            <v>#REF!</v>
          </cell>
          <cell r="Q22" t="e">
            <v>#REF!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V22" t="e">
            <v>#REF!</v>
          </cell>
          <cell r="W22" t="e">
            <v>#REF!</v>
          </cell>
          <cell r="X22" t="e">
            <v>#REF!</v>
          </cell>
          <cell r="Y22" t="e">
            <v>#REF!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>
            <v>0</v>
          </cell>
          <cell r="AF22" t="e">
            <v>#REF!</v>
          </cell>
          <cell r="AG22" t="e">
            <v>#REF!</v>
          </cell>
          <cell r="AH22" t="e">
            <v>#REF!</v>
          </cell>
          <cell r="AI22">
            <v>5000</v>
          </cell>
          <cell r="AJ22">
            <v>5000</v>
          </cell>
          <cell r="AK22" t="e">
            <v>#REF!</v>
          </cell>
          <cell r="AL22" t="e">
            <v>#REF!</v>
          </cell>
          <cell r="AM22" t="e">
            <v>#REF!</v>
          </cell>
          <cell r="AO22" t="str">
            <v>15.</v>
          </cell>
          <cell r="AQ22" t="str">
            <v>WHEEL LOADER 1.0-1.6 M3</v>
          </cell>
          <cell r="AR22" t="str">
            <v>E15</v>
          </cell>
          <cell r="AS22">
            <v>105</v>
          </cell>
          <cell r="AT22">
            <v>1.5</v>
          </cell>
          <cell r="AU22" t="str">
            <v>M3</v>
          </cell>
          <cell r="AV22">
            <v>850000000</v>
          </cell>
          <cell r="AW22">
            <v>367000.23650827777</v>
          </cell>
          <cell r="AX22" t="str">
            <v xml:space="preserve"> Alat Baru</v>
          </cell>
        </row>
        <row r="23">
          <cell r="L23" t="str">
            <v>6.</v>
          </cell>
          <cell r="N23" t="e">
            <v>#REF!</v>
          </cell>
          <cell r="O23" t="str">
            <v>E06</v>
          </cell>
          <cell r="P23" t="e">
            <v>#REF!</v>
          </cell>
          <cell r="Q23" t="e">
            <v>#REF!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V23" t="e">
            <v>#REF!</v>
          </cell>
          <cell r="W23" t="e">
            <v>#REF!</v>
          </cell>
          <cell r="X23" t="e">
            <v>#REF!</v>
          </cell>
          <cell r="Y23" t="e">
            <v>#REF!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>
            <v>0</v>
          </cell>
          <cell r="AF23" t="e">
            <v>#REF!</v>
          </cell>
          <cell r="AG23" t="e">
            <v>#REF!</v>
          </cell>
          <cell r="AH23" t="e">
            <v>#REF!</v>
          </cell>
          <cell r="AI23">
            <v>5000</v>
          </cell>
          <cell r="AJ23">
            <v>5000</v>
          </cell>
          <cell r="AK23" t="e">
            <v>#REF!</v>
          </cell>
          <cell r="AL23" t="e">
            <v>#REF!</v>
          </cell>
          <cell r="AM23" t="e">
            <v>#REF!</v>
          </cell>
          <cell r="AO23" t="str">
            <v>16.</v>
          </cell>
          <cell r="AQ23" t="e">
            <v>#REF!</v>
          </cell>
          <cell r="AR23" t="str">
            <v>E16</v>
          </cell>
          <cell r="AS23" t="e">
            <v>#REF!</v>
          </cell>
          <cell r="AT23" t="e">
            <v>#REF!</v>
          </cell>
          <cell r="AU23" t="e">
            <v>#REF!</v>
          </cell>
          <cell r="AV23" t="e">
            <v>#REF!</v>
          </cell>
          <cell r="AW23" t="e">
            <v>#REF!</v>
          </cell>
          <cell r="AX23" t="e">
            <v>#REF!</v>
          </cell>
        </row>
        <row r="24">
          <cell r="A24" t="str">
            <v xml:space="preserve">       2.</v>
          </cell>
          <cell r="C24" t="str">
            <v>Faktor Angsuran Modal    =</v>
          </cell>
          <cell r="E24" t="str">
            <v>i x (1 + i)^A'</v>
          </cell>
          <cell r="G24" t="str">
            <v>D</v>
          </cell>
          <cell r="H24">
            <v>0.33437970328961514</v>
          </cell>
          <cell r="I24" t="str">
            <v>-</v>
          </cell>
          <cell r="L24" t="str">
            <v>7.</v>
          </cell>
          <cell r="N24" t="e">
            <v>#REF!</v>
          </cell>
          <cell r="O24" t="str">
            <v>E07</v>
          </cell>
          <cell r="P24" t="e">
            <v>#REF!</v>
          </cell>
          <cell r="Q24" t="e">
            <v>#REF!</v>
          </cell>
          <cell r="R24" t="e">
            <v>#REF!</v>
          </cell>
          <cell r="S24" t="e">
            <v>#REF!</v>
          </cell>
          <cell r="T24" t="e">
            <v>#REF!</v>
          </cell>
          <cell r="U24" t="e">
            <v>#REF!</v>
          </cell>
          <cell r="V24" t="e">
            <v>#REF!</v>
          </cell>
          <cell r="W24" t="e">
            <v>#REF!</v>
          </cell>
          <cell r="X24" t="e">
            <v>#REF!</v>
          </cell>
          <cell r="Y24" t="e">
            <v>#REF!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>
            <v>0</v>
          </cell>
          <cell r="AF24" t="e">
            <v>#REF!</v>
          </cell>
          <cell r="AG24" t="e">
            <v>#REF!</v>
          </cell>
          <cell r="AH24" t="e">
            <v>#REF!</v>
          </cell>
          <cell r="AI24">
            <v>5000</v>
          </cell>
          <cell r="AJ24">
            <v>5000</v>
          </cell>
          <cell r="AK24" t="e">
            <v>#REF!</v>
          </cell>
          <cell r="AL24" t="e">
            <v>#REF!</v>
          </cell>
          <cell r="AM24" t="e">
            <v>#REF!</v>
          </cell>
          <cell r="AO24" t="str">
            <v>17.</v>
          </cell>
          <cell r="AQ24" t="e">
            <v>#REF!</v>
          </cell>
          <cell r="AR24" t="str">
            <v>E17</v>
          </cell>
          <cell r="AS24" t="e">
            <v>#REF!</v>
          </cell>
          <cell r="AT24" t="e">
            <v>#REF!</v>
          </cell>
          <cell r="AU24" t="e">
            <v>#REF!</v>
          </cell>
          <cell r="AV24" t="e">
            <v>#REF!</v>
          </cell>
          <cell r="AW24" t="e">
            <v>#REF!</v>
          </cell>
          <cell r="AX24" t="e">
            <v>#REF!</v>
          </cell>
        </row>
        <row r="25">
          <cell r="E25" t="str">
            <v>(1 + i)^A' - 1</v>
          </cell>
          <cell r="L25" t="str">
            <v>8.</v>
          </cell>
          <cell r="N25" t="e">
            <v>#REF!</v>
          </cell>
          <cell r="O25" t="str">
            <v>E08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>
            <v>0</v>
          </cell>
          <cell r="AF25" t="e">
            <v>#REF!</v>
          </cell>
          <cell r="AG25" t="e">
            <v>#REF!</v>
          </cell>
          <cell r="AH25" t="e">
            <v>#REF!</v>
          </cell>
          <cell r="AI25">
            <v>5000</v>
          </cell>
          <cell r="AJ25">
            <v>5000</v>
          </cell>
          <cell r="AK25" t="e">
            <v>#REF!</v>
          </cell>
          <cell r="AL25" t="e">
            <v>#REF!</v>
          </cell>
          <cell r="AM25" t="e">
            <v>#REF!</v>
          </cell>
          <cell r="AO25" t="str">
            <v>18.</v>
          </cell>
          <cell r="AQ25" t="e">
            <v>#REF!</v>
          </cell>
          <cell r="AR25" t="str">
            <v>E18</v>
          </cell>
          <cell r="AS25" t="e">
            <v>#REF!</v>
          </cell>
          <cell r="AT25" t="e">
            <v>#REF!</v>
          </cell>
          <cell r="AU25" t="e">
            <v>#REF!</v>
          </cell>
          <cell r="AV25" t="e">
            <v>#REF!</v>
          </cell>
          <cell r="AW25" t="e">
            <v>#REF!</v>
          </cell>
          <cell r="AX25" t="e">
            <v>#REF!</v>
          </cell>
        </row>
        <row r="26">
          <cell r="A26" t="str">
            <v xml:space="preserve">       3.</v>
          </cell>
          <cell r="C26" t="str">
            <v>Biaya Pasti per Jam  :</v>
          </cell>
          <cell r="L26" t="str">
            <v>9.</v>
          </cell>
          <cell r="N26" t="str">
            <v>DUMP TRUCK</v>
          </cell>
          <cell r="O26" t="str">
            <v>E09</v>
          </cell>
          <cell r="P26">
            <v>125</v>
          </cell>
          <cell r="Q26">
            <v>8</v>
          </cell>
          <cell r="R26" t="str">
            <v>Ton</v>
          </cell>
          <cell r="S26">
            <v>350000000</v>
          </cell>
          <cell r="T26">
            <v>5</v>
          </cell>
          <cell r="U26">
            <v>2000</v>
          </cell>
          <cell r="V26">
            <v>350000000</v>
          </cell>
          <cell r="W26">
            <v>35000000</v>
          </cell>
          <cell r="X26">
            <v>0.33437970328961514</v>
          </cell>
          <cell r="Y26">
            <v>52664.803268114381</v>
          </cell>
          <cell r="Z26">
            <v>350</v>
          </cell>
          <cell r="AA26">
            <v>53014.803268114381</v>
          </cell>
          <cell r="AB26">
            <v>0.125</v>
          </cell>
          <cell r="AC26">
            <v>0.01</v>
          </cell>
          <cell r="AD26">
            <v>84375</v>
          </cell>
          <cell r="AE26">
            <v>0</v>
          </cell>
          <cell r="AF26">
            <v>0</v>
          </cell>
          <cell r="AG26">
            <v>0.125</v>
          </cell>
          <cell r="AH26">
            <v>21875</v>
          </cell>
          <cell r="AI26">
            <v>5000</v>
          </cell>
          <cell r="AJ26">
            <v>5000</v>
          </cell>
          <cell r="AK26">
            <v>116250</v>
          </cell>
          <cell r="AL26">
            <v>169264.8032681144</v>
          </cell>
          <cell r="AM26" t="str">
            <v xml:space="preserve"> Alat Baru</v>
          </cell>
          <cell r="AO26" t="str">
            <v>19.</v>
          </cell>
          <cell r="AQ26" t="e">
            <v>#REF!</v>
          </cell>
          <cell r="AR26" t="str">
            <v>E19</v>
          </cell>
          <cell r="AS26" t="e">
            <v>#REF!</v>
          </cell>
          <cell r="AT26" t="e">
            <v>#REF!</v>
          </cell>
          <cell r="AU26" t="e">
            <v>#REF!</v>
          </cell>
          <cell r="AV26" t="e">
            <v>#REF!</v>
          </cell>
          <cell r="AW26" t="e">
            <v>#REF!</v>
          </cell>
          <cell r="AX26" t="e">
            <v>#REF!</v>
          </cell>
        </row>
        <row r="27">
          <cell r="C27" t="str">
            <v>a.  Biaya Pengembalian Modal  =</v>
          </cell>
          <cell r="E27" t="str">
            <v>( B' - C ) x D</v>
          </cell>
          <cell r="G27" t="str">
            <v>E</v>
          </cell>
          <cell r="H27">
            <v>52664.803268114381</v>
          </cell>
          <cell r="I27" t="str">
            <v>Rupiah</v>
          </cell>
          <cell r="L27" t="str">
            <v>10.</v>
          </cell>
          <cell r="N27" t="str">
            <v>EXCAVATOR 80-140 HP</v>
          </cell>
          <cell r="O27" t="str">
            <v>E10</v>
          </cell>
          <cell r="P27">
            <v>80</v>
          </cell>
          <cell r="Q27">
            <v>0.5</v>
          </cell>
          <cell r="R27" t="str">
            <v>M3</v>
          </cell>
          <cell r="S27">
            <v>1200000000</v>
          </cell>
          <cell r="T27">
            <v>5</v>
          </cell>
          <cell r="U27">
            <v>2000</v>
          </cell>
          <cell r="V27">
            <v>1200000000</v>
          </cell>
          <cell r="W27">
            <v>120000000</v>
          </cell>
          <cell r="X27">
            <v>0.33437970328961514</v>
          </cell>
          <cell r="Y27">
            <v>180565.03977639216</v>
          </cell>
          <cell r="Z27">
            <v>1200</v>
          </cell>
          <cell r="AA27">
            <v>181765.03977639216</v>
          </cell>
          <cell r="AB27">
            <v>0.125</v>
          </cell>
          <cell r="AC27">
            <v>0.01</v>
          </cell>
          <cell r="AD27">
            <v>54000</v>
          </cell>
          <cell r="AE27">
            <v>0</v>
          </cell>
          <cell r="AF27">
            <v>0</v>
          </cell>
          <cell r="AG27">
            <v>0.125</v>
          </cell>
          <cell r="AH27">
            <v>75000</v>
          </cell>
          <cell r="AI27">
            <v>5000</v>
          </cell>
          <cell r="AJ27">
            <v>5000</v>
          </cell>
          <cell r="AK27">
            <v>139000</v>
          </cell>
          <cell r="AL27">
            <v>320765.03977639216</v>
          </cell>
          <cell r="AM27" t="str">
            <v xml:space="preserve"> Alat Baru</v>
          </cell>
          <cell r="AO27" t="str">
            <v>20.</v>
          </cell>
          <cell r="AQ27" t="e">
            <v>#REF!</v>
          </cell>
          <cell r="AR27" t="str">
            <v>E20</v>
          </cell>
          <cell r="AS27" t="e">
            <v>#REF!</v>
          </cell>
          <cell r="AT27" t="e">
            <v>#REF!</v>
          </cell>
          <cell r="AU27" t="e">
            <v>#REF!</v>
          </cell>
          <cell r="AV27" t="e">
            <v>#REF!</v>
          </cell>
          <cell r="AW27" t="e">
            <v>#REF!</v>
          </cell>
          <cell r="AX27" t="e">
            <v>#REF!</v>
          </cell>
        </row>
        <row r="28">
          <cell r="E28" t="str">
            <v>W'</v>
          </cell>
          <cell r="L28" t="str">
            <v>11.</v>
          </cell>
          <cell r="N28" t="e">
            <v>#REF!</v>
          </cell>
          <cell r="O28" t="str">
            <v>E11</v>
          </cell>
          <cell r="P28" t="e">
            <v>#REF!</v>
          </cell>
          <cell r="Q28" t="e">
            <v>#REF!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V28" t="e">
            <v>#REF!</v>
          </cell>
          <cell r="W28" t="e">
            <v>#REF!</v>
          </cell>
          <cell r="X28" t="e">
            <v>#REF!</v>
          </cell>
          <cell r="Y28" t="e">
            <v>#REF!</v>
          </cell>
          <cell r="Z28" t="e">
            <v>#REF!</v>
          </cell>
          <cell r="AA28" t="e">
            <v>#REF!</v>
          </cell>
          <cell r="AB28" t="e">
            <v>#REF!</v>
          </cell>
          <cell r="AC28" t="e">
            <v>#REF!</v>
          </cell>
          <cell r="AD28" t="e">
            <v>#REF!</v>
          </cell>
          <cell r="AE28">
            <v>0</v>
          </cell>
          <cell r="AF28" t="e">
            <v>#REF!</v>
          </cell>
          <cell r="AG28" t="e">
            <v>#REF!</v>
          </cell>
          <cell r="AH28" t="e">
            <v>#REF!</v>
          </cell>
          <cell r="AI28">
            <v>5000</v>
          </cell>
          <cell r="AJ28">
            <v>5000</v>
          </cell>
          <cell r="AK28" t="e">
            <v>#REF!</v>
          </cell>
          <cell r="AL28" t="e">
            <v>#REF!</v>
          </cell>
          <cell r="AM28" t="e">
            <v>#REF!</v>
          </cell>
          <cell r="AO28" t="str">
            <v>21.</v>
          </cell>
          <cell r="AQ28" t="e">
            <v>#REF!</v>
          </cell>
          <cell r="AR28" t="str">
            <v>E21</v>
          </cell>
          <cell r="AS28" t="e">
            <v>#REF!</v>
          </cell>
          <cell r="AT28" t="e">
            <v>#REF!</v>
          </cell>
          <cell r="AU28" t="e">
            <v>#REF!</v>
          </cell>
          <cell r="AV28" t="e">
            <v>#REF!</v>
          </cell>
          <cell r="AW28" t="e">
            <v>#REF!</v>
          </cell>
          <cell r="AX28" t="e">
            <v>#REF!</v>
          </cell>
        </row>
        <row r="29">
          <cell r="L29" t="str">
            <v>12.</v>
          </cell>
          <cell r="N29" t="e">
            <v>#REF!</v>
          </cell>
          <cell r="O29" t="str">
            <v>E12</v>
          </cell>
          <cell r="P29" t="e">
            <v>#REF!</v>
          </cell>
          <cell r="Q29" t="e">
            <v>#REF!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V29" t="e">
            <v>#REF!</v>
          </cell>
          <cell r="W29" t="e">
            <v>#REF!</v>
          </cell>
          <cell r="X29" t="e">
            <v>#REF!</v>
          </cell>
          <cell r="Y29" t="e">
            <v>#REF!</v>
          </cell>
          <cell r="Z29" t="e">
            <v>#REF!</v>
          </cell>
          <cell r="AA29" t="e">
            <v>#REF!</v>
          </cell>
          <cell r="AB29" t="e">
            <v>#REF!</v>
          </cell>
          <cell r="AC29" t="e">
            <v>#REF!</v>
          </cell>
          <cell r="AD29" t="e">
            <v>#REF!</v>
          </cell>
          <cell r="AE29">
            <v>0</v>
          </cell>
          <cell r="AF29" t="e">
            <v>#REF!</v>
          </cell>
          <cell r="AG29" t="e">
            <v>#REF!</v>
          </cell>
          <cell r="AH29" t="e">
            <v>#REF!</v>
          </cell>
          <cell r="AI29">
            <v>5000</v>
          </cell>
          <cell r="AJ29">
            <v>5000</v>
          </cell>
          <cell r="AK29" t="e">
            <v>#REF!</v>
          </cell>
          <cell r="AL29" t="e">
            <v>#REF!</v>
          </cell>
          <cell r="AM29" t="e">
            <v>#REF!</v>
          </cell>
          <cell r="AO29" t="str">
            <v>22.</v>
          </cell>
          <cell r="AQ29" t="e">
            <v>#REF!</v>
          </cell>
          <cell r="AR29" t="str">
            <v>E22</v>
          </cell>
          <cell r="AS29" t="e">
            <v>#REF!</v>
          </cell>
          <cell r="AT29" t="e">
            <v>#REF!</v>
          </cell>
          <cell r="AU29" t="e">
            <v>#REF!</v>
          </cell>
          <cell r="AV29" t="e">
            <v>#REF!</v>
          </cell>
          <cell r="AW29" t="e">
            <v>#REF!</v>
          </cell>
          <cell r="AX29" t="e">
            <v>#REF!</v>
          </cell>
        </row>
        <row r="30">
          <cell r="C30" t="str">
            <v>b.  Asuransi, dll =</v>
          </cell>
          <cell r="D30">
            <v>2E-3</v>
          </cell>
          <cell r="E30" t="str">
            <v xml:space="preserve">  x   B'</v>
          </cell>
          <cell r="G30" t="str">
            <v>F</v>
          </cell>
          <cell r="H30">
            <v>350</v>
          </cell>
          <cell r="I30" t="str">
            <v>Rupiah</v>
          </cell>
          <cell r="L30" t="str">
            <v>13.</v>
          </cell>
          <cell r="N30" t="e">
            <v>#REF!</v>
          </cell>
          <cell r="O30" t="str">
            <v>E13</v>
          </cell>
          <cell r="P30" t="e">
            <v>#REF!</v>
          </cell>
          <cell r="Q30" t="e">
            <v>#REF!</v>
          </cell>
          <cell r="R30" t="e">
            <v>#REF!</v>
          </cell>
          <cell r="S30" t="e">
            <v>#REF!</v>
          </cell>
          <cell r="T30" t="e">
            <v>#REF!</v>
          </cell>
          <cell r="U30" t="e">
            <v>#REF!</v>
          </cell>
          <cell r="V30" t="e">
            <v>#REF!</v>
          </cell>
          <cell r="W30" t="e">
            <v>#REF!</v>
          </cell>
          <cell r="X30" t="e">
            <v>#REF!</v>
          </cell>
          <cell r="Y30" t="e">
            <v>#REF!</v>
          </cell>
          <cell r="Z30" t="e">
            <v>#REF!</v>
          </cell>
          <cell r="AA30" t="e">
            <v>#REF!</v>
          </cell>
          <cell r="AB30" t="e">
            <v>#REF!</v>
          </cell>
          <cell r="AC30" t="e">
            <v>#REF!</v>
          </cell>
          <cell r="AD30" t="e">
            <v>#REF!</v>
          </cell>
          <cell r="AE30">
            <v>0</v>
          </cell>
          <cell r="AF30" t="e">
            <v>#REF!</v>
          </cell>
          <cell r="AG30" t="e">
            <v>#REF!</v>
          </cell>
          <cell r="AH30" t="e">
            <v>#REF!</v>
          </cell>
          <cell r="AI30">
            <v>5000</v>
          </cell>
          <cell r="AJ30">
            <v>5000</v>
          </cell>
          <cell r="AK30" t="e">
            <v>#REF!</v>
          </cell>
          <cell r="AL30" t="e">
            <v>#REF!</v>
          </cell>
          <cell r="AM30" t="e">
            <v>#REF!</v>
          </cell>
          <cell r="AO30" t="str">
            <v>23.</v>
          </cell>
          <cell r="AQ30" t="e">
            <v>#REF!</v>
          </cell>
          <cell r="AR30" t="str">
            <v>E23</v>
          </cell>
          <cell r="AS30" t="e">
            <v>#REF!</v>
          </cell>
          <cell r="AT30" t="e">
            <v>#REF!</v>
          </cell>
          <cell r="AU30" t="e">
            <v>#REF!</v>
          </cell>
          <cell r="AV30" t="e">
            <v>#REF!</v>
          </cell>
          <cell r="AW30" t="e">
            <v>#REF!</v>
          </cell>
          <cell r="AX30" t="e">
            <v>#REF!</v>
          </cell>
        </row>
        <row r="31">
          <cell r="E31" t="str">
            <v>W'</v>
          </cell>
          <cell r="L31" t="str">
            <v>14.</v>
          </cell>
          <cell r="N31" t="e">
            <v>#REF!</v>
          </cell>
          <cell r="O31" t="str">
            <v>E14</v>
          </cell>
          <cell r="P31" t="e">
            <v>#REF!</v>
          </cell>
          <cell r="Q31" t="e">
            <v>#REF!</v>
          </cell>
          <cell r="R31" t="e">
            <v>#REF!</v>
          </cell>
          <cell r="S31" t="e">
            <v>#REF!</v>
          </cell>
          <cell r="T31" t="e">
            <v>#REF!</v>
          </cell>
          <cell r="U31" t="e">
            <v>#REF!</v>
          </cell>
          <cell r="V31" t="e">
            <v>#REF!</v>
          </cell>
          <cell r="W31" t="e">
            <v>#REF!</v>
          </cell>
          <cell r="X31" t="e">
            <v>#REF!</v>
          </cell>
          <cell r="Y31" t="e">
            <v>#REF!</v>
          </cell>
          <cell r="Z31" t="e">
            <v>#REF!</v>
          </cell>
          <cell r="AA31" t="e">
            <v>#REF!</v>
          </cell>
          <cell r="AB31" t="e">
            <v>#REF!</v>
          </cell>
          <cell r="AC31" t="e">
            <v>#REF!</v>
          </cell>
          <cell r="AD31" t="e">
            <v>#REF!</v>
          </cell>
          <cell r="AE31">
            <v>0</v>
          </cell>
          <cell r="AF31" t="e">
            <v>#REF!</v>
          </cell>
          <cell r="AG31" t="e">
            <v>#REF!</v>
          </cell>
          <cell r="AH31" t="e">
            <v>#REF!</v>
          </cell>
          <cell r="AI31">
            <v>5000</v>
          </cell>
          <cell r="AJ31">
            <v>5000</v>
          </cell>
          <cell r="AK31" t="e">
            <v>#REF!</v>
          </cell>
          <cell r="AL31" t="e">
            <v>#REF!</v>
          </cell>
          <cell r="AM31" t="e">
            <v>#REF!</v>
          </cell>
          <cell r="AO31" t="str">
            <v>24.</v>
          </cell>
          <cell r="AQ31" t="e">
            <v>#REF!</v>
          </cell>
          <cell r="AR31" t="str">
            <v>E24</v>
          </cell>
          <cell r="AS31" t="e">
            <v>#REF!</v>
          </cell>
          <cell r="AT31" t="e">
            <v>#REF!</v>
          </cell>
          <cell r="AU31" t="e">
            <v>#REF!</v>
          </cell>
          <cell r="AV31" t="e">
            <v>#REF!</v>
          </cell>
          <cell r="AW31" t="e">
            <v>#REF!</v>
          </cell>
          <cell r="AX31" t="e">
            <v>#REF!</v>
          </cell>
        </row>
        <row r="32">
          <cell r="L32" t="str">
            <v>15.</v>
          </cell>
          <cell r="N32" t="str">
            <v>WHEEL LOADER 1.0-1.6 M3</v>
          </cell>
          <cell r="O32" t="str">
            <v>E15</v>
          </cell>
          <cell r="P32">
            <v>105</v>
          </cell>
          <cell r="Q32">
            <v>1.5</v>
          </cell>
          <cell r="R32" t="str">
            <v>M3</v>
          </cell>
          <cell r="S32">
            <v>850000000</v>
          </cell>
          <cell r="T32">
            <v>5</v>
          </cell>
          <cell r="U32">
            <v>2000</v>
          </cell>
          <cell r="V32">
            <v>850000000</v>
          </cell>
          <cell r="W32">
            <v>85000000</v>
          </cell>
          <cell r="X32">
            <v>0.33437970328961514</v>
          </cell>
          <cell r="Y32">
            <v>127900.23650827778</v>
          </cell>
          <cell r="Z32">
            <v>850</v>
          </cell>
          <cell r="AA32">
            <v>128750.23650827778</v>
          </cell>
          <cell r="AB32">
            <v>0.125</v>
          </cell>
          <cell r="AC32">
            <v>0.01</v>
          </cell>
          <cell r="AD32">
            <v>70875</v>
          </cell>
          <cell r="AE32">
            <v>0</v>
          </cell>
          <cell r="AF32">
            <v>0</v>
          </cell>
          <cell r="AG32">
            <v>0.125</v>
          </cell>
          <cell r="AH32">
            <v>53125</v>
          </cell>
          <cell r="AI32">
            <v>5000</v>
          </cell>
          <cell r="AJ32">
            <v>5000</v>
          </cell>
          <cell r="AK32">
            <v>134000</v>
          </cell>
          <cell r="AL32">
            <v>262750.23650827777</v>
          </cell>
          <cell r="AM32" t="str">
            <v xml:space="preserve"> Alat Baru</v>
          </cell>
          <cell r="AO32" t="str">
            <v>25.</v>
          </cell>
          <cell r="AQ32" t="e">
            <v>#REF!</v>
          </cell>
          <cell r="AR32" t="str">
            <v>E25</v>
          </cell>
          <cell r="AS32" t="e">
            <v>#REF!</v>
          </cell>
          <cell r="AT32" t="e">
            <v>#REF!</v>
          </cell>
          <cell r="AU32" t="e">
            <v>#REF!</v>
          </cell>
          <cell r="AV32" t="e">
            <v>#REF!</v>
          </cell>
          <cell r="AW32" t="e">
            <v>#REF!</v>
          </cell>
          <cell r="AX32" t="e">
            <v>#REF!</v>
          </cell>
        </row>
        <row r="33">
          <cell r="C33" t="str">
            <v>Biaya Pasti per Jam             =</v>
          </cell>
          <cell r="E33" t="str">
            <v>( E + F )</v>
          </cell>
          <cell r="G33" t="str">
            <v>G</v>
          </cell>
          <cell r="H33">
            <v>53014.803268114381</v>
          </cell>
          <cell r="I33" t="str">
            <v>Rupiah</v>
          </cell>
          <cell r="L33" t="str">
            <v>16.</v>
          </cell>
          <cell r="N33" t="e">
            <v>#REF!</v>
          </cell>
          <cell r="O33" t="str">
            <v>E16</v>
          </cell>
          <cell r="P33" t="e">
            <v>#REF!</v>
          </cell>
          <cell r="Q33" t="e">
            <v>#REF!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V33" t="e">
            <v>#REF!</v>
          </cell>
          <cell r="W33" t="e">
            <v>#REF!</v>
          </cell>
          <cell r="X33" t="e">
            <v>#REF!</v>
          </cell>
          <cell r="Y33" t="e">
            <v>#REF!</v>
          </cell>
          <cell r="Z33" t="e">
            <v>#REF!</v>
          </cell>
          <cell r="AA33" t="e">
            <v>#REF!</v>
          </cell>
          <cell r="AB33" t="e">
            <v>#REF!</v>
          </cell>
          <cell r="AC33" t="e">
            <v>#REF!</v>
          </cell>
          <cell r="AD33" t="e">
            <v>#REF!</v>
          </cell>
          <cell r="AE33">
            <v>0</v>
          </cell>
          <cell r="AF33" t="e">
            <v>#REF!</v>
          </cell>
          <cell r="AG33" t="e">
            <v>#REF!</v>
          </cell>
          <cell r="AH33" t="e">
            <v>#REF!</v>
          </cell>
          <cell r="AI33">
            <v>5000</v>
          </cell>
          <cell r="AJ33">
            <v>5000</v>
          </cell>
          <cell r="AK33" t="e">
            <v>#REF!</v>
          </cell>
          <cell r="AL33" t="e">
            <v>#REF!</v>
          </cell>
          <cell r="AM33" t="e">
            <v>#REF!</v>
          </cell>
          <cell r="AO33" t="str">
            <v>26.</v>
          </cell>
          <cell r="AQ33" t="e">
            <v>#REF!</v>
          </cell>
          <cell r="AR33" t="str">
            <v>E26</v>
          </cell>
          <cell r="AS33" t="e">
            <v>#REF!</v>
          </cell>
          <cell r="AT33" t="e">
            <v>#REF!</v>
          </cell>
          <cell r="AU33" t="e">
            <v>#REF!</v>
          </cell>
          <cell r="AV33" t="e">
            <v>#REF!</v>
          </cell>
          <cell r="AW33" t="e">
            <v>#REF!</v>
          </cell>
          <cell r="AX33" t="e">
            <v>#REF!</v>
          </cell>
        </row>
        <row r="34">
          <cell r="L34" t="str">
            <v>17.</v>
          </cell>
          <cell r="N34" t="e">
            <v>#REF!</v>
          </cell>
          <cell r="O34" t="str">
            <v>E17</v>
          </cell>
          <cell r="P34" t="e">
            <v>#REF!</v>
          </cell>
          <cell r="Q34" t="e">
            <v>#REF!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V34" t="e">
            <v>#REF!</v>
          </cell>
          <cell r="W34" t="e">
            <v>#REF!</v>
          </cell>
          <cell r="X34" t="e">
            <v>#REF!</v>
          </cell>
          <cell r="Y34" t="e">
            <v>#REF!</v>
          </cell>
          <cell r="Z34" t="e">
            <v>#REF!</v>
          </cell>
          <cell r="AA34" t="e">
            <v>#REF!</v>
          </cell>
          <cell r="AB34" t="e">
            <v>#REF!</v>
          </cell>
          <cell r="AC34" t="e">
            <v>#REF!</v>
          </cell>
          <cell r="AD34" t="e">
            <v>#REF!</v>
          </cell>
          <cell r="AE34">
            <v>0</v>
          </cell>
          <cell r="AF34" t="e">
            <v>#REF!</v>
          </cell>
          <cell r="AG34" t="e">
            <v>#REF!</v>
          </cell>
          <cell r="AH34" t="e">
            <v>#REF!</v>
          </cell>
          <cell r="AI34">
            <v>5000</v>
          </cell>
          <cell r="AJ34">
            <v>5000</v>
          </cell>
          <cell r="AK34" t="e">
            <v>#REF!</v>
          </cell>
          <cell r="AL34" t="e">
            <v>#REF!</v>
          </cell>
          <cell r="AM34" t="e">
            <v>#REF!</v>
          </cell>
          <cell r="AO34" t="str">
            <v>27.</v>
          </cell>
          <cell r="AQ34" t="e">
            <v>#REF!</v>
          </cell>
          <cell r="AR34" t="str">
            <v>E27</v>
          </cell>
          <cell r="AS34" t="e">
            <v>#REF!</v>
          </cell>
          <cell r="AT34" t="e">
            <v>#REF!</v>
          </cell>
          <cell r="AU34" t="e">
            <v>#REF!</v>
          </cell>
          <cell r="AV34" t="e">
            <v>#REF!</v>
          </cell>
          <cell r="AW34" t="e">
            <v>#REF!</v>
          </cell>
          <cell r="AX34" t="e">
            <v>#REF!</v>
          </cell>
        </row>
        <row r="35">
          <cell r="A35" t="str">
            <v>C.</v>
          </cell>
          <cell r="C35" t="str">
            <v>BIAYA OPERASI PER JAM KERJA</v>
          </cell>
          <cell r="L35" t="str">
            <v>18.</v>
          </cell>
          <cell r="N35" t="e">
            <v>#REF!</v>
          </cell>
          <cell r="O35" t="str">
            <v>E18</v>
          </cell>
          <cell r="P35" t="e">
            <v>#REF!</v>
          </cell>
          <cell r="Q35" t="e">
            <v>#REF!</v>
          </cell>
          <cell r="R35" t="e">
            <v>#REF!</v>
          </cell>
          <cell r="S35" t="e">
            <v>#REF!</v>
          </cell>
          <cell r="T35" t="e">
            <v>#REF!</v>
          </cell>
          <cell r="U35" t="e">
            <v>#REF!</v>
          </cell>
          <cell r="V35" t="e">
            <v>#REF!</v>
          </cell>
          <cell r="W35" t="e">
            <v>#REF!</v>
          </cell>
          <cell r="X35" t="e">
            <v>#REF!</v>
          </cell>
          <cell r="Y35" t="e">
            <v>#REF!</v>
          </cell>
          <cell r="Z35" t="e">
            <v>#REF!</v>
          </cell>
          <cell r="AA35" t="e">
            <v>#REF!</v>
          </cell>
          <cell r="AB35" t="e">
            <v>#REF!</v>
          </cell>
          <cell r="AC35" t="e">
            <v>#REF!</v>
          </cell>
          <cell r="AD35" t="e">
            <v>#REF!</v>
          </cell>
          <cell r="AE35">
            <v>0</v>
          </cell>
          <cell r="AF35" t="e">
            <v>#REF!</v>
          </cell>
          <cell r="AG35" t="e">
            <v>#REF!</v>
          </cell>
          <cell r="AH35" t="e">
            <v>#REF!</v>
          </cell>
          <cell r="AI35">
            <v>5000</v>
          </cell>
          <cell r="AJ35">
            <v>5000</v>
          </cell>
          <cell r="AK35" t="e">
            <v>#REF!</v>
          </cell>
          <cell r="AL35" t="e">
            <v>#REF!</v>
          </cell>
          <cell r="AM35" t="e">
            <v>#REF!</v>
          </cell>
          <cell r="AO35" t="str">
            <v>28.</v>
          </cell>
          <cell r="AQ35" t="e">
            <v>#REF!</v>
          </cell>
          <cell r="AR35" t="str">
            <v>E28</v>
          </cell>
          <cell r="AS35" t="e">
            <v>#REF!</v>
          </cell>
          <cell r="AT35" t="e">
            <v>#REF!</v>
          </cell>
          <cell r="AU35" t="e">
            <v>#REF!</v>
          </cell>
          <cell r="AV35" t="e">
            <v>#REF!</v>
          </cell>
          <cell r="AW35" t="e">
            <v>#REF!</v>
          </cell>
          <cell r="AX35" t="e">
            <v>#REF!</v>
          </cell>
        </row>
        <row r="36">
          <cell r="L36" t="str">
            <v>19.</v>
          </cell>
          <cell r="N36" t="e">
            <v>#REF!</v>
          </cell>
          <cell r="O36" t="str">
            <v>E19</v>
          </cell>
          <cell r="P36" t="e">
            <v>#REF!</v>
          </cell>
          <cell r="Q36" t="e">
            <v>#REF!</v>
          </cell>
          <cell r="R36" t="e">
            <v>#REF!</v>
          </cell>
          <cell r="S36" t="e">
            <v>#REF!</v>
          </cell>
          <cell r="T36" t="e">
            <v>#REF!</v>
          </cell>
          <cell r="U36" t="e">
            <v>#REF!</v>
          </cell>
          <cell r="V36" t="e">
            <v>#REF!</v>
          </cell>
          <cell r="W36" t="e">
            <v>#REF!</v>
          </cell>
          <cell r="X36" t="e">
            <v>#REF!</v>
          </cell>
          <cell r="Y36" t="e">
            <v>#REF!</v>
          </cell>
          <cell r="Z36" t="e">
            <v>#REF!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>
            <v>0</v>
          </cell>
          <cell r="AF36" t="e">
            <v>#REF!</v>
          </cell>
          <cell r="AG36" t="e">
            <v>#REF!</v>
          </cell>
          <cell r="AH36" t="e">
            <v>#REF!</v>
          </cell>
          <cell r="AI36">
            <v>5000</v>
          </cell>
          <cell r="AJ36">
            <v>5000</v>
          </cell>
          <cell r="AK36" t="e">
            <v>#REF!</v>
          </cell>
          <cell r="AL36" t="e">
            <v>#REF!</v>
          </cell>
          <cell r="AM36" t="e">
            <v>#REF!</v>
          </cell>
          <cell r="AO36" t="str">
            <v>29.</v>
          </cell>
          <cell r="AQ36" t="e">
            <v>#REF!</v>
          </cell>
          <cell r="AR36" t="str">
            <v>E29</v>
          </cell>
          <cell r="AS36" t="e">
            <v>#REF!</v>
          </cell>
          <cell r="AT36" t="e">
            <v>#REF!</v>
          </cell>
          <cell r="AU36" t="e">
            <v>#REF!</v>
          </cell>
          <cell r="AV36" t="e">
            <v>#REF!</v>
          </cell>
          <cell r="AW36" t="e">
            <v>#REF!</v>
          </cell>
          <cell r="AX36" t="e">
            <v>#REF!</v>
          </cell>
        </row>
        <row r="37">
          <cell r="A37" t="str">
            <v xml:space="preserve">       1.</v>
          </cell>
          <cell r="C37" t="str">
            <v xml:space="preserve">Bahan Bakar  =  (0.125-0.175 Ltr/HP/Jam)   x Pw x Ms </v>
          </cell>
          <cell r="G37" t="str">
            <v>H</v>
          </cell>
          <cell r="H37">
            <v>128125</v>
          </cell>
          <cell r="I37" t="str">
            <v>Rupiah</v>
          </cell>
          <cell r="L37" t="str">
            <v>20.</v>
          </cell>
          <cell r="N37" t="e">
            <v>#REF!</v>
          </cell>
          <cell r="O37" t="str">
            <v>E20</v>
          </cell>
          <cell r="P37" t="e">
            <v>#REF!</v>
          </cell>
          <cell r="Q37" t="e">
            <v>#REF!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V37" t="e">
            <v>#REF!</v>
          </cell>
          <cell r="W37" t="e">
            <v>#REF!</v>
          </cell>
          <cell r="X37" t="e">
            <v>#REF!</v>
          </cell>
          <cell r="Y37" t="e">
            <v>#REF!</v>
          </cell>
          <cell r="Z37" t="e">
            <v>#REF!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>
            <v>0</v>
          </cell>
          <cell r="AF37" t="e">
            <v>#REF!</v>
          </cell>
          <cell r="AG37" t="e">
            <v>#REF!</v>
          </cell>
          <cell r="AH37" t="e">
            <v>#REF!</v>
          </cell>
          <cell r="AI37">
            <v>5000</v>
          </cell>
          <cell r="AJ37">
            <v>5000</v>
          </cell>
          <cell r="AK37" t="e">
            <v>#REF!</v>
          </cell>
          <cell r="AL37" t="e">
            <v>#REF!</v>
          </cell>
          <cell r="AM37" t="e">
            <v>#REF!</v>
          </cell>
          <cell r="AO37" t="str">
            <v>30.</v>
          </cell>
          <cell r="AQ37" t="e">
            <v>#REF!</v>
          </cell>
          <cell r="AR37" t="str">
            <v>E30</v>
          </cell>
          <cell r="AS37" t="e">
            <v>#REF!</v>
          </cell>
          <cell r="AT37" t="e">
            <v>#REF!</v>
          </cell>
          <cell r="AU37" t="e">
            <v>#REF!</v>
          </cell>
          <cell r="AV37" t="e">
            <v>#REF!</v>
          </cell>
          <cell r="AW37" t="e">
            <v>#REF!</v>
          </cell>
          <cell r="AX37" t="e">
            <v>#REF!</v>
          </cell>
        </row>
        <row r="38">
          <cell r="L38" t="str">
            <v>21.</v>
          </cell>
          <cell r="N38" t="e">
            <v>#REF!</v>
          </cell>
          <cell r="O38" t="str">
            <v>E21</v>
          </cell>
          <cell r="P38" t="e">
            <v>#REF!</v>
          </cell>
          <cell r="Q38" t="e">
            <v>#REF!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V38" t="e">
            <v>#REF!</v>
          </cell>
          <cell r="W38" t="e">
            <v>#REF!</v>
          </cell>
          <cell r="X38" t="e">
            <v>#REF!</v>
          </cell>
          <cell r="Y38" t="e">
            <v>#REF!</v>
          </cell>
          <cell r="Z38" t="e">
            <v>#REF!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>
            <v>0</v>
          </cell>
          <cell r="AF38" t="e">
            <v>#REF!</v>
          </cell>
          <cell r="AG38" t="e">
            <v>#REF!</v>
          </cell>
          <cell r="AH38" t="e">
            <v>#REF!</v>
          </cell>
          <cell r="AI38">
            <v>5000</v>
          </cell>
          <cell r="AJ38">
            <v>10000</v>
          </cell>
          <cell r="AK38" t="e">
            <v>#REF!</v>
          </cell>
          <cell r="AL38" t="e">
            <v>#REF!</v>
          </cell>
          <cell r="AM38" t="e">
            <v>#REF!</v>
          </cell>
          <cell r="AO38" t="str">
            <v>31.</v>
          </cell>
          <cell r="AQ38" t="e">
            <v>#REF!</v>
          </cell>
          <cell r="AR38" t="str">
            <v>E31</v>
          </cell>
          <cell r="AS38" t="e">
            <v>#REF!</v>
          </cell>
          <cell r="AT38" t="e">
            <v>#REF!</v>
          </cell>
          <cell r="AU38" t="e">
            <v>#REF!</v>
          </cell>
          <cell r="AV38" t="e">
            <v>#REF!</v>
          </cell>
          <cell r="AW38" t="e">
            <v>#REF!</v>
          </cell>
          <cell r="AX38" t="e">
            <v>#REF!</v>
          </cell>
        </row>
        <row r="39">
          <cell r="A39" t="str">
            <v xml:space="preserve">       2.</v>
          </cell>
          <cell r="C39" t="str">
            <v>Pelumas         =  (0.01-0.02 Ltr/HP/Jam) x Pw x Mp</v>
          </cell>
          <cell r="G39" t="str">
            <v>I</v>
          </cell>
          <cell r="H39">
            <v>62500</v>
          </cell>
          <cell r="I39" t="str">
            <v>Rupiah</v>
          </cell>
          <cell r="L39" t="str">
            <v>22.</v>
          </cell>
          <cell r="N39" t="e">
            <v>#REF!</v>
          </cell>
          <cell r="O39" t="str">
            <v>E22</v>
          </cell>
          <cell r="P39" t="e">
            <v>#REF!</v>
          </cell>
          <cell r="Q39" t="e">
            <v>#REF!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V39" t="e">
            <v>#REF!</v>
          </cell>
          <cell r="W39" t="e">
            <v>#REF!</v>
          </cell>
          <cell r="X39" t="e">
            <v>#REF!</v>
          </cell>
          <cell r="Y39" t="e">
            <v>#REF!</v>
          </cell>
          <cell r="Z39" t="e">
            <v>#REF!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>
            <v>0</v>
          </cell>
          <cell r="AF39" t="e">
            <v>#REF!</v>
          </cell>
          <cell r="AG39" t="e">
            <v>#REF!</v>
          </cell>
          <cell r="AH39" t="e">
            <v>#REF!</v>
          </cell>
          <cell r="AI39">
            <v>5000</v>
          </cell>
          <cell r="AJ39">
            <v>5000</v>
          </cell>
          <cell r="AK39" t="e">
            <v>#REF!</v>
          </cell>
          <cell r="AL39" t="e">
            <v>#REF!</v>
          </cell>
          <cell r="AM39" t="e">
            <v>#REF!</v>
          </cell>
          <cell r="AO39" t="str">
            <v>32.</v>
          </cell>
          <cell r="AQ39" t="e">
            <v>#REF!</v>
          </cell>
          <cell r="AR39" t="str">
            <v>E32</v>
          </cell>
          <cell r="AS39" t="e">
            <v>#REF!</v>
          </cell>
          <cell r="AT39" t="e">
            <v>#REF!</v>
          </cell>
          <cell r="AU39" t="e">
            <v>#REF!</v>
          </cell>
          <cell r="AV39" t="e">
            <v>#REF!</v>
          </cell>
          <cell r="AW39" t="e">
            <v>#REF!</v>
          </cell>
          <cell r="AX39" t="e">
            <v>#REF!</v>
          </cell>
        </row>
        <row r="40">
          <cell r="L40" t="str">
            <v>23.</v>
          </cell>
          <cell r="N40" t="e">
            <v>#REF!</v>
          </cell>
          <cell r="O40" t="str">
            <v>E23</v>
          </cell>
          <cell r="P40" t="e">
            <v>#REF!</v>
          </cell>
          <cell r="Q40" t="e">
            <v>#REF!</v>
          </cell>
          <cell r="R40" t="e">
            <v>#REF!</v>
          </cell>
          <cell r="S40" t="e">
            <v>#REF!</v>
          </cell>
          <cell r="T40" t="e">
            <v>#REF!</v>
          </cell>
          <cell r="U40" t="e">
            <v>#REF!</v>
          </cell>
          <cell r="V40" t="e">
            <v>#REF!</v>
          </cell>
          <cell r="W40" t="e">
            <v>#REF!</v>
          </cell>
          <cell r="X40" t="e">
            <v>#REF!</v>
          </cell>
          <cell r="Y40" t="e">
            <v>#REF!</v>
          </cell>
          <cell r="Z40" t="e">
            <v>#REF!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>
            <v>0</v>
          </cell>
          <cell r="AF40" t="e">
            <v>#REF!</v>
          </cell>
          <cell r="AG40" t="e">
            <v>#REF!</v>
          </cell>
          <cell r="AH40" t="e">
            <v>#REF!</v>
          </cell>
          <cell r="AI40">
            <v>5000</v>
          </cell>
          <cell r="AJ40">
            <v>5000</v>
          </cell>
          <cell r="AK40" t="e">
            <v>#REF!</v>
          </cell>
          <cell r="AL40" t="e">
            <v>#REF!</v>
          </cell>
          <cell r="AM40" t="e">
            <v>#REF!</v>
          </cell>
          <cell r="AO40" t="str">
            <v>33.</v>
          </cell>
          <cell r="AQ40" t="e">
            <v>#REF!</v>
          </cell>
          <cell r="AR40" t="str">
            <v>E33</v>
          </cell>
          <cell r="AS40" t="e">
            <v>#REF!</v>
          </cell>
          <cell r="AT40" t="e">
            <v>#REF!</v>
          </cell>
          <cell r="AU40" t="e">
            <v>#REF!</v>
          </cell>
          <cell r="AV40" t="e">
            <v>#REF!</v>
          </cell>
          <cell r="AW40" t="e">
            <v>#REF!</v>
          </cell>
          <cell r="AX40" t="e">
            <v>#REF!</v>
          </cell>
        </row>
        <row r="41">
          <cell r="A41" t="str">
            <v xml:space="preserve">       3.</v>
          </cell>
          <cell r="C41" t="str">
            <v>Perawatan dan</v>
          </cell>
          <cell r="D41" t="str">
            <v>(12,5 % - 17,5 %)  x  B'</v>
          </cell>
          <cell r="G41" t="str">
            <v>K</v>
          </cell>
          <cell r="H41">
            <v>21875</v>
          </cell>
          <cell r="I41" t="str">
            <v>Rupiah</v>
          </cell>
          <cell r="L41" t="str">
            <v>24.</v>
          </cell>
          <cell r="N41" t="e">
            <v>#REF!</v>
          </cell>
          <cell r="O41" t="str">
            <v>E24</v>
          </cell>
          <cell r="P41" t="e">
            <v>#REF!</v>
          </cell>
          <cell r="Q41" t="e">
            <v>#REF!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V41" t="e">
            <v>#REF!</v>
          </cell>
          <cell r="W41" t="e">
            <v>#REF!</v>
          </cell>
          <cell r="X41" t="e">
            <v>#REF!</v>
          </cell>
          <cell r="Y41" t="e">
            <v>#REF!</v>
          </cell>
          <cell r="Z41" t="e">
            <v>#REF!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>
            <v>0</v>
          </cell>
          <cell r="AF41" t="e">
            <v>#REF!</v>
          </cell>
          <cell r="AG41" t="e">
            <v>#REF!</v>
          </cell>
          <cell r="AH41" t="e">
            <v>#REF!</v>
          </cell>
          <cell r="AI41">
            <v>5000</v>
          </cell>
          <cell r="AJ41">
            <v>5000</v>
          </cell>
          <cell r="AK41" t="e">
            <v>#REF!</v>
          </cell>
          <cell r="AL41" t="e">
            <v>#REF!</v>
          </cell>
          <cell r="AM41" t="e">
            <v>#REF!</v>
          </cell>
          <cell r="AO41" t="str">
            <v>34.</v>
          </cell>
          <cell r="AQ41" t="e">
            <v>#REF!</v>
          </cell>
          <cell r="AR41" t="str">
            <v>E34</v>
          </cell>
          <cell r="AS41" t="e">
            <v>#REF!</v>
          </cell>
          <cell r="AT41" t="e">
            <v>#REF!</v>
          </cell>
          <cell r="AU41" t="e">
            <v>#REF!</v>
          </cell>
          <cell r="AV41" t="e">
            <v>#REF!</v>
          </cell>
          <cell r="AW41" t="e">
            <v>#REF!</v>
          </cell>
          <cell r="AX41" t="e">
            <v>#REF!</v>
          </cell>
        </row>
        <row r="42">
          <cell r="C42" t="str">
            <v xml:space="preserve">        perbaikan    =</v>
          </cell>
          <cell r="D42" t="str">
            <v>W'</v>
          </cell>
          <cell r="L42" t="str">
            <v>25.</v>
          </cell>
          <cell r="N42" t="e">
            <v>#REF!</v>
          </cell>
          <cell r="O42" t="str">
            <v>E25</v>
          </cell>
          <cell r="P42" t="e">
            <v>#REF!</v>
          </cell>
          <cell r="Q42" t="e">
            <v>#REF!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V42" t="e">
            <v>#REF!</v>
          </cell>
          <cell r="W42" t="e">
            <v>#REF!</v>
          </cell>
          <cell r="X42" t="e">
            <v>#REF!</v>
          </cell>
          <cell r="Y42" t="e">
            <v>#REF!</v>
          </cell>
          <cell r="Z42" t="e">
            <v>#REF!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>
            <v>0</v>
          </cell>
          <cell r="AF42" t="e">
            <v>#REF!</v>
          </cell>
          <cell r="AG42" t="e">
            <v>#REF!</v>
          </cell>
          <cell r="AH42" t="e">
            <v>#REF!</v>
          </cell>
          <cell r="AI42">
            <v>5000</v>
          </cell>
          <cell r="AJ42">
            <v>5000</v>
          </cell>
          <cell r="AK42" t="e">
            <v>#REF!</v>
          </cell>
          <cell r="AL42" t="e">
            <v>#REF!</v>
          </cell>
          <cell r="AM42" t="e">
            <v>#REF!</v>
          </cell>
          <cell r="AO42" t="str">
            <v>35.</v>
          </cell>
          <cell r="AQ42" t="e">
            <v>#REF!</v>
          </cell>
          <cell r="AR42" t="str">
            <v>E35</v>
          </cell>
          <cell r="AS42" t="e">
            <v>#REF!</v>
          </cell>
          <cell r="AT42" t="e">
            <v>#REF!</v>
          </cell>
          <cell r="AU42" t="e">
            <v>#REF!</v>
          </cell>
          <cell r="AV42" t="e">
            <v>#REF!</v>
          </cell>
          <cell r="AW42" t="e">
            <v>#REF!</v>
          </cell>
          <cell r="AX42" t="e">
            <v>#REF!</v>
          </cell>
        </row>
        <row r="43">
          <cell r="L43" t="str">
            <v>26.</v>
          </cell>
          <cell r="N43" t="e">
            <v>#REF!</v>
          </cell>
          <cell r="O43" t="str">
            <v>E26</v>
          </cell>
          <cell r="P43" t="e">
            <v>#REF!</v>
          </cell>
          <cell r="Q43" t="e">
            <v>#REF!</v>
          </cell>
          <cell r="R43" t="e">
            <v>#REF!</v>
          </cell>
          <cell r="S43" t="e">
            <v>#REF!</v>
          </cell>
          <cell r="T43" t="e">
            <v>#REF!</v>
          </cell>
          <cell r="U43" t="e">
            <v>#REF!</v>
          </cell>
          <cell r="V43" t="e">
            <v>#REF!</v>
          </cell>
          <cell r="W43" t="e">
            <v>#REF!</v>
          </cell>
          <cell r="X43" t="e">
            <v>#REF!</v>
          </cell>
          <cell r="Y43" t="e">
            <v>#REF!</v>
          </cell>
          <cell r="Z43" t="e">
            <v>#REF!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>
            <v>0</v>
          </cell>
          <cell r="AF43" t="e">
            <v>#REF!</v>
          </cell>
          <cell r="AG43" t="e">
            <v>#REF!</v>
          </cell>
          <cell r="AH43" t="e">
            <v>#REF!</v>
          </cell>
          <cell r="AI43">
            <v>5000</v>
          </cell>
          <cell r="AJ43">
            <v>5000</v>
          </cell>
          <cell r="AK43" t="e">
            <v>#REF!</v>
          </cell>
          <cell r="AL43" t="e">
            <v>#REF!</v>
          </cell>
          <cell r="AM43" t="e">
            <v>#REF!</v>
          </cell>
          <cell r="AO43" t="str">
            <v>36.</v>
          </cell>
        </row>
        <row r="44">
          <cell r="A44" t="str">
            <v xml:space="preserve">       4.</v>
          </cell>
          <cell r="C44" t="str">
            <v>Operator</v>
          </cell>
          <cell r="D44" t="str">
            <v>=   ( 1  Orang / Jam )  x  U1</v>
          </cell>
          <cell r="G44" t="str">
            <v>L</v>
          </cell>
          <cell r="H44">
            <v>17140</v>
          </cell>
          <cell r="I44" t="str">
            <v>Rupiah</v>
          </cell>
          <cell r="L44" t="str">
            <v>27.</v>
          </cell>
          <cell r="N44" t="e">
            <v>#REF!</v>
          </cell>
          <cell r="O44" t="str">
            <v>E27</v>
          </cell>
          <cell r="P44" t="e">
            <v>#REF!</v>
          </cell>
          <cell r="Q44" t="e">
            <v>#REF!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e">
            <v>#REF!</v>
          </cell>
          <cell r="Z44" t="e">
            <v>#REF!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>
            <v>0</v>
          </cell>
          <cell r="AF44" t="e">
            <v>#REF!</v>
          </cell>
          <cell r="AG44">
            <v>0.125</v>
          </cell>
          <cell r="AH44" t="e">
            <v>#REF!</v>
          </cell>
          <cell r="AI44">
            <v>5000</v>
          </cell>
          <cell r="AJ44">
            <v>5000</v>
          </cell>
          <cell r="AK44" t="e">
            <v>#REF!</v>
          </cell>
          <cell r="AL44" t="e">
            <v>#REF!</v>
          </cell>
          <cell r="AM44" t="e">
            <v>#REF!</v>
          </cell>
          <cell r="AO44" t="str">
            <v>37.</v>
          </cell>
        </row>
        <row r="45">
          <cell r="A45" t="str">
            <v xml:space="preserve">       5.</v>
          </cell>
          <cell r="C45" t="str">
            <v>Pembantu Operator</v>
          </cell>
          <cell r="D45" t="str">
            <v>=   ( 1  Orang / Jam )  x  U2</v>
          </cell>
          <cell r="G45" t="str">
            <v>M</v>
          </cell>
          <cell r="H45">
            <v>7860</v>
          </cell>
          <cell r="I45" t="str">
            <v>Rupiah</v>
          </cell>
          <cell r="L45" t="str">
            <v>28.</v>
          </cell>
          <cell r="N45" t="e">
            <v>#REF!</v>
          </cell>
          <cell r="O45" t="str">
            <v>E28</v>
          </cell>
          <cell r="P45" t="e">
            <v>#REF!</v>
          </cell>
          <cell r="Q45" t="e">
            <v>#REF!</v>
          </cell>
          <cell r="R45" t="e">
            <v>#REF!</v>
          </cell>
          <cell r="S45" t="e">
            <v>#REF!</v>
          </cell>
          <cell r="T45" t="e">
            <v>#REF!</v>
          </cell>
          <cell r="U45" t="e">
            <v>#REF!</v>
          </cell>
          <cell r="V45" t="e">
            <v>#REF!</v>
          </cell>
          <cell r="W45" t="e">
            <v>#REF!</v>
          </cell>
          <cell r="X45" t="e">
            <v>#REF!</v>
          </cell>
          <cell r="Y45" t="e">
            <v>#REF!</v>
          </cell>
          <cell r="Z45" t="e">
            <v>#REF!</v>
          </cell>
          <cell r="AA45" t="e">
            <v>#REF!</v>
          </cell>
          <cell r="AB45">
            <v>0.125</v>
          </cell>
          <cell r="AC45">
            <v>0.01</v>
          </cell>
          <cell r="AD45" t="e">
            <v>#REF!</v>
          </cell>
          <cell r="AG45">
            <v>0.125</v>
          </cell>
          <cell r="AH45" t="e">
            <v>#REF!</v>
          </cell>
          <cell r="AI45">
            <v>5000</v>
          </cell>
          <cell r="AJ45">
            <v>5000</v>
          </cell>
          <cell r="AK45" t="e">
            <v>#REF!</v>
          </cell>
          <cell r="AL45" t="e">
            <v>#REF!</v>
          </cell>
          <cell r="AM45" t="e">
            <v>#REF!</v>
          </cell>
          <cell r="AO45" t="str">
            <v>38.</v>
          </cell>
        </row>
        <row r="46">
          <cell r="L46" t="str">
            <v>29.</v>
          </cell>
          <cell r="N46" t="e">
            <v>#REF!</v>
          </cell>
          <cell r="O46" t="str">
            <v>E29</v>
          </cell>
          <cell r="P46" t="e">
            <v>#REF!</v>
          </cell>
          <cell r="Q46" t="e">
            <v>#REF!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V46" t="e">
            <v>#REF!</v>
          </cell>
          <cell r="W46" t="e">
            <v>#REF!</v>
          </cell>
          <cell r="X46" t="e">
            <v>#REF!</v>
          </cell>
          <cell r="Y46" t="e">
            <v>#REF!</v>
          </cell>
          <cell r="Z46" t="e">
            <v>#REF!</v>
          </cell>
          <cell r="AA46" t="e">
            <v>#REF!</v>
          </cell>
          <cell r="AB46">
            <v>0.125</v>
          </cell>
          <cell r="AC46">
            <v>0.01</v>
          </cell>
          <cell r="AD46" t="e">
            <v>#REF!</v>
          </cell>
          <cell r="AG46">
            <v>0.125</v>
          </cell>
          <cell r="AH46" t="e">
            <v>#REF!</v>
          </cell>
          <cell r="AI46">
            <v>5000</v>
          </cell>
          <cell r="AJ46">
            <v>5000</v>
          </cell>
          <cell r="AK46" t="e">
            <v>#REF!</v>
          </cell>
          <cell r="AL46" t="e">
            <v>#REF!</v>
          </cell>
          <cell r="AM46" t="e">
            <v>#REF!</v>
          </cell>
          <cell r="AO46" t="str">
            <v>39.</v>
          </cell>
        </row>
        <row r="47">
          <cell r="C47" t="str">
            <v>Biaya Operasi per Jam        =</v>
          </cell>
          <cell r="E47" t="str">
            <v>(H+I+K+L+M)</v>
          </cell>
          <cell r="G47" t="str">
            <v>P</v>
          </cell>
          <cell r="H47">
            <v>237500</v>
          </cell>
          <cell r="I47" t="str">
            <v>Rupiah</v>
          </cell>
          <cell r="L47" t="str">
            <v>30</v>
          </cell>
          <cell r="N47" t="e">
            <v>#REF!</v>
          </cell>
          <cell r="O47" t="str">
            <v>E30</v>
          </cell>
          <cell r="P47" t="e">
            <v>#REF!</v>
          </cell>
          <cell r="Q47" t="e">
            <v>#REF!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V47" t="e">
            <v>#REF!</v>
          </cell>
          <cell r="W47" t="e">
            <v>#REF!</v>
          </cell>
          <cell r="X47" t="e">
            <v>#REF!</v>
          </cell>
          <cell r="Y47" t="e">
            <v>#REF!</v>
          </cell>
          <cell r="Z47" t="e">
            <v>#REF!</v>
          </cell>
          <cell r="AA47" t="e">
            <v>#REF!</v>
          </cell>
          <cell r="AB47">
            <v>0.125</v>
          </cell>
          <cell r="AC47">
            <v>0.01</v>
          </cell>
          <cell r="AD47" t="e">
            <v>#REF!</v>
          </cell>
          <cell r="AG47">
            <v>0.125</v>
          </cell>
          <cell r="AH47" t="e">
            <v>#REF!</v>
          </cell>
          <cell r="AI47">
            <v>5000</v>
          </cell>
          <cell r="AJ47">
            <v>5000</v>
          </cell>
          <cell r="AK47" t="e">
            <v>#REF!</v>
          </cell>
          <cell r="AL47" t="e">
            <v>#REF!</v>
          </cell>
          <cell r="AM47" t="e">
            <v>#REF!</v>
          </cell>
          <cell r="AO47" t="str">
            <v>40.</v>
          </cell>
        </row>
        <row r="48">
          <cell r="L48" t="str">
            <v>31.</v>
          </cell>
          <cell r="N48" t="e">
            <v>#REF!</v>
          </cell>
          <cell r="O48" t="str">
            <v>E31</v>
          </cell>
          <cell r="P48" t="e">
            <v>#REF!</v>
          </cell>
          <cell r="Q48" t="e">
            <v>#REF!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  <cell r="AB48">
            <v>0.125</v>
          </cell>
          <cell r="AC48">
            <v>0.01</v>
          </cell>
          <cell r="AD48" t="e">
            <v>#REF!</v>
          </cell>
          <cell r="AG48">
            <v>0.125</v>
          </cell>
          <cell r="AH48" t="e">
            <v>#REF!</v>
          </cell>
          <cell r="AI48">
            <v>5000</v>
          </cell>
          <cell r="AJ48">
            <v>5000</v>
          </cell>
          <cell r="AK48" t="e">
            <v>#REF!</v>
          </cell>
          <cell r="AL48" t="e">
            <v>#REF!</v>
          </cell>
          <cell r="AM48" t="e">
            <v>#REF!</v>
          </cell>
        </row>
        <row r="49">
          <cell r="A49" t="str">
            <v>D.</v>
          </cell>
          <cell r="C49" t="str">
            <v>TOTAL BIAYA SEWA ALAT / JAM   =   ( G + P )</v>
          </cell>
          <cell r="G49" t="str">
            <v>S</v>
          </cell>
          <cell r="H49">
            <v>290514.8032681144</v>
          </cell>
          <cell r="I49" t="str">
            <v>Rupiah</v>
          </cell>
          <cell r="L49" t="str">
            <v>32.</v>
          </cell>
          <cell r="N49" t="e">
            <v>#REF!</v>
          </cell>
          <cell r="O49" t="str">
            <v>E32</v>
          </cell>
          <cell r="P49" t="e">
            <v>#REF!</v>
          </cell>
          <cell r="Q49" t="e">
            <v>#REF!</v>
          </cell>
          <cell r="R49" t="e">
            <v>#REF!</v>
          </cell>
          <cell r="S49" t="e">
            <v>#REF!</v>
          </cell>
          <cell r="T49" t="e">
            <v>#REF!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>
            <v>0.125</v>
          </cell>
          <cell r="AC49">
            <v>0.01</v>
          </cell>
          <cell r="AD49" t="e">
            <v>#REF!</v>
          </cell>
          <cell r="AG49">
            <v>0.125</v>
          </cell>
          <cell r="AH49" t="e">
            <v>#REF!</v>
          </cell>
          <cell r="AI49">
            <v>5000</v>
          </cell>
          <cell r="AJ49">
            <v>5000</v>
          </cell>
          <cell r="AK49" t="e">
            <v>#REF!</v>
          </cell>
          <cell r="AL49" t="e">
            <v>#REF!</v>
          </cell>
          <cell r="AM49" t="e">
            <v>#REF!</v>
          </cell>
        </row>
        <row r="50">
          <cell r="L50" t="str">
            <v>33.</v>
          </cell>
          <cell r="N50" t="e">
            <v>#REF!</v>
          </cell>
          <cell r="O50" t="str">
            <v>E33</v>
          </cell>
          <cell r="P50" t="e">
            <v>#REF!</v>
          </cell>
          <cell r="Q50" t="e">
            <v>#REF!</v>
          </cell>
          <cell r="R50" t="e">
            <v>#REF!</v>
          </cell>
          <cell r="S50" t="e">
            <v>#REF!</v>
          </cell>
          <cell r="T50" t="e">
            <v>#REF!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  <cell r="AB50">
            <v>0.125</v>
          </cell>
          <cell r="AC50">
            <v>0.01</v>
          </cell>
          <cell r="AD50" t="e">
            <v>#REF!</v>
          </cell>
          <cell r="AG50">
            <v>0.125</v>
          </cell>
          <cell r="AH50" t="e">
            <v>#REF!</v>
          </cell>
          <cell r="AI50">
            <v>5000</v>
          </cell>
          <cell r="AJ50">
            <v>5000</v>
          </cell>
          <cell r="AK50" t="e">
            <v>#REF!</v>
          </cell>
          <cell r="AL50" t="e">
            <v>#REF!</v>
          </cell>
          <cell r="AM50" t="e">
            <v>#REF!</v>
          </cell>
        </row>
        <row r="51">
          <cell r="L51" t="str">
            <v>34.</v>
          </cell>
          <cell r="N51" t="e">
            <v>#REF!</v>
          </cell>
          <cell r="O51" t="str">
            <v>E34</v>
          </cell>
          <cell r="P51" t="e">
            <v>#REF!</v>
          </cell>
          <cell r="Q51" t="e">
            <v>#REF!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  <cell r="AB51">
            <v>0.125</v>
          </cell>
          <cell r="AC51">
            <v>0.01</v>
          </cell>
          <cell r="AD51" t="e">
            <v>#REF!</v>
          </cell>
          <cell r="AG51">
            <v>0.125</v>
          </cell>
          <cell r="AH51" t="e">
            <v>#REF!</v>
          </cell>
          <cell r="AI51">
            <v>5000</v>
          </cell>
          <cell r="AJ51">
            <v>5000</v>
          </cell>
          <cell r="AK51" t="e">
            <v>#REF!</v>
          </cell>
          <cell r="AL51" t="e">
            <v>#REF!</v>
          </cell>
          <cell r="AM51" t="e">
            <v>#REF!</v>
          </cell>
        </row>
        <row r="52">
          <cell r="A52" t="str">
            <v>E.</v>
          </cell>
          <cell r="C52" t="str">
            <v>LAIN - LAIN</v>
          </cell>
          <cell r="N52" t="str">
            <v xml:space="preserve">KETERANGAN  : </v>
          </cell>
          <cell r="O52" t="str">
            <v>1.</v>
          </cell>
          <cell r="P52" t="str">
            <v>Tingkat Suku Bunga</v>
          </cell>
          <cell r="U52" t="str">
            <v>=</v>
          </cell>
          <cell r="V52">
            <v>20</v>
          </cell>
          <cell r="W52" t="str">
            <v>%  per-tahun</v>
          </cell>
        </row>
        <row r="53">
          <cell r="A53" t="str">
            <v xml:space="preserve">       1.</v>
          </cell>
          <cell r="C53" t="str">
            <v>Tingkat Suku Bunga</v>
          </cell>
          <cell r="G53" t="str">
            <v>i</v>
          </cell>
          <cell r="H53">
            <v>20</v>
          </cell>
          <cell r="I53" t="str">
            <v>% / Tahun</v>
          </cell>
          <cell r="O53" t="str">
            <v>2.</v>
          </cell>
          <cell r="P53" t="str">
            <v>Upah Operator / Sopir / Mekanik</v>
          </cell>
          <cell r="U53" t="str">
            <v>=</v>
          </cell>
          <cell r="V53">
            <v>5000</v>
          </cell>
          <cell r="W53" t="str">
            <v>Rupiah per-orang/jam</v>
          </cell>
        </row>
        <row r="54">
          <cell r="A54" t="str">
            <v xml:space="preserve">       2.</v>
          </cell>
          <cell r="C54" t="str">
            <v>Upah Operator / Sopir / Mekanik</v>
          </cell>
          <cell r="G54" t="str">
            <v>U1</v>
          </cell>
          <cell r="H54">
            <v>17140</v>
          </cell>
          <cell r="I54" t="str">
            <v>Rp./Jam</v>
          </cell>
          <cell r="O54" t="str">
            <v>3.</v>
          </cell>
          <cell r="P54" t="str">
            <v>Upah Pembantu Operator/Sopir/Mekanik</v>
          </cell>
          <cell r="U54" t="str">
            <v>=</v>
          </cell>
          <cell r="V54">
            <v>5000</v>
          </cell>
          <cell r="W54" t="str">
            <v>Rupiah per-orang/jam</v>
          </cell>
        </row>
        <row r="55">
          <cell r="A55" t="str">
            <v xml:space="preserve">       3.</v>
          </cell>
          <cell r="C55" t="str">
            <v>Upah Pembantu Operator / Pmb.Sopir / Pmb.Mekanik</v>
          </cell>
          <cell r="G55" t="str">
            <v>U2</v>
          </cell>
          <cell r="H55">
            <v>7860</v>
          </cell>
          <cell r="I55" t="str">
            <v>Rp./Jam</v>
          </cell>
          <cell r="O55" t="str">
            <v>4.</v>
          </cell>
          <cell r="P55" t="str">
            <v>Harga Bahan Bakar Bensin</v>
          </cell>
          <cell r="U55" t="str">
            <v>=</v>
          </cell>
          <cell r="V55">
            <v>5000</v>
          </cell>
          <cell r="W55" t="str">
            <v>Rupiah per-liter</v>
          </cell>
        </row>
        <row r="56">
          <cell r="A56" t="str">
            <v xml:space="preserve">       4.</v>
          </cell>
          <cell r="C56" t="str">
            <v>Bahan Bakar Bensin</v>
          </cell>
          <cell r="G56" t="str">
            <v>Mb</v>
          </cell>
          <cell r="H56">
            <v>8500</v>
          </cell>
          <cell r="I56" t="str">
            <v>Liter</v>
          </cell>
          <cell r="O56" t="str">
            <v>5.</v>
          </cell>
          <cell r="P56" t="str">
            <v>Harga Bahan Bakar Solar</v>
          </cell>
          <cell r="U56" t="str">
            <v>=</v>
          </cell>
          <cell r="V56">
            <v>5000</v>
          </cell>
          <cell r="W56" t="str">
            <v>Rupiah per-liter</v>
          </cell>
        </row>
        <row r="57">
          <cell r="A57" t="str">
            <v xml:space="preserve">       5.</v>
          </cell>
          <cell r="C57" t="str">
            <v>Bahan Bakar Solar</v>
          </cell>
          <cell r="G57" t="str">
            <v>Ms</v>
          </cell>
          <cell r="H57">
            <v>8200</v>
          </cell>
          <cell r="I57" t="str">
            <v>Liter</v>
          </cell>
          <cell r="O57" t="str">
            <v>6.</v>
          </cell>
          <cell r="P57" t="str">
            <v>Minyak Pelumas</v>
          </cell>
          <cell r="U57" t="str">
            <v>=</v>
          </cell>
          <cell r="V57">
            <v>5000</v>
          </cell>
          <cell r="W57" t="str">
            <v>Rupiah per-liter</v>
          </cell>
        </row>
        <row r="58">
          <cell r="A58" t="str">
            <v xml:space="preserve">       6.</v>
          </cell>
          <cell r="C58" t="str">
            <v>Minyak Pelumas</v>
          </cell>
          <cell r="G58" t="str">
            <v>Mp</v>
          </cell>
          <cell r="H58">
            <v>50000</v>
          </cell>
          <cell r="I58" t="str">
            <v>Liter</v>
          </cell>
          <cell r="O58" t="str">
            <v>7.</v>
          </cell>
          <cell r="P58" t="str">
            <v>Pajak Pertambahan Nilai (PPN) diperhitungkan pada Lembar Rekapitulasi Biaya Pekerjaan</v>
          </cell>
        </row>
        <row r="59">
          <cell r="A59" t="str">
            <v xml:space="preserve">       7.</v>
          </cell>
          <cell r="C59" t="str">
            <v>PPN diperhitungkan pada lembar Rekapitulasi</v>
          </cell>
          <cell r="O59" t="str">
            <v>8.</v>
          </cell>
          <cell r="P59" t="str">
            <v>Khusus AMP, biaya bahan bakar ditambah (untuk pemanasan material) sebesar : 12 Liter x (Kapasitas AMP Riil = 0.7 x Kapasitas AMP/Jam) x Harga BBM Solar ,  (kolom 16)</v>
          </cell>
        </row>
        <row r="60">
          <cell r="C60" t="str">
            <v>Biaya Pekerjaan</v>
          </cell>
          <cell r="L60" t="str">
            <v>ANALISA BIAYA SEWA PERALATAN PER JAM KERJA (II)</v>
          </cell>
        </row>
        <row r="63">
          <cell r="P63" t="str">
            <v>TENAGA</v>
          </cell>
          <cell r="Q63" t="str">
            <v>KAPASITAS</v>
          </cell>
          <cell r="S63" t="str">
            <v>HARGA</v>
          </cell>
          <cell r="T63" t="str">
            <v>ALAT  YANG  DIPAKAI</v>
          </cell>
          <cell r="W63" t="str">
            <v>NILAI</v>
          </cell>
          <cell r="X63" t="str">
            <v>FAKTOR</v>
          </cell>
          <cell r="Y63" t="str">
            <v>BIAYA PASTI PER JAM</v>
          </cell>
          <cell r="AB63" t="str">
            <v>BIAYA OPERASI PER JAM KERJA</v>
          </cell>
          <cell r="AL63" t="str">
            <v>TOTAL</v>
          </cell>
        </row>
        <row r="64">
          <cell r="P64" t="str">
            <v>ALAT</v>
          </cell>
          <cell r="Q64" t="str">
            <v>ALAT</v>
          </cell>
          <cell r="S64" t="str">
            <v>ALAT</v>
          </cell>
          <cell r="U64" t="str">
            <v>JAM</v>
          </cell>
          <cell r="W64" t="str">
            <v>SISA</v>
          </cell>
          <cell r="X64" t="str">
            <v>PENGEM-</v>
          </cell>
          <cell r="Y64" t="str">
            <v>BIAYA</v>
          </cell>
          <cell r="Z64" t="str">
            <v>ASURANSI</v>
          </cell>
          <cell r="AA64" t="str">
            <v>TOTAL</v>
          </cell>
          <cell r="AB64" t="str">
            <v>BAHAN BAKAR &amp; PELUMAS</v>
          </cell>
          <cell r="AE64" t="str">
            <v>WORKSHOP</v>
          </cell>
          <cell r="AG64" t="str">
            <v>PERBAIKAN &amp; PERAWATAN</v>
          </cell>
          <cell r="AI64" t="str">
            <v>UPAH</v>
          </cell>
          <cell r="AK64" t="str">
            <v>TOTAL</v>
          </cell>
          <cell r="AL64" t="str">
            <v>BIAYA</v>
          </cell>
        </row>
        <row r="65">
          <cell r="T65" t="str">
            <v>UMUR</v>
          </cell>
          <cell r="U65" t="str">
            <v>KERJA</v>
          </cell>
          <cell r="V65" t="str">
            <v>HARGA</v>
          </cell>
          <cell r="W65" t="str">
            <v>ALAT</v>
          </cell>
          <cell r="X65" t="str">
            <v>BALIAN</v>
          </cell>
          <cell r="Y65" t="str">
            <v>PENGEM-</v>
          </cell>
          <cell r="Z65" t="str">
            <v>DAN</v>
          </cell>
          <cell r="AA65" t="str">
            <v>BIAYA</v>
          </cell>
          <cell r="AB65" t="str">
            <v>BAHAN</v>
          </cell>
          <cell r="AC65" t="str">
            <v>MINYAK</v>
          </cell>
          <cell r="AI65" t="str">
            <v>OPERATOR</v>
          </cell>
          <cell r="AJ65" t="str">
            <v>PEMBANTU</v>
          </cell>
          <cell r="AK65" t="str">
            <v>BIAYA</v>
          </cell>
          <cell r="AL65" t="str">
            <v>SEWA ALAT</v>
          </cell>
        </row>
        <row r="66">
          <cell r="T66" t="str">
            <v>ALAT</v>
          </cell>
          <cell r="U66" t="str">
            <v>1 TAHUN</v>
          </cell>
          <cell r="V66" t="str">
            <v>ALAT</v>
          </cell>
          <cell r="X66" t="str">
            <v>MODAL</v>
          </cell>
          <cell r="Y66" t="str">
            <v>BALIAN</v>
          </cell>
          <cell r="Z66" t="str">
            <v>LAIN-LAIN</v>
          </cell>
          <cell r="AA66" t="str">
            <v>PASTI / JAM</v>
          </cell>
          <cell r="AB66" t="str">
            <v>BAKAR</v>
          </cell>
          <cell r="AC66" t="str">
            <v>PELUMAS</v>
          </cell>
          <cell r="AD66" t="str">
            <v>BIAYA</v>
          </cell>
          <cell r="AE66" t="str">
            <v>KOEF.</v>
          </cell>
          <cell r="AF66" t="str">
            <v>BIAYA</v>
          </cell>
          <cell r="AG66" t="str">
            <v>KOEF.</v>
          </cell>
          <cell r="AH66" t="str">
            <v>BIAYA</v>
          </cell>
          <cell r="AI66" t="str">
            <v>/ SOPIR</v>
          </cell>
          <cell r="AJ66" t="str">
            <v>OPERATOR</v>
          </cell>
          <cell r="AK66" t="str">
            <v>OPERASI</v>
          </cell>
          <cell r="AL66" t="str">
            <v>PER</v>
          </cell>
        </row>
        <row r="67">
          <cell r="Y67" t="str">
            <v>MODAL</v>
          </cell>
          <cell r="AJ67" t="str">
            <v>/ SOPIR</v>
          </cell>
          <cell r="AK67" t="str">
            <v>/ JAM</v>
          </cell>
          <cell r="AL67" t="str">
            <v>JAM KERJA</v>
          </cell>
        </row>
        <row r="68">
          <cell r="P68" t="str">
            <v>(HP)</v>
          </cell>
          <cell r="Q68" t="str">
            <v>-</v>
          </cell>
          <cell r="S68" t="str">
            <v>(Tahun)</v>
          </cell>
          <cell r="T68" t="str">
            <v>(Tahun)</v>
          </cell>
          <cell r="U68" t="str">
            <v>(Jam)</v>
          </cell>
          <cell r="V68" t="str">
            <v>(Rp.)</v>
          </cell>
          <cell r="W68" t="str">
            <v>(Rp.)</v>
          </cell>
          <cell r="X68" t="str">
            <v>-</v>
          </cell>
          <cell r="Y68" t="str">
            <v>(Rp.)</v>
          </cell>
          <cell r="Z68" t="str">
            <v>(Rp.)</v>
          </cell>
          <cell r="AA68" t="str">
            <v>(Rp.)</v>
          </cell>
          <cell r="AB68" t="str">
            <v>Lt/HP/Jam</v>
          </cell>
          <cell r="AC68" t="str">
            <v>Ltr/HP/Jam</v>
          </cell>
          <cell r="AD68" t="str">
            <v>(Rp.)</v>
          </cell>
          <cell r="AE68" t="str">
            <v>-</v>
          </cell>
          <cell r="AF68" t="str">
            <v>(Rp.)</v>
          </cell>
          <cell r="AG68" t="str">
            <v>-</v>
          </cell>
          <cell r="AH68" t="str">
            <v>(Rp.)</v>
          </cell>
          <cell r="AI68" t="str">
            <v>(Rp.)</v>
          </cell>
          <cell r="AJ68" t="str">
            <v>(Rp.)</v>
          </cell>
          <cell r="AK68" t="str">
            <v>(Rp.)</v>
          </cell>
          <cell r="AL68" t="str">
            <v>(Rp.)</v>
          </cell>
          <cell r="AM68" t="str">
            <v>KET.</v>
          </cell>
        </row>
        <row r="69">
          <cell r="L69" t="str">
            <v>No.</v>
          </cell>
          <cell r="M69" t="str">
            <v>JENIS PERALATAN</v>
          </cell>
          <cell r="O69" t="str">
            <v>KODE</v>
          </cell>
          <cell r="AD69" t="str">
            <v>f1 x HP x</v>
          </cell>
          <cell r="AI69" t="str">
            <v>1 Orang</v>
          </cell>
          <cell r="AJ69" t="str">
            <v>1 Orang</v>
          </cell>
        </row>
        <row r="70">
          <cell r="O70" t="str">
            <v>ALAT</v>
          </cell>
          <cell r="X70" t="str">
            <v>i(1+i)^A</v>
          </cell>
          <cell r="Y70" t="str">
            <v>(B - C) x D</v>
          </cell>
          <cell r="Z70" t="str">
            <v>0.002 x B</v>
          </cell>
          <cell r="AB70" t="str">
            <v>0.125</v>
          </cell>
          <cell r="AC70" t="str">
            <v>0.01</v>
          </cell>
          <cell r="AD70" t="str">
            <v>Harga BBM</v>
          </cell>
          <cell r="AE70" t="str">
            <v>0.0625</v>
          </cell>
          <cell r="AF70" t="str">
            <v>(g1 x B')</v>
          </cell>
          <cell r="AG70" t="str">
            <v>0.125</v>
          </cell>
          <cell r="AH70" t="str">
            <v>(g1 x B')</v>
          </cell>
          <cell r="AI70" t="str">
            <v>Per</v>
          </cell>
          <cell r="AJ70" t="str">
            <v>Per</v>
          </cell>
        </row>
        <row r="71">
          <cell r="W71" t="str">
            <v>(10% X B)</v>
          </cell>
          <cell r="X71" t="str">
            <v>-----------</v>
          </cell>
          <cell r="Y71" t="str">
            <v>-----------</v>
          </cell>
          <cell r="Z71" t="str">
            <v>-----------</v>
          </cell>
          <cell r="AA71" t="str">
            <v>(e1 + e2)</v>
          </cell>
          <cell r="AB71" t="str">
            <v>s / d</v>
          </cell>
          <cell r="AC71" t="str">
            <v>s / d</v>
          </cell>
          <cell r="AD71" t="str">
            <v>+</v>
          </cell>
          <cell r="AE71" t="str">
            <v>s / d</v>
          </cell>
          <cell r="AF71" t="str">
            <v>-----</v>
          </cell>
          <cell r="AG71" t="str">
            <v>s / d</v>
          </cell>
          <cell r="AH71" t="str">
            <v>-----------</v>
          </cell>
          <cell r="AI71" t="str">
            <v>Jam Kerja</v>
          </cell>
          <cell r="AJ71" t="str">
            <v>Jam Kerja</v>
          </cell>
          <cell r="AK71" t="str">
            <v>F+G+H+I</v>
          </cell>
          <cell r="AL71" t="str">
            <v>E + J</v>
          </cell>
        </row>
        <row r="72">
          <cell r="X72" t="str">
            <v>(1+i)^A-1</v>
          </cell>
          <cell r="Y72" t="str">
            <v>W</v>
          </cell>
          <cell r="Z72" t="str">
            <v>W</v>
          </cell>
          <cell r="AB72" t="str">
            <v>0.175</v>
          </cell>
          <cell r="AC72" t="str">
            <v>0.02</v>
          </cell>
          <cell r="AD72" t="str">
            <v>f2 x HP x</v>
          </cell>
          <cell r="AE72" t="str">
            <v>0.0875</v>
          </cell>
          <cell r="AF72" t="str">
            <v>W</v>
          </cell>
          <cell r="AG72" t="str">
            <v>0.175</v>
          </cell>
          <cell r="AH72" t="str">
            <v>W</v>
          </cell>
          <cell r="AI72" t="str">
            <v>=</v>
          </cell>
          <cell r="AJ72" t="str">
            <v>=</v>
          </cell>
        </row>
        <row r="73">
          <cell r="AD73" t="str">
            <v>Harga Olie</v>
          </cell>
          <cell r="AI73">
            <v>5000</v>
          </cell>
          <cell r="AJ73">
            <v>5000</v>
          </cell>
        </row>
        <row r="74">
          <cell r="P74" t="str">
            <v>HP</v>
          </cell>
          <cell r="Q74" t="str">
            <v>Cp</v>
          </cell>
          <cell r="S74" t="str">
            <v>B</v>
          </cell>
          <cell r="T74" t="str">
            <v>A</v>
          </cell>
          <cell r="U74" t="str">
            <v>W</v>
          </cell>
          <cell r="V74" t="str">
            <v>B</v>
          </cell>
          <cell r="W74" t="str">
            <v>C</v>
          </cell>
          <cell r="X74" t="str">
            <v>D</v>
          </cell>
          <cell r="Y74" t="str">
            <v>e1</v>
          </cell>
          <cell r="Z74" t="str">
            <v>e2</v>
          </cell>
          <cell r="AA74" t="str">
            <v>E</v>
          </cell>
          <cell r="AB74" t="str">
            <v>f1</v>
          </cell>
          <cell r="AC74" t="str">
            <v>f2</v>
          </cell>
          <cell r="AD74" t="str">
            <v>F</v>
          </cell>
          <cell r="AE74" t="str">
            <v>g1</v>
          </cell>
          <cell r="AF74" t="str">
            <v>G</v>
          </cell>
          <cell r="AG74" t="str">
            <v>g1</v>
          </cell>
          <cell r="AH74" t="str">
            <v>G</v>
          </cell>
          <cell r="AI74" t="str">
            <v>H</v>
          </cell>
          <cell r="AJ74" t="str">
            <v>I</v>
          </cell>
          <cell r="AK74" t="str">
            <v>J</v>
          </cell>
          <cell r="AL74" t="str">
            <v>K</v>
          </cell>
          <cell r="AM74" t="str">
            <v>L</v>
          </cell>
        </row>
        <row r="75">
          <cell r="L75" t="str">
            <v>1</v>
          </cell>
          <cell r="M75" t="str">
            <v>2</v>
          </cell>
          <cell r="O75" t="str">
            <v>2a</v>
          </cell>
          <cell r="P75" t="str">
            <v>3</v>
          </cell>
          <cell r="Q75" t="str">
            <v>4</v>
          </cell>
          <cell r="S75" t="str">
            <v>5</v>
          </cell>
          <cell r="T75" t="str">
            <v>6</v>
          </cell>
          <cell r="U75" t="str">
            <v>7</v>
          </cell>
          <cell r="V75" t="str">
            <v>8</v>
          </cell>
          <cell r="W75" t="str">
            <v>9</v>
          </cell>
          <cell r="X75" t="str">
            <v>10</v>
          </cell>
          <cell r="Y75" t="str">
            <v>11</v>
          </cell>
          <cell r="Z75" t="str">
            <v>12</v>
          </cell>
          <cell r="AA75" t="str">
            <v>13</v>
          </cell>
          <cell r="AB75" t="str">
            <v>14</v>
          </cell>
          <cell r="AC75" t="str">
            <v>15</v>
          </cell>
          <cell r="AD75" t="str">
            <v>16</v>
          </cell>
          <cell r="AE75" t="str">
            <v>17</v>
          </cell>
          <cell r="AF75" t="str">
            <v>18</v>
          </cell>
          <cell r="AG75" t="str">
            <v>17</v>
          </cell>
          <cell r="AH75" t="str">
            <v>18</v>
          </cell>
          <cell r="AI75" t="str">
            <v>19</v>
          </cell>
          <cell r="AJ75" t="str">
            <v>20</v>
          </cell>
          <cell r="AK75" t="str">
            <v>21</v>
          </cell>
          <cell r="AL75" t="str">
            <v>22</v>
          </cell>
          <cell r="AM75" t="str">
            <v>23</v>
          </cell>
        </row>
        <row r="77">
          <cell r="L77" t="str">
            <v>35.</v>
          </cell>
          <cell r="N77" t="e">
            <v>#REF!</v>
          </cell>
          <cell r="O77" t="e">
            <v>#REF!</v>
          </cell>
          <cell r="P77" t="e">
            <v>#REF!</v>
          </cell>
          <cell r="Q77" t="e">
            <v>#REF!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V77" t="e">
            <v>#REF!</v>
          </cell>
          <cell r="W77" t="e">
            <v>#REF!</v>
          </cell>
          <cell r="X77" t="e">
            <v>#REF!</v>
          </cell>
          <cell r="Y77" t="e">
            <v>#REF!</v>
          </cell>
          <cell r="Z77" t="e">
            <v>#REF!</v>
          </cell>
          <cell r="AA77" t="e">
            <v>#REF!</v>
          </cell>
          <cell r="AB77" t="e">
            <v>#REF!</v>
          </cell>
          <cell r="AC77" t="e">
            <v>#REF!</v>
          </cell>
          <cell r="AD77" t="e">
            <v>#REF!</v>
          </cell>
          <cell r="AE77">
            <v>0</v>
          </cell>
          <cell r="AF77" t="e">
            <v>#REF!</v>
          </cell>
          <cell r="AG77" t="e">
            <v>#REF!</v>
          </cell>
          <cell r="AH77" t="e">
            <v>#REF!</v>
          </cell>
          <cell r="AI77">
            <v>5000</v>
          </cell>
          <cell r="AJ77">
            <v>5000</v>
          </cell>
          <cell r="AK77" t="e">
            <v>#REF!</v>
          </cell>
          <cell r="AL77" t="e">
            <v>#REF!</v>
          </cell>
          <cell r="AM77" t="e">
            <v>#REF!</v>
          </cell>
        </row>
        <row r="78">
          <cell r="L78" t="str">
            <v>36.</v>
          </cell>
        </row>
        <row r="79">
          <cell r="L79" t="str">
            <v>37.</v>
          </cell>
        </row>
        <row r="80">
          <cell r="L80" t="str">
            <v>38.</v>
          </cell>
        </row>
        <row r="81">
          <cell r="L81" t="str">
            <v>39.</v>
          </cell>
        </row>
        <row r="82">
          <cell r="L82" t="str">
            <v>40.</v>
          </cell>
        </row>
        <row r="83">
          <cell r="L83" t="str">
            <v>41.</v>
          </cell>
        </row>
        <row r="84">
          <cell r="L84" t="str">
            <v>42.</v>
          </cell>
        </row>
        <row r="85">
          <cell r="L85" t="str">
            <v>43.</v>
          </cell>
        </row>
        <row r="86">
          <cell r="L86" t="str">
            <v>44.</v>
          </cell>
        </row>
        <row r="87">
          <cell r="L87" t="str">
            <v>45.</v>
          </cell>
        </row>
        <row r="88">
          <cell r="L88" t="str">
            <v>46.</v>
          </cell>
        </row>
        <row r="89">
          <cell r="L89" t="str">
            <v>47.</v>
          </cell>
        </row>
        <row r="90">
          <cell r="L90" t="str">
            <v>48.</v>
          </cell>
        </row>
        <row r="91">
          <cell r="L91" t="str">
            <v>49.</v>
          </cell>
        </row>
        <row r="92">
          <cell r="L92" t="str">
            <v>50.</v>
          </cell>
        </row>
        <row r="93">
          <cell r="L93" t="str">
            <v>51.</v>
          </cell>
        </row>
        <row r="94">
          <cell r="L94" t="str">
            <v>52.</v>
          </cell>
        </row>
        <row r="95">
          <cell r="L95" t="str">
            <v>53.</v>
          </cell>
        </row>
        <row r="96">
          <cell r="L96" t="str">
            <v>54.</v>
          </cell>
        </row>
        <row r="97">
          <cell r="L97" t="str">
            <v>55.</v>
          </cell>
        </row>
        <row r="98">
          <cell r="L98" t="str">
            <v>56.</v>
          </cell>
        </row>
        <row r="99">
          <cell r="L99" t="str">
            <v>57.</v>
          </cell>
        </row>
        <row r="100">
          <cell r="L100" t="str">
            <v>58.</v>
          </cell>
        </row>
        <row r="101">
          <cell r="L101" t="str">
            <v>59.</v>
          </cell>
        </row>
        <row r="102">
          <cell r="L102" t="str">
            <v>60.</v>
          </cell>
        </row>
        <row r="103">
          <cell r="L103" t="str">
            <v>61.</v>
          </cell>
        </row>
        <row r="104">
          <cell r="L104" t="str">
            <v>62.</v>
          </cell>
        </row>
        <row r="105">
          <cell r="L105" t="str">
            <v>63.</v>
          </cell>
        </row>
        <row r="106">
          <cell r="L106" t="str">
            <v>64.</v>
          </cell>
        </row>
        <row r="107">
          <cell r="L107" t="str">
            <v>65.</v>
          </cell>
        </row>
        <row r="108">
          <cell r="L108" t="str">
            <v>66.</v>
          </cell>
        </row>
        <row r="109">
          <cell r="L109" t="str">
            <v>67.</v>
          </cell>
        </row>
        <row r="110">
          <cell r="L110" t="str">
            <v>68.</v>
          </cell>
        </row>
        <row r="111">
          <cell r="N111" t="str">
            <v xml:space="preserve">KETERANGAN  : </v>
          </cell>
          <cell r="O111" t="str">
            <v>1.</v>
          </cell>
          <cell r="P111" t="str">
            <v>Tingkat Suku Bunga</v>
          </cell>
          <cell r="U111" t="str">
            <v>=</v>
          </cell>
          <cell r="V111">
            <v>20</v>
          </cell>
          <cell r="W111" t="str">
            <v>%  per-tahun</v>
          </cell>
        </row>
        <row r="112">
          <cell r="O112" t="str">
            <v>2.</v>
          </cell>
          <cell r="P112" t="str">
            <v>Upah Operator / Sopir / Mekanik</v>
          </cell>
          <cell r="U112" t="str">
            <v>=</v>
          </cell>
          <cell r="V112">
            <v>5000</v>
          </cell>
          <cell r="W112" t="str">
            <v>Rupiah per-orang/jam</v>
          </cell>
        </row>
        <row r="113">
          <cell r="O113" t="str">
            <v>3.</v>
          </cell>
          <cell r="P113" t="str">
            <v>Upah Pembantu Operator/Sopir/Mekanik</v>
          </cell>
          <cell r="U113" t="str">
            <v>=</v>
          </cell>
          <cell r="V113">
            <v>5000</v>
          </cell>
          <cell r="W113" t="str">
            <v>Rupiah per-orang/jam</v>
          </cell>
        </row>
        <row r="114">
          <cell r="O114" t="str">
            <v>4.</v>
          </cell>
          <cell r="P114" t="str">
            <v>Harga Bahan Bakar Bensin</v>
          </cell>
          <cell r="U114" t="str">
            <v>=</v>
          </cell>
          <cell r="V114">
            <v>5000</v>
          </cell>
          <cell r="W114" t="str">
            <v>Rupiah per-liter</v>
          </cell>
        </row>
        <row r="115">
          <cell r="O115" t="str">
            <v>5.</v>
          </cell>
          <cell r="P115" t="str">
            <v>Harga Bahan Bakar Solar</v>
          </cell>
          <cell r="U115" t="str">
            <v>=</v>
          </cell>
          <cell r="V115">
            <v>5000</v>
          </cell>
          <cell r="W115" t="str">
            <v>Rupiah per-liter</v>
          </cell>
        </row>
        <row r="116">
          <cell r="O116" t="str">
            <v>6.</v>
          </cell>
          <cell r="P116" t="str">
            <v>Minyak Pelumas</v>
          </cell>
          <cell r="U116" t="str">
            <v>=</v>
          </cell>
          <cell r="V116">
            <v>5000</v>
          </cell>
          <cell r="W116" t="str">
            <v>Rupiah per-liter</v>
          </cell>
        </row>
        <row r="117">
          <cell r="O117" t="str">
            <v>7.</v>
          </cell>
          <cell r="P117" t="str">
            <v>Pajak Pertambahan Nilai (PPN) diperhitungkan pada Lembar Rekapitulasi Biaya Pekerjaan</v>
          </cell>
        </row>
        <row r="118">
          <cell r="O118" t="str">
            <v>8.</v>
          </cell>
          <cell r="P118" t="str">
            <v>Khusus AMP, biaya bahan bakar ditambah (untuk pemanasan material) sebesar : 12 Liter x (Kapasitas AMP Riil = 0.7 x Kapasitas AMP/Jam) x Harga BBM Solar ,  (kolom 16)</v>
          </cell>
        </row>
        <row r="123">
          <cell r="A123" t="str">
            <v>URAIAN ANALISA ALAT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KET.</v>
          </cell>
        </row>
        <row r="129">
          <cell r="A129" t="str">
            <v>A.</v>
          </cell>
          <cell r="C129" t="str">
            <v>URAIAN PERALATAN</v>
          </cell>
        </row>
        <row r="130">
          <cell r="A130" t="str">
            <v xml:space="preserve">       1.</v>
          </cell>
          <cell r="C130" t="str">
            <v>Jenis Peralatan</v>
          </cell>
          <cell r="G130" t="str">
            <v>WHEEL LOADER 1.0-1.6 M3</v>
          </cell>
          <cell r="J130" t="str">
            <v>E15</v>
          </cell>
        </row>
        <row r="131">
          <cell r="A131" t="str">
            <v xml:space="preserve">       2.</v>
          </cell>
          <cell r="C131" t="str">
            <v>Tenaga</v>
          </cell>
          <cell r="G131" t="str">
            <v>Pw</v>
          </cell>
          <cell r="H131">
            <v>105</v>
          </cell>
          <cell r="I131" t="str">
            <v>HP</v>
          </cell>
        </row>
        <row r="132">
          <cell r="A132" t="str">
            <v xml:space="preserve">       3.</v>
          </cell>
          <cell r="C132" t="str">
            <v>Kapasitas</v>
          </cell>
          <cell r="G132" t="str">
            <v>Cp</v>
          </cell>
          <cell r="H132">
            <v>1.5</v>
          </cell>
          <cell r="I132" t="str">
            <v>M3</v>
          </cell>
        </row>
        <row r="133">
          <cell r="A133" t="str">
            <v xml:space="preserve">       4.</v>
          </cell>
          <cell r="C133" t="str">
            <v>Alat Baru                :</v>
          </cell>
          <cell r="D133" t="str">
            <v xml:space="preserve">  a.  Umur Ekonomis</v>
          </cell>
          <cell r="G133" t="str">
            <v>A</v>
          </cell>
          <cell r="H133">
            <v>5</v>
          </cell>
          <cell r="I133" t="str">
            <v>Tahun</v>
          </cell>
        </row>
        <row r="134">
          <cell r="D134" t="str">
            <v xml:space="preserve">  b.  Jam Kerja Dalam 1 Tahun</v>
          </cell>
          <cell r="G134" t="str">
            <v>W</v>
          </cell>
          <cell r="H134">
            <v>2000</v>
          </cell>
          <cell r="I134" t="str">
            <v>Jam</v>
          </cell>
        </row>
        <row r="135">
          <cell r="D135" t="str">
            <v xml:space="preserve">  c.  Harga Alat</v>
          </cell>
          <cell r="G135" t="str">
            <v>B</v>
          </cell>
          <cell r="H135">
            <v>850000000</v>
          </cell>
          <cell r="I135" t="str">
            <v>Rupiah</v>
          </cell>
        </row>
        <row r="136">
          <cell r="A136" t="str">
            <v xml:space="preserve">       5.</v>
          </cell>
          <cell r="C136" t="str">
            <v>Alat Yang Dipakai  :</v>
          </cell>
          <cell r="D136" t="str">
            <v xml:space="preserve">  a.  Umur Ekonomis</v>
          </cell>
          <cell r="G136" t="str">
            <v>A'</v>
          </cell>
          <cell r="H136">
            <v>5</v>
          </cell>
          <cell r="I136" t="str">
            <v>Tahun</v>
          </cell>
          <cell r="J136" t="str">
            <v xml:space="preserve"> Alat Baru</v>
          </cell>
        </row>
        <row r="137">
          <cell r="D137" t="str">
            <v xml:space="preserve">  b.  Jam Kerja Dalam 1 Tahun </v>
          </cell>
          <cell r="G137" t="str">
            <v>W'</v>
          </cell>
          <cell r="H137">
            <v>2000</v>
          </cell>
          <cell r="I137" t="str">
            <v>Jam</v>
          </cell>
          <cell r="J137" t="str">
            <v xml:space="preserve"> Alat Baru</v>
          </cell>
        </row>
        <row r="138">
          <cell r="D138" t="str">
            <v xml:space="preserve">  c.  Harga Alat   (*)</v>
          </cell>
          <cell r="G138" t="str">
            <v>B'</v>
          </cell>
          <cell r="H138">
            <v>850000000</v>
          </cell>
          <cell r="I138" t="str">
            <v>Rupiah</v>
          </cell>
          <cell r="J138" t="str">
            <v xml:space="preserve"> Alat Baru</v>
          </cell>
        </row>
        <row r="140">
          <cell r="A140" t="str">
            <v>B.</v>
          </cell>
          <cell r="C140" t="str">
            <v>BIAYA PASTI PER JAM KERJA</v>
          </cell>
        </row>
        <row r="141">
          <cell r="A141" t="str">
            <v xml:space="preserve">       1.</v>
          </cell>
          <cell r="C141" t="str">
            <v>Nilai Sisa Alat</v>
          </cell>
          <cell r="D141" t="str">
            <v>=  10 % x B</v>
          </cell>
          <cell r="G141" t="str">
            <v>C</v>
          </cell>
          <cell r="H141">
            <v>85000000</v>
          </cell>
          <cell r="I141" t="str">
            <v>Rupiah</v>
          </cell>
        </row>
        <row r="143">
          <cell r="A143" t="str">
            <v xml:space="preserve">       2.</v>
          </cell>
          <cell r="C143" t="str">
            <v>Faktor Angsuran Modal    =</v>
          </cell>
          <cell r="E143" t="str">
            <v>i x (1 + i)^A'</v>
          </cell>
          <cell r="G143" t="str">
            <v>D</v>
          </cell>
          <cell r="H143">
            <v>0.33437970328961514</v>
          </cell>
          <cell r="I143" t="str">
            <v>-</v>
          </cell>
        </row>
        <row r="144">
          <cell r="E144" t="str">
            <v>(1 + i)^A' - 1</v>
          </cell>
        </row>
        <row r="145">
          <cell r="A145" t="str">
            <v xml:space="preserve">       3.</v>
          </cell>
          <cell r="C145" t="str">
            <v>Biaya Pasti per Jam  :</v>
          </cell>
        </row>
        <row r="146">
          <cell r="C146" t="str">
            <v>a.  Biaya Pengembalian Modal  =</v>
          </cell>
          <cell r="E146" t="str">
            <v>( B' - C ) x D</v>
          </cell>
          <cell r="G146" t="str">
            <v>E</v>
          </cell>
          <cell r="H146">
            <v>127900.23650827778</v>
          </cell>
          <cell r="I146" t="str">
            <v>Rupiah</v>
          </cell>
        </row>
        <row r="147">
          <cell r="E147" t="str">
            <v>W'</v>
          </cell>
        </row>
        <row r="149">
          <cell r="C149" t="str">
            <v>b.  Asuransi, dll =</v>
          </cell>
          <cell r="D149">
            <v>2E-3</v>
          </cell>
          <cell r="E149" t="str">
            <v xml:space="preserve">  x   B'</v>
          </cell>
          <cell r="G149" t="str">
            <v>F</v>
          </cell>
          <cell r="H149">
            <v>850</v>
          </cell>
          <cell r="I149" t="str">
            <v>Rupiah</v>
          </cell>
        </row>
        <row r="150">
          <cell r="E150" t="str">
            <v>W'</v>
          </cell>
        </row>
        <row r="152">
          <cell r="C152" t="str">
            <v>Biaya Pasti per Jam             =</v>
          </cell>
          <cell r="E152" t="str">
            <v>( E + F )</v>
          </cell>
          <cell r="G152" t="str">
            <v>G</v>
          </cell>
          <cell r="H152">
            <v>128750.23650827778</v>
          </cell>
          <cell r="I152" t="str">
            <v>Rupiah</v>
          </cell>
        </row>
        <row r="154">
          <cell r="A154" t="str">
            <v>C.</v>
          </cell>
          <cell r="C154" t="str">
            <v>BIAYA OPERASI PER JAM KERJA</v>
          </cell>
        </row>
        <row r="156">
          <cell r="A156" t="str">
            <v xml:space="preserve">       1.</v>
          </cell>
          <cell r="C156" t="str">
            <v xml:space="preserve">Bahan Bakar  =  (0.125-0.175 Ltr/HP/Jam)   x Pw x Ms </v>
          </cell>
          <cell r="G156" t="str">
            <v>H</v>
          </cell>
          <cell r="H156">
            <v>107625</v>
          </cell>
          <cell r="I156" t="str">
            <v>Rupiah</v>
          </cell>
        </row>
        <row r="158">
          <cell r="A158" t="str">
            <v xml:space="preserve">       2.</v>
          </cell>
          <cell r="C158" t="str">
            <v>Pelumas         =  (0.01-0.02 Ltr/HP/Jam) x Pw x Mp</v>
          </cell>
          <cell r="G158" t="str">
            <v>I</v>
          </cell>
          <cell r="H158">
            <v>52500</v>
          </cell>
          <cell r="I158" t="str">
            <v>Rupiah</v>
          </cell>
        </row>
        <row r="160">
          <cell r="A160" t="str">
            <v xml:space="preserve">       3.</v>
          </cell>
          <cell r="C160" t="str">
            <v>Perawatan dan</v>
          </cell>
          <cell r="D160" t="str">
            <v>(12,5 % - 17,5 %)  x  B'</v>
          </cell>
          <cell r="G160" t="str">
            <v>K</v>
          </cell>
          <cell r="H160">
            <v>53125</v>
          </cell>
          <cell r="I160" t="str">
            <v>Rupiah</v>
          </cell>
        </row>
        <row r="161">
          <cell r="C161" t="str">
            <v xml:space="preserve">        perbaikan    =</v>
          </cell>
          <cell r="D161" t="str">
            <v>W'</v>
          </cell>
        </row>
        <row r="163">
          <cell r="A163" t="str">
            <v xml:space="preserve">       4.</v>
          </cell>
          <cell r="C163" t="str">
            <v>Operator</v>
          </cell>
          <cell r="D163" t="str">
            <v>=   ( 1  Orang / Jam )  x  U1</v>
          </cell>
          <cell r="G163" t="str">
            <v>L</v>
          </cell>
          <cell r="H163">
            <v>17140</v>
          </cell>
          <cell r="I163" t="str">
            <v>Rupiah</v>
          </cell>
        </row>
        <row r="164">
          <cell r="A164" t="str">
            <v xml:space="preserve">       5.</v>
          </cell>
          <cell r="C164" t="str">
            <v>Pembantu Operator</v>
          </cell>
          <cell r="D164" t="str">
            <v>=   ( 1  Orang / Jam )  x  U2</v>
          </cell>
          <cell r="G164" t="str">
            <v>M</v>
          </cell>
          <cell r="H164">
            <v>7860</v>
          </cell>
          <cell r="I164" t="str">
            <v>Rupiah</v>
          </cell>
        </row>
        <row r="166">
          <cell r="C166" t="str">
            <v>Biaya Operasi per Jam        =</v>
          </cell>
          <cell r="E166" t="str">
            <v>(H+I+K+L+M)</v>
          </cell>
          <cell r="G166" t="str">
            <v>P</v>
          </cell>
          <cell r="H166">
            <v>238250</v>
          </cell>
          <cell r="I166" t="str">
            <v>Rupiah</v>
          </cell>
        </row>
        <row r="168">
          <cell r="A168" t="str">
            <v>D.</v>
          </cell>
          <cell r="C168" t="str">
            <v>TOTAL BIAYA SEWA ALAT / JAM   =   ( G + P )</v>
          </cell>
          <cell r="G168" t="str">
            <v>S</v>
          </cell>
          <cell r="H168">
            <v>367000.23650827777</v>
          </cell>
          <cell r="I168" t="str">
            <v>Rupiah</v>
          </cell>
        </row>
        <row r="171">
          <cell r="A171" t="str">
            <v>E.</v>
          </cell>
          <cell r="C171" t="str">
            <v>LAIN - LAIN</v>
          </cell>
        </row>
        <row r="172">
          <cell r="A172" t="str">
            <v xml:space="preserve">       1.</v>
          </cell>
          <cell r="C172" t="str">
            <v>Tingkat Suku Bunga</v>
          </cell>
          <cell r="G172" t="str">
            <v>i</v>
          </cell>
          <cell r="H172">
            <v>20</v>
          </cell>
          <cell r="I172" t="str">
            <v>% / Tahun</v>
          </cell>
        </row>
        <row r="173">
          <cell r="A173" t="str">
            <v xml:space="preserve">       2.</v>
          </cell>
          <cell r="C173" t="str">
            <v>Upah Operator / Sopir</v>
          </cell>
          <cell r="G173" t="str">
            <v>U1</v>
          </cell>
          <cell r="H173">
            <v>17140</v>
          </cell>
          <cell r="I173" t="str">
            <v>Rp./Jam</v>
          </cell>
        </row>
        <row r="174">
          <cell r="A174" t="str">
            <v xml:space="preserve">       3.</v>
          </cell>
          <cell r="C174" t="str">
            <v>Upah Pembantu Operator / Pmb.Sopir</v>
          </cell>
          <cell r="G174" t="str">
            <v>U2</v>
          </cell>
          <cell r="H174">
            <v>7860</v>
          </cell>
          <cell r="I174" t="str">
            <v>Rp./Jam</v>
          </cell>
        </row>
        <row r="175">
          <cell r="A175" t="str">
            <v xml:space="preserve">       4.</v>
          </cell>
          <cell r="C175" t="str">
            <v>Bahan Bakar Bensin</v>
          </cell>
          <cell r="G175" t="str">
            <v>Mb</v>
          </cell>
          <cell r="H175">
            <v>8500</v>
          </cell>
          <cell r="I175" t="str">
            <v>Liter</v>
          </cell>
        </row>
        <row r="176">
          <cell r="A176" t="str">
            <v xml:space="preserve">       5.</v>
          </cell>
          <cell r="C176" t="str">
            <v>Bahan Bakar Solar</v>
          </cell>
          <cell r="G176" t="str">
            <v>Ms</v>
          </cell>
          <cell r="H176">
            <v>8200</v>
          </cell>
          <cell r="I176" t="str">
            <v>Liter</v>
          </cell>
        </row>
        <row r="177">
          <cell r="A177" t="str">
            <v xml:space="preserve">       6.</v>
          </cell>
          <cell r="C177" t="str">
            <v>Minyak Pelumas</v>
          </cell>
          <cell r="G177" t="str">
            <v>Mp</v>
          </cell>
          <cell r="H177">
            <v>50000</v>
          </cell>
          <cell r="I177" t="str">
            <v>Liter</v>
          </cell>
        </row>
        <row r="178">
          <cell r="A178" t="str">
            <v xml:space="preserve">       7.</v>
          </cell>
          <cell r="C178" t="str">
            <v>PPN diperhitungkan pada lembar Rekapitulasi</v>
          </cell>
        </row>
        <row r="179">
          <cell r="C179" t="str">
            <v>Biaya Pekerjaan</v>
          </cell>
        </row>
      </sheetData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"/>
      <sheetName val="Batas"/>
      <sheetName val="PO Dikjar"/>
      <sheetName val="LK Dikjar"/>
      <sheetName val="uRAIAN"/>
      <sheetName val="Sah"/>
      <sheetName val="DIP-1"/>
      <sheetName val="DIP-2"/>
      <sheetName val="DIP-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PS"/>
      <sheetName val="WT"/>
      <sheetName val="MFC"/>
      <sheetName val="ADJ VOL"/>
      <sheetName val="1st"/>
      <sheetName val="2nd"/>
      <sheetName val="3rd"/>
      <sheetName val="4th"/>
      <sheetName val="5th"/>
      <sheetName val="6th"/>
      <sheetName val="SUM1"/>
      <sheetName val="SUM2"/>
      <sheetName val="SUM4"/>
      <sheetName val="SUM3"/>
      <sheetName val="SUM5"/>
      <sheetName val="SUM6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4">
          <cell r="B14" t="str">
            <v>A</v>
          </cell>
        </row>
        <row r="15">
          <cell r="B15" t="str">
            <v>A</v>
          </cell>
        </row>
        <row r="16">
          <cell r="B16" t="str">
            <v>A</v>
          </cell>
        </row>
        <row r="17">
          <cell r="B17" t="str">
            <v>A</v>
          </cell>
        </row>
        <row r="19">
          <cell r="B19" t="str">
            <v>A</v>
          </cell>
        </row>
        <row r="20">
          <cell r="B20" t="str">
            <v>A</v>
          </cell>
        </row>
        <row r="21">
          <cell r="B21" t="str">
            <v>A</v>
          </cell>
        </row>
        <row r="25">
          <cell r="B25" t="str">
            <v>B</v>
          </cell>
          <cell r="AU25">
            <v>0</v>
          </cell>
        </row>
        <row r="27">
          <cell r="B27" t="str">
            <v>B</v>
          </cell>
          <cell r="AU27">
            <v>0</v>
          </cell>
        </row>
        <row r="28">
          <cell r="B28" t="str">
            <v>B</v>
          </cell>
          <cell r="AU28">
            <v>0</v>
          </cell>
        </row>
        <row r="29">
          <cell r="B29" t="str">
            <v>B</v>
          </cell>
        </row>
        <row r="30">
          <cell r="B30" t="str">
            <v>B</v>
          </cell>
          <cell r="AU30">
            <v>0</v>
          </cell>
        </row>
        <row r="31">
          <cell r="B31" t="str">
            <v>B</v>
          </cell>
        </row>
        <row r="32">
          <cell r="B32" t="str">
            <v>B</v>
          </cell>
          <cell r="AU32">
            <v>0</v>
          </cell>
        </row>
        <row r="33">
          <cell r="B33" t="str">
            <v>B</v>
          </cell>
          <cell r="AU33">
            <v>0</v>
          </cell>
        </row>
        <row r="34">
          <cell r="B34" t="str">
            <v>B</v>
          </cell>
        </row>
        <row r="35">
          <cell r="B35" t="str">
            <v>B</v>
          </cell>
        </row>
        <row r="36">
          <cell r="B36" t="str">
            <v>B</v>
          </cell>
          <cell r="AU36">
            <v>0</v>
          </cell>
        </row>
        <row r="37">
          <cell r="B37" t="str">
            <v>B</v>
          </cell>
        </row>
        <row r="38">
          <cell r="B38" t="str">
            <v>B</v>
          </cell>
        </row>
        <row r="39">
          <cell r="B39" t="str">
            <v>B</v>
          </cell>
        </row>
        <row r="40">
          <cell r="B40" t="str">
            <v>B</v>
          </cell>
        </row>
        <row r="42">
          <cell r="B42" t="str">
            <v>B</v>
          </cell>
          <cell r="AU42">
            <v>0</v>
          </cell>
        </row>
        <row r="43">
          <cell r="B43" t="str">
            <v>B</v>
          </cell>
        </row>
        <row r="44">
          <cell r="B44" t="str">
            <v>B</v>
          </cell>
          <cell r="AU44">
            <v>0</v>
          </cell>
        </row>
        <row r="46">
          <cell r="B46" t="str">
            <v>B</v>
          </cell>
          <cell r="AU46">
            <v>0</v>
          </cell>
        </row>
        <row r="47">
          <cell r="B47" t="str">
            <v>B</v>
          </cell>
          <cell r="AU47">
            <v>0</v>
          </cell>
        </row>
        <row r="48">
          <cell r="B48" t="str">
            <v>B</v>
          </cell>
        </row>
        <row r="52">
          <cell r="B52" t="str">
            <v>B</v>
          </cell>
          <cell r="AU52">
            <v>0</v>
          </cell>
        </row>
        <row r="56">
          <cell r="B56" t="str">
            <v>C</v>
          </cell>
          <cell r="AU56">
            <v>0</v>
          </cell>
        </row>
        <row r="58">
          <cell r="B58" t="str">
            <v>C</v>
          </cell>
          <cell r="AU58">
            <v>0</v>
          </cell>
        </row>
        <row r="60">
          <cell r="B60" t="str">
            <v>C</v>
          </cell>
          <cell r="AU60">
            <v>0</v>
          </cell>
        </row>
        <row r="61">
          <cell r="B61" t="str">
            <v>C</v>
          </cell>
          <cell r="AU61">
            <v>0</v>
          </cell>
        </row>
        <row r="62">
          <cell r="B62" t="str">
            <v>C</v>
          </cell>
          <cell r="AU62">
            <v>0</v>
          </cell>
        </row>
        <row r="63">
          <cell r="B63" t="str">
            <v>C</v>
          </cell>
          <cell r="AU63">
            <v>0</v>
          </cell>
        </row>
        <row r="64">
          <cell r="B64" t="str">
            <v>C</v>
          </cell>
          <cell r="AU64">
            <v>0</v>
          </cell>
        </row>
        <row r="65">
          <cell r="B65" t="str">
            <v>C</v>
          </cell>
          <cell r="AU65">
            <v>0</v>
          </cell>
        </row>
        <row r="66">
          <cell r="B66" t="str">
            <v>C</v>
          </cell>
          <cell r="AU66">
            <v>0</v>
          </cell>
        </row>
        <row r="67">
          <cell r="B67" t="str">
            <v>C</v>
          </cell>
          <cell r="AU67">
            <v>0</v>
          </cell>
        </row>
        <row r="68">
          <cell r="B68" t="str">
            <v>C</v>
          </cell>
          <cell r="AU68">
            <v>0</v>
          </cell>
        </row>
        <row r="69">
          <cell r="B69" t="str">
            <v>C</v>
          </cell>
          <cell r="AU69">
            <v>0</v>
          </cell>
        </row>
        <row r="70">
          <cell r="B70" t="str">
            <v>C</v>
          </cell>
          <cell r="AU70">
            <v>0</v>
          </cell>
        </row>
        <row r="71">
          <cell r="B71" t="str">
            <v>C</v>
          </cell>
        </row>
        <row r="72">
          <cell r="B72" t="str">
            <v>C</v>
          </cell>
          <cell r="AU72">
            <v>0</v>
          </cell>
        </row>
        <row r="74">
          <cell r="B74" t="str">
            <v>C</v>
          </cell>
          <cell r="AU74">
            <v>0</v>
          </cell>
        </row>
        <row r="75">
          <cell r="B75" t="str">
            <v>C</v>
          </cell>
          <cell r="AU75">
            <v>0</v>
          </cell>
        </row>
        <row r="76">
          <cell r="B76" t="str">
            <v>C</v>
          </cell>
        </row>
        <row r="78">
          <cell r="B78" t="str">
            <v>C</v>
          </cell>
          <cell r="AU78">
            <v>0</v>
          </cell>
        </row>
        <row r="79">
          <cell r="B79" t="str">
            <v>C</v>
          </cell>
          <cell r="AU79">
            <v>0</v>
          </cell>
        </row>
        <row r="80">
          <cell r="B80" t="str">
            <v>C</v>
          </cell>
        </row>
        <row r="81">
          <cell r="B81" t="str">
            <v>C</v>
          </cell>
          <cell r="AU81">
            <v>0</v>
          </cell>
        </row>
        <row r="82">
          <cell r="B82" t="str">
            <v>C</v>
          </cell>
          <cell r="AU82">
            <v>0</v>
          </cell>
        </row>
        <row r="83">
          <cell r="B83" t="str">
            <v>C</v>
          </cell>
          <cell r="AU83">
            <v>0</v>
          </cell>
        </row>
        <row r="89">
          <cell r="B89" t="str">
            <v>D</v>
          </cell>
          <cell r="AU89">
            <v>0</v>
          </cell>
        </row>
        <row r="90">
          <cell r="B90" t="str">
            <v>D</v>
          </cell>
          <cell r="AU90">
            <v>0</v>
          </cell>
        </row>
        <row r="92">
          <cell r="B92" t="str">
            <v>D</v>
          </cell>
          <cell r="AU92">
            <v>0</v>
          </cell>
        </row>
        <row r="93">
          <cell r="B93" t="str">
            <v>D</v>
          </cell>
          <cell r="AU93">
            <v>0</v>
          </cell>
        </row>
        <row r="94">
          <cell r="B94" t="str">
            <v>D</v>
          </cell>
          <cell r="AU94">
            <v>0</v>
          </cell>
        </row>
        <row r="95">
          <cell r="B95" t="str">
            <v>D</v>
          </cell>
          <cell r="AU95">
            <v>0</v>
          </cell>
        </row>
        <row r="96">
          <cell r="B96" t="str">
            <v>D</v>
          </cell>
          <cell r="AU96">
            <v>0</v>
          </cell>
        </row>
        <row r="97">
          <cell r="B97" t="str">
            <v>D</v>
          </cell>
          <cell r="AU97">
            <v>0</v>
          </cell>
        </row>
        <row r="98">
          <cell r="B98" t="str">
            <v>D</v>
          </cell>
          <cell r="AU98">
            <v>0</v>
          </cell>
        </row>
        <row r="99">
          <cell r="B99" t="str">
            <v>D</v>
          </cell>
          <cell r="AU99">
            <v>0</v>
          </cell>
        </row>
        <row r="100">
          <cell r="B100" t="str">
            <v>D</v>
          </cell>
          <cell r="AU100">
            <v>0</v>
          </cell>
        </row>
        <row r="101">
          <cell r="B101" t="str">
            <v>D</v>
          </cell>
        </row>
        <row r="104">
          <cell r="B104" t="str">
            <v>D</v>
          </cell>
          <cell r="AU104">
            <v>0</v>
          </cell>
        </row>
        <row r="105">
          <cell r="B105" t="str">
            <v>D</v>
          </cell>
          <cell r="AU105">
            <v>0</v>
          </cell>
        </row>
        <row r="106">
          <cell r="B106" t="str">
            <v>D</v>
          </cell>
          <cell r="AU106">
            <v>0</v>
          </cell>
        </row>
        <row r="107">
          <cell r="B107" t="str">
            <v>D</v>
          </cell>
          <cell r="AU107">
            <v>0</v>
          </cell>
        </row>
        <row r="108">
          <cell r="B108" t="str">
            <v>D</v>
          </cell>
          <cell r="AU108">
            <v>0</v>
          </cell>
        </row>
        <row r="109">
          <cell r="B109" t="str">
            <v>D</v>
          </cell>
          <cell r="AU109">
            <v>0</v>
          </cell>
        </row>
        <row r="110">
          <cell r="B110" t="str">
            <v>D</v>
          </cell>
          <cell r="AU110">
            <v>0</v>
          </cell>
        </row>
        <row r="111">
          <cell r="B111" t="str">
            <v>D</v>
          </cell>
          <cell r="AU111">
            <v>0</v>
          </cell>
        </row>
        <row r="112">
          <cell r="B112" t="str">
            <v>D</v>
          </cell>
          <cell r="AU112">
            <v>0</v>
          </cell>
        </row>
        <row r="113">
          <cell r="B113" t="str">
            <v>D</v>
          </cell>
          <cell r="AU113">
            <v>0</v>
          </cell>
        </row>
        <row r="114">
          <cell r="B114" t="str">
            <v>D</v>
          </cell>
          <cell r="AU114">
            <v>0</v>
          </cell>
        </row>
        <row r="115">
          <cell r="B115" t="str">
            <v>D</v>
          </cell>
          <cell r="AU115">
            <v>0</v>
          </cell>
        </row>
        <row r="116">
          <cell r="B116" t="str">
            <v>D</v>
          </cell>
        </row>
        <row r="117">
          <cell r="B117" t="str">
            <v>D</v>
          </cell>
          <cell r="AU117">
            <v>0</v>
          </cell>
        </row>
        <row r="118">
          <cell r="B118" t="str">
            <v>D</v>
          </cell>
        </row>
        <row r="119">
          <cell r="B119" t="str">
            <v>D</v>
          </cell>
          <cell r="AU119">
            <v>0</v>
          </cell>
        </row>
        <row r="121">
          <cell r="B121" t="str">
            <v>D</v>
          </cell>
          <cell r="AU121">
            <v>0</v>
          </cell>
        </row>
        <row r="122">
          <cell r="B122" t="str">
            <v>D</v>
          </cell>
          <cell r="AU122">
            <v>0</v>
          </cell>
        </row>
        <row r="123">
          <cell r="B123" t="str">
            <v>D</v>
          </cell>
          <cell r="AU123">
            <v>0</v>
          </cell>
        </row>
        <row r="124">
          <cell r="B124" t="str">
            <v>D</v>
          </cell>
          <cell r="AU124">
            <v>0</v>
          </cell>
        </row>
        <row r="125">
          <cell r="B125" t="str">
            <v>D</v>
          </cell>
          <cell r="AU125">
            <v>0</v>
          </cell>
        </row>
        <row r="126">
          <cell r="B126" t="str">
            <v>D</v>
          </cell>
          <cell r="AU126">
            <v>0</v>
          </cell>
        </row>
        <row r="130">
          <cell r="B130" t="str">
            <v>E</v>
          </cell>
          <cell r="AU130">
            <v>0</v>
          </cell>
        </row>
        <row r="131">
          <cell r="B131" t="str">
            <v>E</v>
          </cell>
          <cell r="AU131">
            <v>0</v>
          </cell>
        </row>
        <row r="133">
          <cell r="B133" t="str">
            <v>E</v>
          </cell>
          <cell r="AU133">
            <v>0</v>
          </cell>
        </row>
        <row r="134">
          <cell r="B134" t="str">
            <v>E</v>
          </cell>
          <cell r="AU134">
            <v>0</v>
          </cell>
        </row>
        <row r="135">
          <cell r="B135" t="str">
            <v>E</v>
          </cell>
          <cell r="AU135">
            <v>0</v>
          </cell>
        </row>
        <row r="136">
          <cell r="B136" t="str">
            <v>E</v>
          </cell>
          <cell r="AU136">
            <v>0</v>
          </cell>
        </row>
        <row r="137">
          <cell r="B137" t="str">
            <v>E</v>
          </cell>
          <cell r="AU137">
            <v>0</v>
          </cell>
        </row>
        <row r="138">
          <cell r="B138" t="str">
            <v>E</v>
          </cell>
          <cell r="AU138">
            <v>0</v>
          </cell>
        </row>
        <row r="139">
          <cell r="B139" t="str">
            <v>E</v>
          </cell>
          <cell r="AU139">
            <v>0</v>
          </cell>
        </row>
        <row r="140">
          <cell r="B140" t="str">
            <v>E</v>
          </cell>
          <cell r="AU140">
            <v>0</v>
          </cell>
        </row>
        <row r="141">
          <cell r="B141" t="str">
            <v>E</v>
          </cell>
          <cell r="AU141">
            <v>0</v>
          </cell>
        </row>
        <row r="142">
          <cell r="B142" t="str">
            <v>E</v>
          </cell>
        </row>
        <row r="143">
          <cell r="B143" t="str">
            <v>E</v>
          </cell>
          <cell r="AU143">
            <v>0</v>
          </cell>
        </row>
        <row r="144">
          <cell r="B144" t="str">
            <v>E</v>
          </cell>
          <cell r="AU144">
            <v>0</v>
          </cell>
        </row>
        <row r="145">
          <cell r="B145" t="str">
            <v>E</v>
          </cell>
          <cell r="AU145">
            <v>0</v>
          </cell>
        </row>
        <row r="146">
          <cell r="B146" t="str">
            <v>E</v>
          </cell>
          <cell r="AU146">
            <v>0</v>
          </cell>
        </row>
        <row r="147">
          <cell r="B147" t="str">
            <v>E</v>
          </cell>
          <cell r="AU147">
            <v>0</v>
          </cell>
        </row>
        <row r="148">
          <cell r="B148" t="str">
            <v>E</v>
          </cell>
          <cell r="AU148">
            <v>0</v>
          </cell>
        </row>
        <row r="149">
          <cell r="B149" t="str">
            <v>E</v>
          </cell>
          <cell r="AU149">
            <v>0</v>
          </cell>
        </row>
        <row r="150">
          <cell r="B150" t="str">
            <v>E</v>
          </cell>
          <cell r="AU150">
            <v>0</v>
          </cell>
        </row>
        <row r="152">
          <cell r="B152" t="str">
            <v>E</v>
          </cell>
          <cell r="AU152">
            <v>0</v>
          </cell>
        </row>
        <row r="153">
          <cell r="B153" t="str">
            <v>E</v>
          </cell>
          <cell r="AU153">
            <v>0</v>
          </cell>
        </row>
        <row r="154">
          <cell r="B154" t="str">
            <v>E</v>
          </cell>
          <cell r="AU154">
            <v>0</v>
          </cell>
        </row>
        <row r="155">
          <cell r="B155" t="str">
            <v>E</v>
          </cell>
          <cell r="AU155">
            <v>0</v>
          </cell>
        </row>
        <row r="156">
          <cell r="B156" t="str">
            <v>E</v>
          </cell>
          <cell r="AU156">
            <v>0</v>
          </cell>
        </row>
        <row r="157">
          <cell r="B157" t="str">
            <v>E</v>
          </cell>
          <cell r="AU157">
            <v>0</v>
          </cell>
        </row>
        <row r="158">
          <cell r="B158" t="str">
            <v>E</v>
          </cell>
          <cell r="AU158">
            <v>0</v>
          </cell>
        </row>
        <row r="159">
          <cell r="B159" t="str">
            <v>E</v>
          </cell>
          <cell r="AU159">
            <v>0</v>
          </cell>
        </row>
        <row r="160">
          <cell r="B160" t="str">
            <v>E</v>
          </cell>
          <cell r="AU160">
            <v>0</v>
          </cell>
        </row>
        <row r="161">
          <cell r="B161" t="str">
            <v>E</v>
          </cell>
          <cell r="AU161">
            <v>0</v>
          </cell>
        </row>
        <row r="162">
          <cell r="B162" t="str">
            <v>E</v>
          </cell>
          <cell r="AU162">
            <v>0</v>
          </cell>
        </row>
        <row r="163">
          <cell r="B163" t="str">
            <v>E</v>
          </cell>
          <cell r="AU163">
            <v>0</v>
          </cell>
        </row>
        <row r="164">
          <cell r="B164" t="str">
            <v>E</v>
          </cell>
          <cell r="AU164">
            <v>0</v>
          </cell>
        </row>
        <row r="165">
          <cell r="B165" t="str">
            <v>E</v>
          </cell>
          <cell r="AU165">
            <v>0</v>
          </cell>
        </row>
        <row r="166">
          <cell r="B166" t="str">
            <v>E</v>
          </cell>
          <cell r="AU166">
            <v>0</v>
          </cell>
        </row>
        <row r="167">
          <cell r="B167" t="str">
            <v>E</v>
          </cell>
          <cell r="AU167">
            <v>0</v>
          </cell>
        </row>
        <row r="168">
          <cell r="B168" t="str">
            <v>E</v>
          </cell>
        </row>
        <row r="169">
          <cell r="B169" t="str">
            <v>E</v>
          </cell>
          <cell r="AU169">
            <v>0</v>
          </cell>
        </row>
        <row r="170">
          <cell r="B170" t="str">
            <v>E</v>
          </cell>
          <cell r="AU170">
            <v>0</v>
          </cell>
        </row>
        <row r="171">
          <cell r="B171" t="str">
            <v>E</v>
          </cell>
          <cell r="AU171">
            <v>0</v>
          </cell>
        </row>
        <row r="176">
          <cell r="B176" t="str">
            <v>E</v>
          </cell>
          <cell r="AU176">
            <v>0</v>
          </cell>
        </row>
        <row r="177">
          <cell r="B177" t="str">
            <v>E</v>
          </cell>
          <cell r="AU177">
            <v>0</v>
          </cell>
        </row>
        <row r="178">
          <cell r="B178" t="str">
            <v>E</v>
          </cell>
          <cell r="AU178">
            <v>0</v>
          </cell>
        </row>
        <row r="179">
          <cell r="B179" t="str">
            <v>E</v>
          </cell>
          <cell r="AU179">
            <v>0</v>
          </cell>
        </row>
        <row r="180">
          <cell r="B180" t="str">
            <v>E</v>
          </cell>
          <cell r="AU180">
            <v>0</v>
          </cell>
        </row>
        <row r="181">
          <cell r="B181" t="str">
            <v>E</v>
          </cell>
          <cell r="AU181">
            <v>0</v>
          </cell>
        </row>
        <row r="182">
          <cell r="B182" t="str">
            <v>E</v>
          </cell>
          <cell r="AU182">
            <v>0</v>
          </cell>
        </row>
        <row r="183">
          <cell r="B183" t="str">
            <v>E</v>
          </cell>
          <cell r="AU183">
            <v>0</v>
          </cell>
        </row>
        <row r="189">
          <cell r="B189" t="str">
            <v>F</v>
          </cell>
          <cell r="AU189">
            <v>0</v>
          </cell>
        </row>
        <row r="190">
          <cell r="B190" t="str">
            <v>F</v>
          </cell>
          <cell r="AU190">
            <v>0</v>
          </cell>
        </row>
        <row r="191">
          <cell r="B191" t="str">
            <v>F</v>
          </cell>
          <cell r="AU191">
            <v>0</v>
          </cell>
        </row>
        <row r="194">
          <cell r="B194" t="str">
            <v>F</v>
          </cell>
          <cell r="AU194">
            <v>0</v>
          </cell>
        </row>
        <row r="195">
          <cell r="B195" t="str">
            <v>F</v>
          </cell>
          <cell r="AU195">
            <v>0</v>
          </cell>
        </row>
        <row r="197">
          <cell r="B197" t="str">
            <v>F</v>
          </cell>
          <cell r="AU197">
            <v>0</v>
          </cell>
        </row>
        <row r="198">
          <cell r="B198" t="str">
            <v>F</v>
          </cell>
          <cell r="AU198">
            <v>0</v>
          </cell>
        </row>
        <row r="199">
          <cell r="B199" t="str">
            <v>F</v>
          </cell>
          <cell r="AU199">
            <v>0</v>
          </cell>
        </row>
        <row r="200">
          <cell r="B200" t="str">
            <v>F</v>
          </cell>
          <cell r="AU200">
            <v>0</v>
          </cell>
        </row>
        <row r="201">
          <cell r="B201" t="str">
            <v>F</v>
          </cell>
          <cell r="AU201">
            <v>0</v>
          </cell>
        </row>
        <row r="202">
          <cell r="B202" t="str">
            <v>F</v>
          </cell>
          <cell r="AU202">
            <v>0</v>
          </cell>
        </row>
        <row r="203">
          <cell r="B203" t="str">
            <v>F</v>
          </cell>
          <cell r="AU203">
            <v>0</v>
          </cell>
        </row>
        <row r="204">
          <cell r="B204" t="str">
            <v>F</v>
          </cell>
        </row>
        <row r="205">
          <cell r="B205" t="str">
            <v>F</v>
          </cell>
          <cell r="AU205">
            <v>0</v>
          </cell>
        </row>
        <row r="207">
          <cell r="B207" t="str">
            <v>F</v>
          </cell>
          <cell r="AU207">
            <v>0</v>
          </cell>
        </row>
        <row r="208">
          <cell r="B208" t="str">
            <v>F</v>
          </cell>
          <cell r="AU208">
            <v>0</v>
          </cell>
        </row>
        <row r="209">
          <cell r="B209" t="str">
            <v>F</v>
          </cell>
          <cell r="AU209">
            <v>0</v>
          </cell>
        </row>
        <row r="210">
          <cell r="B210" t="str">
            <v>F</v>
          </cell>
        </row>
        <row r="211">
          <cell r="B211" t="str">
            <v>F</v>
          </cell>
          <cell r="AU211">
            <v>0</v>
          </cell>
        </row>
        <row r="212">
          <cell r="B212" t="str">
            <v>F</v>
          </cell>
          <cell r="AU212">
            <v>0</v>
          </cell>
        </row>
        <row r="213">
          <cell r="B213" t="str">
            <v>F</v>
          </cell>
        </row>
        <row r="214">
          <cell r="B214" t="str">
            <v>F</v>
          </cell>
          <cell r="AU214">
            <v>0</v>
          </cell>
        </row>
        <row r="218">
          <cell r="B218" t="str">
            <v>F</v>
          </cell>
          <cell r="AU218">
            <v>0</v>
          </cell>
        </row>
        <row r="219">
          <cell r="B219" t="str">
            <v>F</v>
          </cell>
          <cell r="AU219">
            <v>0</v>
          </cell>
        </row>
        <row r="221">
          <cell r="B221" t="str">
            <v>F</v>
          </cell>
          <cell r="AU221">
            <v>0</v>
          </cell>
        </row>
        <row r="222">
          <cell r="B222" t="str">
            <v>F</v>
          </cell>
          <cell r="AU222">
            <v>0</v>
          </cell>
        </row>
        <row r="223">
          <cell r="B223" t="str">
            <v>F</v>
          </cell>
          <cell r="AU223">
            <v>0</v>
          </cell>
        </row>
        <row r="224">
          <cell r="B224" t="str">
            <v>F</v>
          </cell>
          <cell r="AU224">
            <v>0</v>
          </cell>
        </row>
        <row r="225">
          <cell r="B225" t="str">
            <v>F</v>
          </cell>
          <cell r="AU225">
            <v>0</v>
          </cell>
        </row>
        <row r="226">
          <cell r="B226" t="str">
            <v>F</v>
          </cell>
          <cell r="AU226">
            <v>0</v>
          </cell>
        </row>
        <row r="227">
          <cell r="B227" t="str">
            <v>F</v>
          </cell>
          <cell r="AU227">
            <v>0</v>
          </cell>
        </row>
        <row r="228">
          <cell r="B228" t="str">
            <v>F</v>
          </cell>
          <cell r="AU228">
            <v>0</v>
          </cell>
        </row>
        <row r="229">
          <cell r="B229" t="str">
            <v>F</v>
          </cell>
        </row>
        <row r="230">
          <cell r="B230" t="str">
            <v>F</v>
          </cell>
          <cell r="AU230">
            <v>0</v>
          </cell>
        </row>
        <row r="232">
          <cell r="B232" t="str">
            <v>F</v>
          </cell>
          <cell r="AU232">
            <v>0</v>
          </cell>
        </row>
        <row r="233">
          <cell r="B233" t="str">
            <v>F</v>
          </cell>
          <cell r="AU233">
            <v>0</v>
          </cell>
        </row>
        <row r="234">
          <cell r="B234" t="str">
            <v>F</v>
          </cell>
          <cell r="AU234">
            <v>0</v>
          </cell>
        </row>
        <row r="236">
          <cell r="B236" t="str">
            <v>F</v>
          </cell>
          <cell r="AU236">
            <v>0</v>
          </cell>
        </row>
        <row r="237">
          <cell r="B237" t="str">
            <v>F</v>
          </cell>
          <cell r="AU237">
            <v>0</v>
          </cell>
        </row>
        <row r="239">
          <cell r="B239" t="str">
            <v>F</v>
          </cell>
          <cell r="AU239">
            <v>0</v>
          </cell>
        </row>
        <row r="240">
          <cell r="B240" t="str">
            <v>F</v>
          </cell>
          <cell r="AU240">
            <v>0</v>
          </cell>
        </row>
        <row r="241">
          <cell r="B241" t="str">
            <v>F</v>
          </cell>
          <cell r="AU241">
            <v>0</v>
          </cell>
        </row>
        <row r="242">
          <cell r="B242" t="str">
            <v>F</v>
          </cell>
          <cell r="AU242">
            <v>0</v>
          </cell>
        </row>
        <row r="243">
          <cell r="B243" t="str">
            <v>F</v>
          </cell>
          <cell r="AU243">
            <v>0</v>
          </cell>
        </row>
        <row r="244">
          <cell r="B244" t="str">
            <v>F</v>
          </cell>
          <cell r="AU244">
            <v>0</v>
          </cell>
        </row>
        <row r="245">
          <cell r="B245" t="str">
            <v>F</v>
          </cell>
          <cell r="AU245">
            <v>0</v>
          </cell>
        </row>
        <row r="246">
          <cell r="B246" t="str">
            <v>F</v>
          </cell>
          <cell r="AU246">
            <v>0</v>
          </cell>
        </row>
        <row r="247">
          <cell r="B247" t="str">
            <v>F</v>
          </cell>
          <cell r="AU247">
            <v>0</v>
          </cell>
        </row>
        <row r="249">
          <cell r="B249" t="str">
            <v>F</v>
          </cell>
          <cell r="AU249">
            <v>0</v>
          </cell>
        </row>
        <row r="250">
          <cell r="B250" t="str">
            <v>F</v>
          </cell>
          <cell r="AU250">
            <v>0</v>
          </cell>
        </row>
        <row r="251">
          <cell r="B251" t="str">
            <v>F</v>
          </cell>
          <cell r="AU251">
            <v>0</v>
          </cell>
        </row>
        <row r="254">
          <cell r="B254" t="str">
            <v>F</v>
          </cell>
          <cell r="AU254">
            <v>0</v>
          </cell>
        </row>
        <row r="255">
          <cell r="B255" t="str">
            <v>F</v>
          </cell>
          <cell r="AU255">
            <v>0</v>
          </cell>
        </row>
        <row r="256">
          <cell r="B256" t="str">
            <v>F</v>
          </cell>
          <cell r="AU256">
            <v>0</v>
          </cell>
        </row>
        <row r="257">
          <cell r="B257" t="str">
            <v>F</v>
          </cell>
          <cell r="AU257">
            <v>0</v>
          </cell>
        </row>
        <row r="258">
          <cell r="B258" t="str">
            <v>F</v>
          </cell>
          <cell r="AU258">
            <v>0</v>
          </cell>
        </row>
        <row r="259">
          <cell r="B259" t="str">
            <v>F</v>
          </cell>
          <cell r="AU259">
            <v>0</v>
          </cell>
        </row>
        <row r="260">
          <cell r="B260" t="str">
            <v>F</v>
          </cell>
        </row>
        <row r="261">
          <cell r="B261" t="str">
            <v>F</v>
          </cell>
          <cell r="AU261">
            <v>0</v>
          </cell>
        </row>
        <row r="262">
          <cell r="B262" t="str">
            <v>F</v>
          </cell>
        </row>
        <row r="263">
          <cell r="B263" t="str">
            <v>F</v>
          </cell>
        </row>
        <row r="265">
          <cell r="B265" t="str">
            <v>F</v>
          </cell>
          <cell r="AU265">
            <v>0</v>
          </cell>
        </row>
        <row r="271">
          <cell r="B271" t="str">
            <v>H</v>
          </cell>
          <cell r="AU271">
            <v>0</v>
          </cell>
        </row>
        <row r="272">
          <cell r="B272" t="str">
            <v>H</v>
          </cell>
          <cell r="AU272">
            <v>0</v>
          </cell>
        </row>
        <row r="275">
          <cell r="B275" t="str">
            <v>H</v>
          </cell>
          <cell r="AU275">
            <v>0</v>
          </cell>
        </row>
        <row r="276">
          <cell r="B276" t="str">
            <v>H</v>
          </cell>
          <cell r="AU276">
            <v>0</v>
          </cell>
        </row>
        <row r="277">
          <cell r="B277" t="str">
            <v>H</v>
          </cell>
          <cell r="AU277">
            <v>0</v>
          </cell>
        </row>
        <row r="278">
          <cell r="B278" t="str">
            <v>H</v>
          </cell>
          <cell r="AU278">
            <v>0</v>
          </cell>
        </row>
        <row r="279">
          <cell r="B279" t="str">
            <v>H</v>
          </cell>
          <cell r="AU279">
            <v>0</v>
          </cell>
        </row>
        <row r="281">
          <cell r="B281" t="str">
            <v>H</v>
          </cell>
          <cell r="AU281">
            <v>0</v>
          </cell>
        </row>
        <row r="282">
          <cell r="B282" t="str">
            <v>H</v>
          </cell>
          <cell r="AU282">
            <v>0</v>
          </cell>
        </row>
        <row r="283">
          <cell r="B283" t="str">
            <v>H</v>
          </cell>
        </row>
        <row r="284">
          <cell r="B284" t="str">
            <v>H</v>
          </cell>
          <cell r="AU284">
            <v>0</v>
          </cell>
        </row>
        <row r="285">
          <cell r="B285" t="str">
            <v>H</v>
          </cell>
          <cell r="AU285">
            <v>0</v>
          </cell>
        </row>
        <row r="286">
          <cell r="B286" t="str">
            <v>H</v>
          </cell>
          <cell r="AU286">
            <v>0</v>
          </cell>
        </row>
        <row r="287">
          <cell r="B287" t="str">
            <v>H</v>
          </cell>
        </row>
        <row r="288">
          <cell r="B288" t="str">
            <v>H</v>
          </cell>
          <cell r="AU288">
            <v>0</v>
          </cell>
        </row>
        <row r="289">
          <cell r="B289" t="str">
            <v>H</v>
          </cell>
          <cell r="AU289">
            <v>0</v>
          </cell>
        </row>
        <row r="290">
          <cell r="B290" t="str">
            <v>H</v>
          </cell>
        </row>
        <row r="291">
          <cell r="B291" t="str">
            <v>H</v>
          </cell>
        </row>
        <row r="293">
          <cell r="B293" t="str">
            <v>H</v>
          </cell>
          <cell r="AU293">
            <v>0</v>
          </cell>
        </row>
        <row r="294">
          <cell r="B294" t="str">
            <v>H</v>
          </cell>
          <cell r="AU294">
            <v>0</v>
          </cell>
        </row>
        <row r="295">
          <cell r="B295" t="str">
            <v>H</v>
          </cell>
          <cell r="AU295">
            <v>0</v>
          </cell>
        </row>
        <row r="296">
          <cell r="B296" t="str">
            <v>H</v>
          </cell>
          <cell r="AU296">
            <v>0</v>
          </cell>
        </row>
        <row r="297">
          <cell r="B297" t="str">
            <v>H</v>
          </cell>
          <cell r="AU297">
            <v>0</v>
          </cell>
        </row>
        <row r="298">
          <cell r="B298" t="str">
            <v>H</v>
          </cell>
          <cell r="AU298">
            <v>0</v>
          </cell>
        </row>
        <row r="299">
          <cell r="B299" t="str">
            <v>H</v>
          </cell>
        </row>
        <row r="300">
          <cell r="B300" t="str">
            <v>H</v>
          </cell>
        </row>
        <row r="302">
          <cell r="B302" t="str">
            <v>H</v>
          </cell>
        </row>
        <row r="303">
          <cell r="B303" t="str">
            <v>H</v>
          </cell>
        </row>
        <row r="304">
          <cell r="B304" t="str">
            <v>H</v>
          </cell>
          <cell r="AU304">
            <v>0</v>
          </cell>
        </row>
        <row r="305">
          <cell r="B305" t="str">
            <v>H</v>
          </cell>
        </row>
        <row r="306">
          <cell r="B306" t="str">
            <v>H</v>
          </cell>
          <cell r="AU306">
            <v>0</v>
          </cell>
        </row>
        <row r="307">
          <cell r="B307" t="str">
            <v>H</v>
          </cell>
        </row>
        <row r="308">
          <cell r="B308" t="str">
            <v>H</v>
          </cell>
          <cell r="AU308">
            <v>0</v>
          </cell>
        </row>
        <row r="309">
          <cell r="B309" t="str">
            <v>H</v>
          </cell>
          <cell r="AU309">
            <v>0</v>
          </cell>
        </row>
        <row r="310">
          <cell r="B310" t="str">
            <v>H</v>
          </cell>
          <cell r="AU310">
            <v>0</v>
          </cell>
        </row>
        <row r="312">
          <cell r="B312" t="str">
            <v>H</v>
          </cell>
          <cell r="AU312">
            <v>0</v>
          </cell>
        </row>
        <row r="313">
          <cell r="B313" t="str">
            <v>H</v>
          </cell>
          <cell r="AU313">
            <v>0</v>
          </cell>
        </row>
        <row r="314">
          <cell r="B314" t="str">
            <v>H</v>
          </cell>
          <cell r="AU314">
            <v>0</v>
          </cell>
        </row>
        <row r="315">
          <cell r="B315" t="str">
            <v>H</v>
          </cell>
        </row>
        <row r="316">
          <cell r="B316" t="str">
            <v>H</v>
          </cell>
        </row>
        <row r="317">
          <cell r="B317" t="str">
            <v>H</v>
          </cell>
          <cell r="AU317">
            <v>0</v>
          </cell>
        </row>
        <row r="318">
          <cell r="B318" t="str">
            <v>H</v>
          </cell>
        </row>
        <row r="319">
          <cell r="B319" t="str">
            <v>H</v>
          </cell>
          <cell r="AU319">
            <v>0</v>
          </cell>
        </row>
        <row r="320">
          <cell r="B320" t="str">
            <v>H</v>
          </cell>
          <cell r="AU320">
            <v>0</v>
          </cell>
        </row>
        <row r="321">
          <cell r="B321" t="str">
            <v>H</v>
          </cell>
        </row>
        <row r="322">
          <cell r="B322" t="str">
            <v>H</v>
          </cell>
          <cell r="AU322">
            <v>0</v>
          </cell>
        </row>
        <row r="323">
          <cell r="B323" t="str">
            <v>H</v>
          </cell>
          <cell r="AU323">
            <v>0</v>
          </cell>
        </row>
        <row r="324">
          <cell r="B324" t="str">
            <v>H</v>
          </cell>
        </row>
        <row r="325">
          <cell r="B325" t="str">
            <v>H</v>
          </cell>
        </row>
        <row r="327">
          <cell r="B327" t="str">
            <v>H</v>
          </cell>
          <cell r="AU327">
            <v>0</v>
          </cell>
        </row>
        <row r="328">
          <cell r="B328" t="str">
            <v>H</v>
          </cell>
          <cell r="AU328">
            <v>0</v>
          </cell>
        </row>
        <row r="329">
          <cell r="B329" t="str">
            <v>H</v>
          </cell>
          <cell r="AU329">
            <v>0</v>
          </cell>
        </row>
        <row r="330">
          <cell r="B330" t="str">
            <v>H</v>
          </cell>
          <cell r="AU330">
            <v>0</v>
          </cell>
        </row>
        <row r="331">
          <cell r="B331" t="str">
            <v>H</v>
          </cell>
          <cell r="AU331">
            <v>0</v>
          </cell>
        </row>
        <row r="332">
          <cell r="B332" t="str">
            <v>H</v>
          </cell>
          <cell r="AU332">
            <v>0</v>
          </cell>
        </row>
        <row r="333">
          <cell r="B333" t="str">
            <v>H</v>
          </cell>
          <cell r="AU333">
            <v>0</v>
          </cell>
        </row>
        <row r="334">
          <cell r="B334" t="str">
            <v>H</v>
          </cell>
          <cell r="AU334">
            <v>0</v>
          </cell>
        </row>
        <row r="336">
          <cell r="B336" t="str">
            <v>H</v>
          </cell>
          <cell r="AU336">
            <v>0</v>
          </cell>
        </row>
        <row r="337">
          <cell r="B337" t="str">
            <v>H</v>
          </cell>
          <cell r="AU337">
            <v>0</v>
          </cell>
        </row>
        <row r="338">
          <cell r="B338" t="str">
            <v>H</v>
          </cell>
          <cell r="AU338">
            <v>0</v>
          </cell>
        </row>
        <row r="339">
          <cell r="B339" t="str">
            <v>H</v>
          </cell>
          <cell r="AU339">
            <v>0</v>
          </cell>
        </row>
        <row r="340">
          <cell r="B340" t="str">
            <v>H</v>
          </cell>
          <cell r="AU340">
            <v>0</v>
          </cell>
        </row>
        <row r="342">
          <cell r="B342" t="str">
            <v>H</v>
          </cell>
        </row>
        <row r="343">
          <cell r="B343" t="str">
            <v>H</v>
          </cell>
        </row>
        <row r="346">
          <cell r="B346" t="str">
            <v>H</v>
          </cell>
          <cell r="AU346">
            <v>0</v>
          </cell>
        </row>
        <row r="347">
          <cell r="B347" t="str">
            <v>H</v>
          </cell>
          <cell r="AU347">
            <v>0</v>
          </cell>
        </row>
        <row r="348">
          <cell r="B348" t="str">
            <v>H</v>
          </cell>
          <cell r="AU348">
            <v>0</v>
          </cell>
        </row>
        <row r="349">
          <cell r="B349" t="str">
            <v>H</v>
          </cell>
          <cell r="AU349">
            <v>0</v>
          </cell>
        </row>
        <row r="350">
          <cell r="B350" t="str">
            <v>H</v>
          </cell>
          <cell r="AU350">
            <v>0</v>
          </cell>
        </row>
        <row r="352">
          <cell r="B352" t="str">
            <v>H</v>
          </cell>
          <cell r="AU352">
            <v>0</v>
          </cell>
        </row>
        <row r="353">
          <cell r="B353" t="str">
            <v>H</v>
          </cell>
          <cell r="AU353">
            <v>0</v>
          </cell>
        </row>
        <row r="354">
          <cell r="B354" t="str">
            <v>H</v>
          </cell>
        </row>
        <row r="355">
          <cell r="B355" t="str">
            <v>H</v>
          </cell>
          <cell r="AU355">
            <v>0</v>
          </cell>
        </row>
        <row r="356">
          <cell r="B356" t="str">
            <v>H</v>
          </cell>
          <cell r="AU356">
            <v>0</v>
          </cell>
        </row>
        <row r="357">
          <cell r="B357" t="str">
            <v>H</v>
          </cell>
          <cell r="AU357">
            <v>0</v>
          </cell>
        </row>
        <row r="358">
          <cell r="B358" t="str">
            <v>H</v>
          </cell>
        </row>
        <row r="359">
          <cell r="B359" t="str">
            <v>H</v>
          </cell>
          <cell r="AU359">
            <v>0</v>
          </cell>
        </row>
        <row r="360">
          <cell r="B360" t="str">
            <v>H</v>
          </cell>
          <cell r="AU360">
            <v>0</v>
          </cell>
        </row>
        <row r="361">
          <cell r="B361" t="str">
            <v>H</v>
          </cell>
        </row>
        <row r="362">
          <cell r="B362" t="str">
            <v>H</v>
          </cell>
        </row>
        <row r="364">
          <cell r="B364" t="str">
            <v>H</v>
          </cell>
          <cell r="AU364">
            <v>0</v>
          </cell>
        </row>
        <row r="365">
          <cell r="B365" t="str">
            <v>H</v>
          </cell>
          <cell r="AU365">
            <v>0</v>
          </cell>
        </row>
        <row r="366">
          <cell r="B366" t="str">
            <v>H</v>
          </cell>
          <cell r="AU366">
            <v>0</v>
          </cell>
        </row>
        <row r="367">
          <cell r="B367" t="str">
            <v>H</v>
          </cell>
          <cell r="AU367">
            <v>0</v>
          </cell>
        </row>
        <row r="368">
          <cell r="B368" t="str">
            <v>H</v>
          </cell>
          <cell r="AU368">
            <v>0</v>
          </cell>
        </row>
        <row r="369">
          <cell r="B369" t="str">
            <v>H</v>
          </cell>
          <cell r="AU369">
            <v>0</v>
          </cell>
        </row>
        <row r="370">
          <cell r="B370" t="str">
            <v>H</v>
          </cell>
        </row>
        <row r="371">
          <cell r="B371" t="str">
            <v>H</v>
          </cell>
        </row>
        <row r="373">
          <cell r="B373" t="str">
            <v>H</v>
          </cell>
        </row>
        <row r="374">
          <cell r="B374" t="str">
            <v>H</v>
          </cell>
        </row>
        <row r="375">
          <cell r="B375" t="str">
            <v>H</v>
          </cell>
          <cell r="AU375">
            <v>0</v>
          </cell>
        </row>
        <row r="376">
          <cell r="B376" t="str">
            <v>H</v>
          </cell>
        </row>
        <row r="377">
          <cell r="B377" t="str">
            <v>H</v>
          </cell>
          <cell r="AU377">
            <v>0</v>
          </cell>
        </row>
        <row r="378">
          <cell r="B378" t="str">
            <v>H</v>
          </cell>
        </row>
        <row r="379">
          <cell r="B379" t="str">
            <v>H</v>
          </cell>
          <cell r="AU379">
            <v>0</v>
          </cell>
        </row>
        <row r="380">
          <cell r="B380" t="str">
            <v>H</v>
          </cell>
          <cell r="AU380">
            <v>0</v>
          </cell>
        </row>
        <row r="381">
          <cell r="B381" t="str">
            <v>H</v>
          </cell>
          <cell r="AU381">
            <v>0</v>
          </cell>
        </row>
        <row r="383">
          <cell r="B383" t="str">
            <v>H</v>
          </cell>
          <cell r="AU383">
            <v>0</v>
          </cell>
        </row>
        <row r="384">
          <cell r="B384" t="str">
            <v>H</v>
          </cell>
          <cell r="AU384">
            <v>0</v>
          </cell>
        </row>
        <row r="385">
          <cell r="B385" t="str">
            <v>H</v>
          </cell>
          <cell r="AU385">
            <v>0</v>
          </cell>
        </row>
        <row r="386">
          <cell r="B386" t="str">
            <v>H</v>
          </cell>
        </row>
        <row r="387">
          <cell r="B387" t="str">
            <v>H</v>
          </cell>
          <cell r="AU387">
            <v>0</v>
          </cell>
        </row>
        <row r="388">
          <cell r="B388" t="str">
            <v>H</v>
          </cell>
        </row>
        <row r="389">
          <cell r="B389" t="str">
            <v>H</v>
          </cell>
          <cell r="AU389">
            <v>0</v>
          </cell>
        </row>
        <row r="390">
          <cell r="B390" t="str">
            <v>H</v>
          </cell>
          <cell r="AU390">
            <v>0</v>
          </cell>
        </row>
        <row r="391">
          <cell r="B391" t="str">
            <v>H</v>
          </cell>
        </row>
        <row r="392">
          <cell r="B392" t="str">
            <v>H</v>
          </cell>
          <cell r="AU392">
            <v>0</v>
          </cell>
        </row>
        <row r="393">
          <cell r="B393" t="str">
            <v>H</v>
          </cell>
          <cell r="AU393">
            <v>0</v>
          </cell>
        </row>
        <row r="394">
          <cell r="B394" t="str">
            <v>H</v>
          </cell>
        </row>
        <row r="395">
          <cell r="B395" t="str">
            <v>H</v>
          </cell>
        </row>
        <row r="397">
          <cell r="B397" t="str">
            <v>H</v>
          </cell>
          <cell r="AU397">
            <v>0</v>
          </cell>
        </row>
        <row r="398">
          <cell r="B398" t="str">
            <v>H</v>
          </cell>
          <cell r="AU398">
            <v>0</v>
          </cell>
        </row>
        <row r="399">
          <cell r="B399" t="str">
            <v>H</v>
          </cell>
          <cell r="AU399">
            <v>0</v>
          </cell>
        </row>
        <row r="400">
          <cell r="B400" t="str">
            <v>H</v>
          </cell>
          <cell r="AU400">
            <v>0</v>
          </cell>
        </row>
        <row r="401">
          <cell r="B401" t="str">
            <v>H</v>
          </cell>
          <cell r="AU401">
            <v>0</v>
          </cell>
        </row>
        <row r="402">
          <cell r="B402" t="str">
            <v>H</v>
          </cell>
          <cell r="AU402">
            <v>0</v>
          </cell>
        </row>
        <row r="403">
          <cell r="B403" t="str">
            <v>H</v>
          </cell>
          <cell r="AU403">
            <v>0</v>
          </cell>
        </row>
        <row r="404">
          <cell r="B404" t="str">
            <v>H</v>
          </cell>
          <cell r="AU404">
            <v>0</v>
          </cell>
        </row>
        <row r="406">
          <cell r="B406" t="str">
            <v>H</v>
          </cell>
          <cell r="AU406">
            <v>0</v>
          </cell>
        </row>
        <row r="407">
          <cell r="B407" t="str">
            <v>H</v>
          </cell>
          <cell r="AU407">
            <v>0</v>
          </cell>
        </row>
        <row r="408">
          <cell r="B408" t="str">
            <v>H</v>
          </cell>
          <cell r="AU408">
            <v>0</v>
          </cell>
        </row>
        <row r="409">
          <cell r="B409" t="str">
            <v>H</v>
          </cell>
          <cell r="AU409">
            <v>0</v>
          </cell>
        </row>
        <row r="410">
          <cell r="B410" t="str">
            <v>H</v>
          </cell>
          <cell r="AU410">
            <v>0</v>
          </cell>
        </row>
        <row r="412">
          <cell r="B412" t="str">
            <v>H</v>
          </cell>
        </row>
        <row r="413">
          <cell r="B413" t="str">
            <v>H</v>
          </cell>
          <cell r="AU413">
            <v>0</v>
          </cell>
        </row>
        <row r="414">
          <cell r="B414" t="str">
            <v>H</v>
          </cell>
          <cell r="AU414">
            <v>0</v>
          </cell>
        </row>
        <row r="415">
          <cell r="B415" t="str">
            <v>H</v>
          </cell>
          <cell r="AU415">
            <v>0</v>
          </cell>
        </row>
        <row r="416">
          <cell r="B416" t="str">
            <v>H</v>
          </cell>
          <cell r="AU416">
            <v>0</v>
          </cell>
        </row>
        <row r="417">
          <cell r="B417" t="str">
            <v>H</v>
          </cell>
          <cell r="AU417">
            <v>0</v>
          </cell>
        </row>
        <row r="419">
          <cell r="B419" t="str">
            <v>H</v>
          </cell>
          <cell r="AU419">
            <v>0</v>
          </cell>
        </row>
        <row r="420">
          <cell r="B420" t="str">
            <v>H</v>
          </cell>
        </row>
        <row r="421">
          <cell r="B421" t="str">
            <v>H</v>
          </cell>
          <cell r="AU421">
            <v>0</v>
          </cell>
        </row>
        <row r="422">
          <cell r="B422" t="str">
            <v>H</v>
          </cell>
          <cell r="AU422">
            <v>0</v>
          </cell>
        </row>
        <row r="423">
          <cell r="B423" t="str">
            <v>H</v>
          </cell>
        </row>
        <row r="424">
          <cell r="B424" t="str">
            <v>H</v>
          </cell>
          <cell r="AU424">
            <v>0</v>
          </cell>
        </row>
        <row r="425">
          <cell r="B425" t="str">
            <v>H</v>
          </cell>
          <cell r="AU425">
            <v>0</v>
          </cell>
        </row>
        <row r="426">
          <cell r="B426" t="str">
            <v>H</v>
          </cell>
        </row>
        <row r="427">
          <cell r="B427" t="str">
            <v>H</v>
          </cell>
        </row>
        <row r="429">
          <cell r="B429" t="str">
            <v>H</v>
          </cell>
          <cell r="AU429">
            <v>0</v>
          </cell>
        </row>
        <row r="430">
          <cell r="B430" t="str">
            <v>H</v>
          </cell>
          <cell r="AU430">
            <v>0</v>
          </cell>
        </row>
        <row r="431">
          <cell r="B431" t="str">
            <v>H</v>
          </cell>
          <cell r="AU431">
            <v>0</v>
          </cell>
        </row>
        <row r="432">
          <cell r="B432" t="str">
            <v>H</v>
          </cell>
          <cell r="AU432">
            <v>0</v>
          </cell>
        </row>
        <row r="433">
          <cell r="B433" t="str">
            <v>H</v>
          </cell>
          <cell r="AU433">
            <v>0</v>
          </cell>
        </row>
        <row r="434">
          <cell r="B434" t="str">
            <v>H</v>
          </cell>
          <cell r="AU434">
            <v>0</v>
          </cell>
        </row>
        <row r="435">
          <cell r="B435" t="str">
            <v>H</v>
          </cell>
        </row>
        <row r="436">
          <cell r="B436" t="str">
            <v>H</v>
          </cell>
        </row>
        <row r="438">
          <cell r="B438" t="str">
            <v>H</v>
          </cell>
        </row>
        <row r="439">
          <cell r="B439" t="str">
            <v>H</v>
          </cell>
        </row>
        <row r="440">
          <cell r="B440" t="str">
            <v>H</v>
          </cell>
          <cell r="AU440">
            <v>0</v>
          </cell>
        </row>
        <row r="441">
          <cell r="B441" t="str">
            <v>H</v>
          </cell>
        </row>
        <row r="442">
          <cell r="B442" t="str">
            <v>H</v>
          </cell>
          <cell r="AU442">
            <v>0</v>
          </cell>
        </row>
        <row r="443">
          <cell r="B443" t="str">
            <v>H</v>
          </cell>
        </row>
        <row r="444">
          <cell r="B444" t="str">
            <v>H</v>
          </cell>
          <cell r="AU444">
            <v>0</v>
          </cell>
        </row>
        <row r="445">
          <cell r="B445" t="str">
            <v>H</v>
          </cell>
          <cell r="AU445">
            <v>0</v>
          </cell>
        </row>
        <row r="446">
          <cell r="B446" t="str">
            <v>H</v>
          </cell>
          <cell r="AU446">
            <v>0</v>
          </cell>
        </row>
        <row r="448">
          <cell r="B448" t="str">
            <v>H</v>
          </cell>
          <cell r="AU448">
            <v>0</v>
          </cell>
        </row>
        <row r="449">
          <cell r="B449" t="str">
            <v>H</v>
          </cell>
          <cell r="AU449">
            <v>0</v>
          </cell>
        </row>
        <row r="450">
          <cell r="B450" t="str">
            <v>H</v>
          </cell>
          <cell r="AU450">
            <v>0</v>
          </cell>
        </row>
        <row r="451">
          <cell r="B451" t="str">
            <v>H</v>
          </cell>
        </row>
        <row r="452">
          <cell r="B452" t="str">
            <v>H</v>
          </cell>
        </row>
        <row r="453">
          <cell r="B453" t="str">
            <v>H</v>
          </cell>
          <cell r="AU453">
            <v>0</v>
          </cell>
        </row>
        <row r="454">
          <cell r="B454" t="str">
            <v>H</v>
          </cell>
        </row>
        <row r="455">
          <cell r="B455" t="str">
            <v>H</v>
          </cell>
          <cell r="AU455">
            <v>0</v>
          </cell>
        </row>
        <row r="456">
          <cell r="B456" t="str">
            <v>H</v>
          </cell>
          <cell r="AU456">
            <v>0</v>
          </cell>
        </row>
        <row r="457">
          <cell r="B457" t="str">
            <v>H</v>
          </cell>
        </row>
        <row r="458">
          <cell r="B458" t="str">
            <v>H</v>
          </cell>
          <cell r="AU458">
            <v>0</v>
          </cell>
        </row>
        <row r="459">
          <cell r="B459" t="str">
            <v>H</v>
          </cell>
          <cell r="AU459">
            <v>0</v>
          </cell>
        </row>
        <row r="460">
          <cell r="B460" t="str">
            <v>H</v>
          </cell>
        </row>
        <row r="461">
          <cell r="B461" t="str">
            <v>H</v>
          </cell>
        </row>
        <row r="463">
          <cell r="B463" t="str">
            <v>H</v>
          </cell>
          <cell r="AU463">
            <v>0</v>
          </cell>
        </row>
        <row r="464">
          <cell r="B464" t="str">
            <v>H</v>
          </cell>
          <cell r="AU464">
            <v>0</v>
          </cell>
        </row>
        <row r="465">
          <cell r="B465" t="str">
            <v>H</v>
          </cell>
          <cell r="AU465">
            <v>0</v>
          </cell>
        </row>
        <row r="466">
          <cell r="B466" t="str">
            <v>H</v>
          </cell>
          <cell r="AU466">
            <v>0</v>
          </cell>
        </row>
        <row r="467">
          <cell r="B467" t="str">
            <v>H</v>
          </cell>
          <cell r="AU467">
            <v>0</v>
          </cell>
        </row>
        <row r="468">
          <cell r="B468" t="str">
            <v>H</v>
          </cell>
          <cell r="AU468">
            <v>0</v>
          </cell>
        </row>
        <row r="469">
          <cell r="B469" t="str">
            <v>H</v>
          </cell>
          <cell r="AU469">
            <v>0</v>
          </cell>
        </row>
        <row r="470">
          <cell r="B470" t="str">
            <v>H</v>
          </cell>
          <cell r="AU470">
            <v>0</v>
          </cell>
        </row>
        <row r="472">
          <cell r="B472" t="str">
            <v>H</v>
          </cell>
          <cell r="AU472">
            <v>0</v>
          </cell>
        </row>
        <row r="473">
          <cell r="B473" t="str">
            <v>H</v>
          </cell>
          <cell r="AU473">
            <v>0</v>
          </cell>
        </row>
        <row r="474">
          <cell r="B474" t="str">
            <v>H</v>
          </cell>
          <cell r="AU474">
            <v>0</v>
          </cell>
        </row>
        <row r="475">
          <cell r="B475" t="str">
            <v>H</v>
          </cell>
          <cell r="AU475">
            <v>0</v>
          </cell>
        </row>
        <row r="476">
          <cell r="B476" t="str">
            <v>H</v>
          </cell>
          <cell r="AU476">
            <v>0</v>
          </cell>
        </row>
        <row r="483">
          <cell r="B483" t="str">
            <v>I</v>
          </cell>
          <cell r="AU483">
            <v>0</v>
          </cell>
        </row>
        <row r="484">
          <cell r="B484" t="str">
            <v>I</v>
          </cell>
          <cell r="AU484">
            <v>0</v>
          </cell>
        </row>
        <row r="485">
          <cell r="B485" t="str">
            <v>I</v>
          </cell>
          <cell r="AU485">
            <v>0</v>
          </cell>
        </row>
        <row r="486">
          <cell r="B486" t="str">
            <v>I</v>
          </cell>
        </row>
        <row r="487">
          <cell r="B487" t="str">
            <v>I</v>
          </cell>
          <cell r="AU487">
            <v>0</v>
          </cell>
        </row>
        <row r="488">
          <cell r="B488" t="str">
            <v>I</v>
          </cell>
          <cell r="AU488">
            <v>0</v>
          </cell>
        </row>
        <row r="489">
          <cell r="B489" t="str">
            <v>I</v>
          </cell>
        </row>
        <row r="490">
          <cell r="B490" t="str">
            <v>I</v>
          </cell>
          <cell r="AU490">
            <v>0</v>
          </cell>
        </row>
        <row r="495">
          <cell r="B495" t="str">
            <v>I</v>
          </cell>
          <cell r="AU495">
            <v>0</v>
          </cell>
        </row>
        <row r="496">
          <cell r="B496" t="str">
            <v>I</v>
          </cell>
          <cell r="AU496">
            <v>0</v>
          </cell>
        </row>
        <row r="497">
          <cell r="B497" t="str">
            <v>I</v>
          </cell>
        </row>
        <row r="498">
          <cell r="B498" t="str">
            <v>I</v>
          </cell>
          <cell r="AU498">
            <v>0</v>
          </cell>
        </row>
        <row r="499">
          <cell r="B499" t="str">
            <v>I</v>
          </cell>
          <cell r="AU499">
            <v>0</v>
          </cell>
        </row>
        <row r="500">
          <cell r="B500" t="str">
            <v>I</v>
          </cell>
          <cell r="AU50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15">
          <cell r="O15">
            <v>154414325</v>
          </cell>
        </row>
        <row r="16">
          <cell r="O16">
            <v>0</v>
          </cell>
        </row>
        <row r="17">
          <cell r="O17">
            <v>0</v>
          </cell>
        </row>
        <row r="18">
          <cell r="O18">
            <v>3008101321.8000002</v>
          </cell>
        </row>
        <row r="19">
          <cell r="O19">
            <v>0</v>
          </cell>
        </row>
        <row r="20">
          <cell r="O20">
            <v>63788019.899999999</v>
          </cell>
        </row>
        <row r="22">
          <cell r="O22">
            <v>27336744</v>
          </cell>
        </row>
        <row r="23">
          <cell r="O23">
            <v>129756280</v>
          </cell>
        </row>
        <row r="24">
          <cell r="O24">
            <v>6418650</v>
          </cell>
        </row>
        <row r="25">
          <cell r="O25">
            <v>22500000</v>
          </cell>
        </row>
        <row r="29">
          <cell r="O29">
            <v>2712636107</v>
          </cell>
        </row>
        <row r="31">
          <cell r="O31">
            <v>0</v>
          </cell>
        </row>
        <row r="32">
          <cell r="O32">
            <v>493378710</v>
          </cell>
        </row>
        <row r="33">
          <cell r="O33">
            <v>1311013990</v>
          </cell>
        </row>
        <row r="34">
          <cell r="O34">
            <v>0</v>
          </cell>
        </row>
        <row r="35">
          <cell r="O35">
            <v>1856750872</v>
          </cell>
        </row>
        <row r="36">
          <cell r="O36">
            <v>0</v>
          </cell>
        </row>
        <row r="37">
          <cell r="O37">
            <v>0</v>
          </cell>
        </row>
        <row r="38">
          <cell r="O38">
            <v>2917421982</v>
          </cell>
        </row>
        <row r="39">
          <cell r="O39">
            <v>201446784</v>
          </cell>
        </row>
        <row r="40">
          <cell r="O40">
            <v>0</v>
          </cell>
        </row>
        <row r="41">
          <cell r="O41">
            <v>273173952</v>
          </cell>
        </row>
        <row r="42">
          <cell r="O42">
            <v>2277206416</v>
          </cell>
        </row>
        <row r="43">
          <cell r="O43">
            <v>1163325408</v>
          </cell>
        </row>
        <row r="44">
          <cell r="O44">
            <v>446099920</v>
          </cell>
        </row>
        <row r="45">
          <cell r="O45">
            <v>2493888099</v>
          </cell>
        </row>
        <row r="47">
          <cell r="O47">
            <v>0</v>
          </cell>
        </row>
        <row r="48">
          <cell r="O48">
            <v>412813592</v>
          </cell>
        </row>
        <row r="49">
          <cell r="O49">
            <v>1724400510</v>
          </cell>
        </row>
        <row r="51">
          <cell r="O51">
            <v>586598808</v>
          </cell>
        </row>
        <row r="52">
          <cell r="O52">
            <v>16580400</v>
          </cell>
        </row>
        <row r="53">
          <cell r="O53">
            <v>241730870</v>
          </cell>
        </row>
        <row r="57">
          <cell r="O57">
            <v>808759530</v>
          </cell>
        </row>
        <row r="61">
          <cell r="O61">
            <v>59146369</v>
          </cell>
        </row>
        <row r="63">
          <cell r="O63">
            <v>807585450</v>
          </cell>
        </row>
        <row r="65">
          <cell r="O65">
            <v>39975696</v>
          </cell>
        </row>
        <row r="66">
          <cell r="O66">
            <v>486640</v>
          </cell>
        </row>
        <row r="67">
          <cell r="O67">
            <v>274540080</v>
          </cell>
        </row>
        <row r="68">
          <cell r="O68">
            <v>351420896</v>
          </cell>
        </row>
        <row r="69">
          <cell r="O69">
            <v>62155536</v>
          </cell>
        </row>
        <row r="70">
          <cell r="O70">
            <v>161701280</v>
          </cell>
        </row>
        <row r="71">
          <cell r="O71">
            <v>111169120</v>
          </cell>
        </row>
        <row r="72">
          <cell r="O72">
            <v>237998880</v>
          </cell>
        </row>
        <row r="73">
          <cell r="O73">
            <v>2628776</v>
          </cell>
        </row>
        <row r="74">
          <cell r="O74">
            <v>6405164</v>
          </cell>
        </row>
        <row r="75">
          <cell r="O75">
            <v>36022560</v>
          </cell>
        </row>
        <row r="76">
          <cell r="O76">
            <v>0</v>
          </cell>
        </row>
        <row r="77">
          <cell r="O77">
            <v>66650220</v>
          </cell>
        </row>
        <row r="78">
          <cell r="O78">
            <v>5765500</v>
          </cell>
        </row>
        <row r="80">
          <cell r="O80">
            <v>6918600</v>
          </cell>
        </row>
        <row r="81">
          <cell r="O81">
            <v>0</v>
          </cell>
        </row>
        <row r="82">
          <cell r="O82">
            <v>194945980</v>
          </cell>
        </row>
        <row r="84">
          <cell r="O84">
            <v>2007090</v>
          </cell>
        </row>
        <row r="85">
          <cell r="O85">
            <v>0</v>
          </cell>
        </row>
        <row r="86">
          <cell r="O86">
            <v>442625820</v>
          </cell>
        </row>
        <row r="87">
          <cell r="O87">
            <v>7841080</v>
          </cell>
        </row>
        <row r="88">
          <cell r="O88">
            <v>0</v>
          </cell>
        </row>
        <row r="89">
          <cell r="O89">
            <v>10012080</v>
          </cell>
        </row>
        <row r="90">
          <cell r="O90">
            <v>4963020</v>
          </cell>
        </row>
        <row r="96">
          <cell r="O96">
            <v>116922339</v>
          </cell>
        </row>
        <row r="97">
          <cell r="O97">
            <v>2210450</v>
          </cell>
        </row>
        <row r="99">
          <cell r="O99">
            <v>3114450</v>
          </cell>
        </row>
        <row r="100">
          <cell r="O100">
            <v>442400</v>
          </cell>
        </row>
        <row r="101">
          <cell r="O101">
            <v>98687940</v>
          </cell>
        </row>
        <row r="102">
          <cell r="O102">
            <v>45979200</v>
          </cell>
        </row>
        <row r="103">
          <cell r="O103">
            <v>31378300</v>
          </cell>
        </row>
        <row r="104">
          <cell r="O104">
            <v>5240250</v>
          </cell>
        </row>
        <row r="105">
          <cell r="O105">
            <v>5595807</v>
          </cell>
        </row>
        <row r="106">
          <cell r="O106">
            <v>326968</v>
          </cell>
        </row>
        <row r="107">
          <cell r="O107">
            <v>0</v>
          </cell>
        </row>
        <row r="108">
          <cell r="O108">
            <v>42793020</v>
          </cell>
        </row>
        <row r="111">
          <cell r="O111">
            <v>10845207</v>
          </cell>
        </row>
        <row r="112">
          <cell r="O112">
            <v>66360</v>
          </cell>
        </row>
        <row r="113">
          <cell r="O113">
            <v>2264548</v>
          </cell>
        </row>
        <row r="114">
          <cell r="O114">
            <v>5545152</v>
          </cell>
        </row>
        <row r="115">
          <cell r="O115">
            <v>9336173</v>
          </cell>
        </row>
        <row r="116">
          <cell r="O116">
            <v>0</v>
          </cell>
        </row>
        <row r="117">
          <cell r="O117">
            <v>5804000</v>
          </cell>
        </row>
        <row r="118">
          <cell r="O118">
            <v>88128852</v>
          </cell>
        </row>
        <row r="119">
          <cell r="O119">
            <v>5526470</v>
          </cell>
        </row>
        <row r="120">
          <cell r="O120">
            <v>61270545</v>
          </cell>
        </row>
        <row r="121">
          <cell r="O121">
            <v>24094623</v>
          </cell>
        </row>
        <row r="122">
          <cell r="O122">
            <v>30590140</v>
          </cell>
        </row>
        <row r="123">
          <cell r="O123">
            <v>9498369</v>
          </cell>
        </row>
        <row r="124">
          <cell r="O124">
            <v>0</v>
          </cell>
        </row>
        <row r="125">
          <cell r="O125">
            <v>85586040</v>
          </cell>
        </row>
        <row r="126">
          <cell r="O126">
            <v>0</v>
          </cell>
        </row>
        <row r="127">
          <cell r="O127">
            <v>56396340</v>
          </cell>
        </row>
        <row r="128">
          <cell r="O128">
            <v>8648250</v>
          </cell>
        </row>
        <row r="130">
          <cell r="O130">
            <v>2007090</v>
          </cell>
        </row>
        <row r="131">
          <cell r="O131">
            <v>121660</v>
          </cell>
        </row>
        <row r="132">
          <cell r="O132">
            <v>4989825</v>
          </cell>
        </row>
        <row r="133">
          <cell r="O133">
            <v>0</v>
          </cell>
        </row>
        <row r="134">
          <cell r="O134">
            <v>29975800</v>
          </cell>
        </row>
        <row r="135">
          <cell r="O135">
            <v>43208130</v>
          </cell>
        </row>
        <row r="136">
          <cell r="O136">
            <v>12724470</v>
          </cell>
        </row>
        <row r="137">
          <cell r="O137">
            <v>1741460</v>
          </cell>
        </row>
        <row r="141">
          <cell r="O141">
            <v>16731927</v>
          </cell>
        </row>
        <row r="142">
          <cell r="O142">
            <v>1125320</v>
          </cell>
        </row>
        <row r="144">
          <cell r="O144">
            <v>8997300</v>
          </cell>
        </row>
        <row r="145">
          <cell r="O145">
            <v>1216600</v>
          </cell>
        </row>
        <row r="146">
          <cell r="O146">
            <v>19279500</v>
          </cell>
        </row>
        <row r="147">
          <cell r="O147">
            <v>1741960</v>
          </cell>
        </row>
        <row r="148">
          <cell r="O148">
            <v>21308170</v>
          </cell>
        </row>
        <row r="149">
          <cell r="O149">
            <v>6259740</v>
          </cell>
        </row>
        <row r="150">
          <cell r="O150">
            <v>2728676</v>
          </cell>
        </row>
        <row r="151">
          <cell r="O151">
            <v>56425</v>
          </cell>
        </row>
        <row r="152">
          <cell r="O152">
            <v>0</v>
          </cell>
        </row>
        <row r="153">
          <cell r="O153">
            <v>168172</v>
          </cell>
        </row>
        <row r="154">
          <cell r="O154">
            <v>15701650</v>
          </cell>
        </row>
        <row r="155">
          <cell r="O155">
            <v>27877494</v>
          </cell>
        </row>
        <row r="156">
          <cell r="O156">
            <v>1575895</v>
          </cell>
        </row>
        <row r="157">
          <cell r="O157">
            <v>15353280</v>
          </cell>
        </row>
        <row r="158">
          <cell r="O158">
            <v>35699832</v>
          </cell>
        </row>
        <row r="159">
          <cell r="O159">
            <v>84938</v>
          </cell>
        </row>
        <row r="160">
          <cell r="O160">
            <v>3216300</v>
          </cell>
        </row>
        <row r="161">
          <cell r="O161">
            <v>0</v>
          </cell>
        </row>
        <row r="162">
          <cell r="O162">
            <v>20059362</v>
          </cell>
        </row>
        <row r="164">
          <cell r="O164">
            <v>3737340</v>
          </cell>
        </row>
        <row r="165">
          <cell r="O165">
            <v>3318000</v>
          </cell>
        </row>
        <row r="166">
          <cell r="O166">
            <v>5398260</v>
          </cell>
        </row>
        <row r="167">
          <cell r="O167">
            <v>16390900</v>
          </cell>
        </row>
        <row r="168">
          <cell r="O168">
            <v>3436720</v>
          </cell>
        </row>
        <row r="169">
          <cell r="O169">
            <v>14329173</v>
          </cell>
        </row>
        <row r="170">
          <cell r="O170">
            <v>791800</v>
          </cell>
        </row>
        <row r="171">
          <cell r="O171">
            <v>40691820</v>
          </cell>
        </row>
        <row r="172">
          <cell r="O172">
            <v>0</v>
          </cell>
        </row>
        <row r="173">
          <cell r="O173">
            <v>17086206</v>
          </cell>
        </row>
        <row r="174">
          <cell r="O174">
            <v>10032120</v>
          </cell>
        </row>
        <row r="175">
          <cell r="O175">
            <v>42292600</v>
          </cell>
        </row>
        <row r="176">
          <cell r="O176">
            <v>32583180</v>
          </cell>
        </row>
        <row r="177">
          <cell r="O177">
            <v>6370350</v>
          </cell>
        </row>
        <row r="178">
          <cell r="O178">
            <v>157990</v>
          </cell>
        </row>
        <row r="179">
          <cell r="O179">
            <v>214420</v>
          </cell>
        </row>
        <row r="180">
          <cell r="O180">
            <v>0</v>
          </cell>
        </row>
        <row r="181">
          <cell r="O181">
            <v>504516</v>
          </cell>
        </row>
        <row r="182">
          <cell r="O182">
            <v>2612700</v>
          </cell>
        </row>
        <row r="183">
          <cell r="O183">
            <v>169663</v>
          </cell>
        </row>
        <row r="184">
          <cell r="O184">
            <v>27852586</v>
          </cell>
        </row>
        <row r="189">
          <cell r="O189">
            <v>4152600</v>
          </cell>
        </row>
        <row r="190">
          <cell r="O190">
            <v>5269730</v>
          </cell>
        </row>
        <row r="191">
          <cell r="O191">
            <v>6720269</v>
          </cell>
        </row>
        <row r="192">
          <cell r="O192">
            <v>1963840</v>
          </cell>
        </row>
        <row r="193">
          <cell r="O193">
            <v>0</v>
          </cell>
        </row>
        <row r="194">
          <cell r="O194">
            <v>13489110</v>
          </cell>
        </row>
        <row r="195">
          <cell r="O195">
            <v>1575895</v>
          </cell>
        </row>
        <row r="196">
          <cell r="O196">
            <v>3091980</v>
          </cell>
        </row>
        <row r="197">
          <cell r="O197">
            <v>5666640</v>
          </cell>
        </row>
        <row r="203">
          <cell r="O203">
            <v>17241510</v>
          </cell>
        </row>
        <row r="204">
          <cell r="O204">
            <v>71238786</v>
          </cell>
        </row>
        <row r="205">
          <cell r="O205">
            <v>19926238</v>
          </cell>
        </row>
        <row r="208">
          <cell r="O208">
            <v>45062631</v>
          </cell>
        </row>
        <row r="209">
          <cell r="O209">
            <v>2510620</v>
          </cell>
        </row>
        <row r="211">
          <cell r="O211">
            <v>714183680</v>
          </cell>
        </row>
        <row r="212">
          <cell r="O212">
            <v>42447600</v>
          </cell>
        </row>
        <row r="213">
          <cell r="O213">
            <v>75082980</v>
          </cell>
        </row>
        <row r="214">
          <cell r="O214">
            <v>41619620</v>
          </cell>
        </row>
        <row r="215">
          <cell r="O215">
            <v>337274600</v>
          </cell>
        </row>
        <row r="216">
          <cell r="O216">
            <v>11793100</v>
          </cell>
        </row>
        <row r="217">
          <cell r="O217">
            <v>0</v>
          </cell>
        </row>
        <row r="218">
          <cell r="O218">
            <v>9249460</v>
          </cell>
        </row>
        <row r="219">
          <cell r="O219">
            <v>8689450</v>
          </cell>
        </row>
        <row r="221">
          <cell r="O221">
            <v>0</v>
          </cell>
        </row>
        <row r="222">
          <cell r="O222">
            <v>57651840</v>
          </cell>
        </row>
        <row r="223">
          <cell r="O223">
            <v>0</v>
          </cell>
        </row>
        <row r="224">
          <cell r="O224">
            <v>33825000</v>
          </cell>
        </row>
        <row r="225">
          <cell r="O225">
            <v>733374681</v>
          </cell>
        </row>
        <row r="226">
          <cell r="O226">
            <v>185229672</v>
          </cell>
        </row>
        <row r="228">
          <cell r="O228">
            <v>0</v>
          </cell>
        </row>
        <row r="230">
          <cell r="O230">
            <v>3144852089.2800002</v>
          </cell>
        </row>
        <row r="234">
          <cell r="O234">
            <v>41387580</v>
          </cell>
        </row>
        <row r="235">
          <cell r="O235">
            <v>65032800</v>
          </cell>
        </row>
        <row r="237">
          <cell r="O237">
            <v>211029805</v>
          </cell>
        </row>
        <row r="238">
          <cell r="O238">
            <v>2506217</v>
          </cell>
        </row>
        <row r="239">
          <cell r="O239">
            <v>11757944.800000001</v>
          </cell>
        </row>
        <row r="240">
          <cell r="O240">
            <v>88753749</v>
          </cell>
        </row>
        <row r="241">
          <cell r="O241">
            <v>20215244</v>
          </cell>
        </row>
        <row r="242">
          <cell r="O242">
            <v>155985060</v>
          </cell>
        </row>
        <row r="243">
          <cell r="O243">
            <v>6904324</v>
          </cell>
        </row>
        <row r="244">
          <cell r="O244">
            <v>0</v>
          </cell>
        </row>
        <row r="245">
          <cell r="O245">
            <v>6474622</v>
          </cell>
        </row>
        <row r="246">
          <cell r="O246">
            <v>3712765</v>
          </cell>
        </row>
        <row r="248">
          <cell r="O248">
            <v>260498160</v>
          </cell>
        </row>
        <row r="249">
          <cell r="O249">
            <v>156866736</v>
          </cell>
        </row>
        <row r="250">
          <cell r="O250">
            <v>2111730.6</v>
          </cell>
        </row>
        <row r="252">
          <cell r="O252">
            <v>0</v>
          </cell>
        </row>
        <row r="253">
          <cell r="O253">
            <v>115315430</v>
          </cell>
        </row>
        <row r="254">
          <cell r="O254">
            <v>0</v>
          </cell>
        </row>
        <row r="255">
          <cell r="O255">
            <v>113472920</v>
          </cell>
        </row>
        <row r="257">
          <cell r="O257">
            <v>74414686</v>
          </cell>
        </row>
        <row r="258">
          <cell r="O258">
            <v>56553200</v>
          </cell>
        </row>
        <row r="259">
          <cell r="O259">
            <v>2816664</v>
          </cell>
        </row>
        <row r="260">
          <cell r="O260">
            <v>62423400</v>
          </cell>
        </row>
        <row r="261">
          <cell r="O261">
            <v>20865800</v>
          </cell>
        </row>
        <row r="262">
          <cell r="O262">
            <v>60916380</v>
          </cell>
        </row>
        <row r="263">
          <cell r="O263">
            <v>16419480</v>
          </cell>
        </row>
        <row r="264">
          <cell r="O264">
            <v>4766600</v>
          </cell>
        </row>
        <row r="265">
          <cell r="O265">
            <v>10721000</v>
          </cell>
        </row>
        <row r="267">
          <cell r="O267">
            <v>1384200</v>
          </cell>
        </row>
        <row r="268">
          <cell r="O268">
            <v>0</v>
          </cell>
        </row>
        <row r="269">
          <cell r="O269">
            <v>95571840</v>
          </cell>
        </row>
        <row r="270">
          <cell r="O270">
            <v>5012670</v>
          </cell>
        </row>
        <row r="273">
          <cell r="O273">
            <v>42956595</v>
          </cell>
        </row>
        <row r="274">
          <cell r="O274">
            <v>1941030</v>
          </cell>
        </row>
        <row r="275">
          <cell r="O275">
            <v>10624950</v>
          </cell>
        </row>
        <row r="276">
          <cell r="O276">
            <v>11466630</v>
          </cell>
        </row>
        <row r="277">
          <cell r="O277">
            <v>24167200</v>
          </cell>
        </row>
        <row r="278">
          <cell r="O278">
            <v>0</v>
          </cell>
        </row>
        <row r="279">
          <cell r="O279">
            <v>834000000</v>
          </cell>
        </row>
        <row r="280">
          <cell r="O280">
            <v>0</v>
          </cell>
        </row>
        <row r="281">
          <cell r="O281">
            <v>115776960</v>
          </cell>
        </row>
        <row r="282">
          <cell r="O282">
            <v>2028032</v>
          </cell>
        </row>
        <row r="283">
          <cell r="O283">
            <v>12700000</v>
          </cell>
        </row>
        <row r="285">
          <cell r="O285">
            <v>21215310</v>
          </cell>
        </row>
        <row r="291">
          <cell r="O291">
            <v>101635586</v>
          </cell>
        </row>
        <row r="292">
          <cell r="O292">
            <v>12177570</v>
          </cell>
        </row>
        <row r="295">
          <cell r="O295">
            <v>12527010</v>
          </cell>
        </row>
        <row r="296">
          <cell r="O296">
            <v>24079680</v>
          </cell>
        </row>
        <row r="297">
          <cell r="O297">
            <v>6304200</v>
          </cell>
        </row>
        <row r="298">
          <cell r="O298">
            <v>3744790</v>
          </cell>
        </row>
        <row r="299">
          <cell r="O299">
            <v>31972850</v>
          </cell>
        </row>
        <row r="301">
          <cell r="O301">
            <v>0</v>
          </cell>
        </row>
        <row r="302">
          <cell r="O302">
            <v>0</v>
          </cell>
        </row>
        <row r="303">
          <cell r="O303">
            <v>0</v>
          </cell>
        </row>
        <row r="304">
          <cell r="O304">
            <v>19983031</v>
          </cell>
        </row>
        <row r="305">
          <cell r="O305">
            <v>0</v>
          </cell>
        </row>
        <row r="306">
          <cell r="O306">
            <v>0</v>
          </cell>
        </row>
        <row r="307">
          <cell r="O307">
            <v>281602800</v>
          </cell>
        </row>
        <row r="308">
          <cell r="O308">
            <v>7818800</v>
          </cell>
        </row>
        <row r="309">
          <cell r="O309">
            <v>1267928</v>
          </cell>
        </row>
        <row r="310">
          <cell r="O310">
            <v>289443</v>
          </cell>
        </row>
        <row r="311">
          <cell r="O311">
            <v>5010432</v>
          </cell>
        </row>
        <row r="313">
          <cell r="O313">
            <v>163552480</v>
          </cell>
        </row>
        <row r="314">
          <cell r="O314">
            <v>5209974</v>
          </cell>
        </row>
        <row r="315">
          <cell r="O315">
            <v>138606000</v>
          </cell>
        </row>
        <row r="316">
          <cell r="O316">
            <v>14166600</v>
          </cell>
        </row>
        <row r="317">
          <cell r="O317">
            <v>46715900</v>
          </cell>
        </row>
        <row r="318">
          <cell r="O318">
            <v>3006280</v>
          </cell>
        </row>
        <row r="319">
          <cell r="O319">
            <v>1828632</v>
          </cell>
        </row>
        <row r="320">
          <cell r="O320">
            <v>4824450</v>
          </cell>
        </row>
        <row r="322">
          <cell r="O322">
            <v>0</v>
          </cell>
        </row>
        <row r="323">
          <cell r="O323">
            <v>2533430997</v>
          </cell>
        </row>
        <row r="324">
          <cell r="O324">
            <v>0</v>
          </cell>
        </row>
        <row r="325">
          <cell r="O325">
            <v>51078420</v>
          </cell>
        </row>
        <row r="326">
          <cell r="O326">
            <v>0</v>
          </cell>
        </row>
        <row r="327">
          <cell r="O327">
            <v>105000000</v>
          </cell>
        </row>
        <row r="328">
          <cell r="O328">
            <v>70113950</v>
          </cell>
        </row>
        <row r="329">
          <cell r="O329">
            <v>181254000</v>
          </cell>
        </row>
        <row r="330">
          <cell r="O330">
            <v>17836980</v>
          </cell>
        </row>
        <row r="332">
          <cell r="O332">
            <v>0</v>
          </cell>
        </row>
        <row r="333">
          <cell r="O333">
            <v>66150740</v>
          </cell>
        </row>
        <row r="334">
          <cell r="O334">
            <v>0</v>
          </cell>
        </row>
        <row r="335">
          <cell r="O335">
            <v>0</v>
          </cell>
        </row>
        <row r="336">
          <cell r="O336">
            <v>15373200</v>
          </cell>
        </row>
        <row r="337">
          <cell r="O337">
            <v>10308730</v>
          </cell>
        </row>
        <row r="338">
          <cell r="O338">
            <v>0</v>
          </cell>
        </row>
        <row r="339">
          <cell r="O339">
            <v>3489251</v>
          </cell>
        </row>
        <row r="340">
          <cell r="O340">
            <v>20889000</v>
          </cell>
        </row>
        <row r="341">
          <cell r="O341">
            <v>6940956</v>
          </cell>
        </row>
        <row r="342">
          <cell r="O342">
            <v>13197170</v>
          </cell>
        </row>
        <row r="343">
          <cell r="O343">
            <v>17708250</v>
          </cell>
        </row>
        <row r="344">
          <cell r="O344">
            <v>1998304</v>
          </cell>
        </row>
        <row r="345">
          <cell r="O345">
            <v>5608032</v>
          </cell>
        </row>
        <row r="346">
          <cell r="O346">
            <v>5104160</v>
          </cell>
        </row>
        <row r="347">
          <cell r="O347">
            <v>6553108</v>
          </cell>
        </row>
        <row r="349">
          <cell r="O349">
            <v>8553270</v>
          </cell>
        </row>
        <row r="350">
          <cell r="O350">
            <v>195051710</v>
          </cell>
        </row>
        <row r="351">
          <cell r="O351">
            <v>12151260</v>
          </cell>
        </row>
        <row r="352">
          <cell r="O352">
            <v>3127122</v>
          </cell>
        </row>
        <row r="353">
          <cell r="O353">
            <v>1294020</v>
          </cell>
        </row>
        <row r="354">
          <cell r="O354">
            <v>4122640</v>
          </cell>
        </row>
        <row r="355">
          <cell r="O355">
            <v>33291510</v>
          </cell>
        </row>
        <row r="356">
          <cell r="O356">
            <v>17319120</v>
          </cell>
        </row>
        <row r="358">
          <cell r="O358">
            <v>26307336</v>
          </cell>
        </row>
        <row r="359">
          <cell r="O359">
            <v>12705220</v>
          </cell>
        </row>
        <row r="360">
          <cell r="O360">
            <v>52689120</v>
          </cell>
        </row>
        <row r="361">
          <cell r="O361">
            <v>6371585</v>
          </cell>
        </row>
        <row r="362">
          <cell r="O362">
            <v>53249790</v>
          </cell>
        </row>
        <row r="364">
          <cell r="O364">
            <v>17742336</v>
          </cell>
        </row>
        <row r="365">
          <cell r="O365">
            <v>1104660</v>
          </cell>
        </row>
        <row r="368">
          <cell r="O368">
            <v>9917793</v>
          </cell>
        </row>
        <row r="369">
          <cell r="O369">
            <v>26309280</v>
          </cell>
        </row>
        <row r="370">
          <cell r="O370">
            <v>6304200</v>
          </cell>
        </row>
        <row r="371">
          <cell r="O371">
            <v>3928960</v>
          </cell>
        </row>
        <row r="372">
          <cell r="O372">
            <v>20156373</v>
          </cell>
        </row>
        <row r="374">
          <cell r="O374">
            <v>0</v>
          </cell>
        </row>
        <row r="375">
          <cell r="O375">
            <v>0</v>
          </cell>
        </row>
        <row r="376">
          <cell r="O376">
            <v>0</v>
          </cell>
        </row>
        <row r="377">
          <cell r="O377">
            <v>19983031</v>
          </cell>
        </row>
        <row r="378">
          <cell r="O378">
            <v>0</v>
          </cell>
        </row>
        <row r="379">
          <cell r="O379">
            <v>0</v>
          </cell>
        </row>
        <row r="380">
          <cell r="O380">
            <v>587590200</v>
          </cell>
        </row>
        <row r="381">
          <cell r="O381">
            <v>15687356</v>
          </cell>
        </row>
        <row r="382">
          <cell r="O382">
            <v>1607770</v>
          </cell>
        </row>
        <row r="383">
          <cell r="O383">
            <v>323505</v>
          </cell>
        </row>
        <row r="384">
          <cell r="O384">
            <v>5845504</v>
          </cell>
        </row>
        <row r="386">
          <cell r="O386">
            <v>154745808</v>
          </cell>
        </row>
        <row r="387">
          <cell r="O387">
            <v>4631088</v>
          </cell>
        </row>
        <row r="388">
          <cell r="O388">
            <v>115974128</v>
          </cell>
        </row>
        <row r="389">
          <cell r="O389">
            <v>18062415</v>
          </cell>
        </row>
        <row r="390">
          <cell r="O390">
            <v>31936688</v>
          </cell>
        </row>
        <row r="391">
          <cell r="O391">
            <v>2630495</v>
          </cell>
        </row>
        <row r="392">
          <cell r="O392">
            <v>1828632</v>
          </cell>
        </row>
        <row r="393">
          <cell r="O393">
            <v>4824450</v>
          </cell>
        </row>
        <row r="395">
          <cell r="O395">
            <v>0</v>
          </cell>
        </row>
        <row r="396">
          <cell r="O396">
            <v>3737492642</v>
          </cell>
        </row>
        <row r="397">
          <cell r="O397">
            <v>0</v>
          </cell>
        </row>
        <row r="398">
          <cell r="O398">
            <v>60912432</v>
          </cell>
        </row>
        <row r="399">
          <cell r="O399">
            <v>0</v>
          </cell>
        </row>
        <row r="400">
          <cell r="O400">
            <v>129705920</v>
          </cell>
        </row>
        <row r="401">
          <cell r="O401">
            <v>82439200</v>
          </cell>
        </row>
        <row r="402">
          <cell r="O402">
            <v>225679000</v>
          </cell>
        </row>
        <row r="403">
          <cell r="O403">
            <v>21234500</v>
          </cell>
        </row>
        <row r="405">
          <cell r="O405">
            <v>0</v>
          </cell>
        </row>
        <row r="406">
          <cell r="O406">
            <v>68431800</v>
          </cell>
        </row>
        <row r="407">
          <cell r="O407">
            <v>0</v>
          </cell>
        </row>
        <row r="408">
          <cell r="O408">
            <v>0</v>
          </cell>
        </row>
        <row r="409">
          <cell r="O409">
            <v>30926190</v>
          </cell>
        </row>
        <row r="410">
          <cell r="O410">
            <v>0</v>
          </cell>
        </row>
        <row r="411">
          <cell r="O411">
            <v>4211165</v>
          </cell>
        </row>
        <row r="412">
          <cell r="O412">
            <v>27852000</v>
          </cell>
        </row>
        <row r="413">
          <cell r="O413">
            <v>9435420</v>
          </cell>
        </row>
        <row r="414">
          <cell r="O414">
            <v>16967790</v>
          </cell>
        </row>
        <row r="415">
          <cell r="O415">
            <v>21249900</v>
          </cell>
        </row>
        <row r="416">
          <cell r="O416">
            <v>1998304</v>
          </cell>
        </row>
        <row r="417">
          <cell r="O417">
            <v>8576800</v>
          </cell>
        </row>
        <row r="418">
          <cell r="O418">
            <v>5104160</v>
          </cell>
        </row>
        <row r="419">
          <cell r="O419">
            <v>6553108</v>
          </cell>
        </row>
        <row r="421">
          <cell r="O421">
            <v>18661680</v>
          </cell>
        </row>
        <row r="422">
          <cell r="O422">
            <v>81954500</v>
          </cell>
        </row>
        <row r="423">
          <cell r="O423">
            <v>9328240</v>
          </cell>
        </row>
        <row r="424">
          <cell r="O424">
            <v>2506217</v>
          </cell>
        </row>
        <row r="425">
          <cell r="O425">
            <v>1575895</v>
          </cell>
        </row>
        <row r="426">
          <cell r="O426">
            <v>3234140</v>
          </cell>
        </row>
        <row r="427">
          <cell r="O427">
            <v>19833240</v>
          </cell>
        </row>
        <row r="428">
          <cell r="O428">
            <v>13710970</v>
          </cell>
        </row>
        <row r="430">
          <cell r="O430">
            <v>34677852</v>
          </cell>
        </row>
        <row r="431">
          <cell r="O431">
            <v>17787308</v>
          </cell>
        </row>
        <row r="432">
          <cell r="O432">
            <v>66739552</v>
          </cell>
        </row>
        <row r="433">
          <cell r="O433">
            <v>8221400</v>
          </cell>
        </row>
        <row r="434">
          <cell r="O434">
            <v>67449734</v>
          </cell>
        </row>
        <row r="437">
          <cell r="O437">
            <v>8941932</v>
          </cell>
        </row>
        <row r="438">
          <cell r="O438">
            <v>16610520</v>
          </cell>
        </row>
        <row r="439">
          <cell r="O439">
            <v>6083000</v>
          </cell>
        </row>
        <row r="440">
          <cell r="O440">
            <v>1841700</v>
          </cell>
        </row>
        <row r="441">
          <cell r="O441">
            <v>20156373</v>
          </cell>
        </row>
        <row r="443">
          <cell r="O443">
            <v>0</v>
          </cell>
        </row>
        <row r="444">
          <cell r="O444">
            <v>0</v>
          </cell>
        </row>
        <row r="445">
          <cell r="O445">
            <v>19983031</v>
          </cell>
        </row>
        <row r="446">
          <cell r="O446">
            <v>0</v>
          </cell>
        </row>
        <row r="447">
          <cell r="O447">
            <v>461472000</v>
          </cell>
        </row>
        <row r="448">
          <cell r="O448">
            <v>16625612</v>
          </cell>
        </row>
        <row r="449">
          <cell r="O449">
            <v>1289507.3999999999</v>
          </cell>
        </row>
        <row r="450">
          <cell r="O450">
            <v>315179</v>
          </cell>
        </row>
        <row r="451">
          <cell r="O451">
            <v>4771840</v>
          </cell>
        </row>
        <row r="453">
          <cell r="O453">
            <v>132100080</v>
          </cell>
        </row>
        <row r="454">
          <cell r="O454">
            <v>3808688</v>
          </cell>
        </row>
        <row r="455">
          <cell r="O455">
            <v>111951000</v>
          </cell>
        </row>
        <row r="456">
          <cell r="O456">
            <v>14166600</v>
          </cell>
        </row>
        <row r="457">
          <cell r="O457">
            <v>38222100</v>
          </cell>
        </row>
        <row r="458">
          <cell r="O458">
            <v>1954082</v>
          </cell>
        </row>
        <row r="459">
          <cell r="O459">
            <v>1828632</v>
          </cell>
        </row>
        <row r="460">
          <cell r="O460">
            <v>4824450</v>
          </cell>
        </row>
        <row r="462">
          <cell r="O462">
            <v>0</v>
          </cell>
        </row>
        <row r="463">
          <cell r="O463">
            <v>1993026908</v>
          </cell>
        </row>
        <row r="464">
          <cell r="O464">
            <v>0</v>
          </cell>
        </row>
        <row r="465">
          <cell r="O465">
            <v>35809092</v>
          </cell>
        </row>
        <row r="466">
          <cell r="O466">
            <v>0</v>
          </cell>
        </row>
        <row r="467">
          <cell r="O467">
            <v>71647000</v>
          </cell>
        </row>
        <row r="468">
          <cell r="O468">
            <v>49614840</v>
          </cell>
        </row>
        <row r="469">
          <cell r="O469">
            <v>124390000</v>
          </cell>
        </row>
        <row r="470">
          <cell r="O470">
            <v>12740700</v>
          </cell>
        </row>
        <row r="472">
          <cell r="O472">
            <v>0</v>
          </cell>
        </row>
        <row r="473">
          <cell r="O473">
            <v>45621200</v>
          </cell>
        </row>
        <row r="474">
          <cell r="O474">
            <v>0</v>
          </cell>
        </row>
        <row r="475">
          <cell r="O475">
            <v>0</v>
          </cell>
        </row>
        <row r="476">
          <cell r="O476">
            <v>7686600</v>
          </cell>
        </row>
        <row r="477">
          <cell r="O477">
            <v>10308730</v>
          </cell>
        </row>
        <row r="478">
          <cell r="O478">
            <v>0</v>
          </cell>
        </row>
        <row r="479">
          <cell r="O479">
            <v>2526699</v>
          </cell>
        </row>
        <row r="480">
          <cell r="O480">
            <v>14622300</v>
          </cell>
        </row>
        <row r="481">
          <cell r="O481">
            <v>4741455</v>
          </cell>
        </row>
        <row r="482">
          <cell r="O482">
            <v>9426550</v>
          </cell>
        </row>
        <row r="483">
          <cell r="O483">
            <v>14166600</v>
          </cell>
        </row>
        <row r="484">
          <cell r="O484">
            <v>1998304</v>
          </cell>
        </row>
        <row r="485">
          <cell r="O485">
            <v>3210736</v>
          </cell>
        </row>
        <row r="486">
          <cell r="O486">
            <v>5104160</v>
          </cell>
        </row>
        <row r="487">
          <cell r="O487">
            <v>3674640</v>
          </cell>
        </row>
        <row r="489">
          <cell r="O489">
            <v>26437380</v>
          </cell>
        </row>
        <row r="490">
          <cell r="O490">
            <v>75398140</v>
          </cell>
        </row>
        <row r="491">
          <cell r="O491">
            <v>6996180</v>
          </cell>
        </row>
        <row r="492">
          <cell r="O492">
            <v>1885310</v>
          </cell>
        </row>
        <row r="493">
          <cell r="O493">
            <v>1294020</v>
          </cell>
        </row>
        <row r="494">
          <cell r="O494">
            <v>2274560</v>
          </cell>
        </row>
        <row r="495">
          <cell r="O495">
            <v>17708250</v>
          </cell>
        </row>
        <row r="496">
          <cell r="O496">
            <v>14432600</v>
          </cell>
        </row>
        <row r="498">
          <cell r="O498">
            <v>20328396</v>
          </cell>
        </row>
        <row r="499">
          <cell r="O499">
            <v>11307645.800000001</v>
          </cell>
        </row>
        <row r="500">
          <cell r="O500">
            <v>45663904</v>
          </cell>
        </row>
        <row r="501">
          <cell r="O501">
            <v>4932840</v>
          </cell>
        </row>
        <row r="502">
          <cell r="O502">
            <v>39049846</v>
          </cell>
        </row>
        <row r="509">
          <cell r="O509">
            <v>41355510</v>
          </cell>
        </row>
        <row r="510">
          <cell r="O510">
            <v>0</v>
          </cell>
        </row>
        <row r="511">
          <cell r="O511">
            <v>39963666.75</v>
          </cell>
        </row>
        <row r="512">
          <cell r="O512">
            <v>159892002.59999999</v>
          </cell>
        </row>
        <row r="513">
          <cell r="O513">
            <v>0</v>
          </cell>
        </row>
        <row r="514">
          <cell r="O514">
            <v>0</v>
          </cell>
        </row>
        <row r="515">
          <cell r="O515">
            <v>8380960</v>
          </cell>
        </row>
        <row r="516">
          <cell r="O516">
            <v>15662940</v>
          </cell>
        </row>
        <row r="521">
          <cell r="O521">
            <v>56266000</v>
          </cell>
        </row>
        <row r="522">
          <cell r="O522">
            <v>0</v>
          </cell>
        </row>
        <row r="523">
          <cell r="O523">
            <v>28050560</v>
          </cell>
        </row>
        <row r="524">
          <cell r="O524">
            <v>26476500</v>
          </cell>
        </row>
        <row r="525">
          <cell r="O525">
            <v>122078490</v>
          </cell>
        </row>
        <row r="526">
          <cell r="O526">
            <v>45367210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36"/>
  <sheetViews>
    <sheetView showGridLines="0" view="pageBreakPreview" zoomScale="85" zoomScaleSheetLayoutView="85" workbookViewId="0">
      <selection activeCell="J13" sqref="J13"/>
    </sheetView>
  </sheetViews>
  <sheetFormatPr defaultColWidth="8.7109375" defaultRowHeight="16.5" x14ac:dyDescent="0.3"/>
  <cols>
    <col min="1" max="1" width="3.28515625" style="1270" customWidth="1"/>
    <col min="2" max="2" width="13.28515625" style="1270" customWidth="1"/>
    <col min="3" max="3" width="1.7109375" style="1270" customWidth="1"/>
    <col min="4" max="4" width="60.42578125" style="1270" customWidth="1"/>
    <col min="5" max="5" width="25.42578125" style="1270" customWidth="1"/>
    <col min="6" max="6" width="8.7109375" style="1270"/>
    <col min="7" max="7" width="20.5703125" style="1300" customWidth="1"/>
    <col min="8" max="8" width="9.140625" style="1270" customWidth="1"/>
    <col min="9" max="9" width="8.7109375" style="1270"/>
    <col min="10" max="10" width="17" style="1270" customWidth="1"/>
    <col min="11" max="16384" width="8.7109375" style="1270"/>
  </cols>
  <sheetData>
    <row r="1" spans="2:10" ht="23.25" customHeight="1" x14ac:dyDescent="0.3">
      <c r="B1" s="3010" t="s">
        <v>1352</v>
      </c>
      <c r="C1" s="3010"/>
      <c r="D1" s="3010"/>
      <c r="E1" s="3010"/>
    </row>
    <row r="2" spans="2:10" ht="6.6" customHeight="1" x14ac:dyDescent="0.3">
      <c r="B2" s="1271"/>
      <c r="C2" s="1271"/>
      <c r="D2" s="1271"/>
      <c r="E2" s="1271"/>
    </row>
    <row r="3" spans="2:10" ht="16.149999999999999" customHeight="1" x14ac:dyDescent="0.3">
      <c r="B3" s="1270" t="s">
        <v>198</v>
      </c>
      <c r="D3" s="1272" t="str">
        <f>'RAB (2)'!E3</f>
        <v>: Renovasi Atap Gedung Paripurna DPRD Provsu</v>
      </c>
      <c r="E3" s="1273"/>
    </row>
    <row r="4" spans="2:10" ht="16.149999999999999" customHeight="1" x14ac:dyDescent="0.3">
      <c r="B4" s="1270" t="s">
        <v>199</v>
      </c>
      <c r="D4" s="1272" t="str">
        <f>'RAB (2)'!E4</f>
        <v>: Jalan Imam Bonjol No. 5 Medan</v>
      </c>
      <c r="E4" s="1274"/>
    </row>
    <row r="5" spans="2:10" ht="16.149999999999999" customHeight="1" x14ac:dyDescent="0.3">
      <c r="B5" s="1270" t="s">
        <v>231</v>
      </c>
      <c r="D5" s="1272" t="str">
        <f>'RAB (2)'!E5</f>
        <v>: 2022</v>
      </c>
      <c r="E5" s="1274"/>
    </row>
    <row r="6" spans="2:10" ht="10.5" customHeight="1" thickBot="1" x14ac:dyDescent="0.35">
      <c r="B6" s="1275"/>
      <c r="C6" s="1275"/>
      <c r="D6" s="1276"/>
      <c r="E6" s="1275"/>
    </row>
    <row r="7" spans="2:10" s="1279" customFormat="1" ht="39.75" customHeight="1" thickBot="1" x14ac:dyDescent="0.25">
      <c r="B7" s="1277" t="s">
        <v>135</v>
      </c>
      <c r="C7" s="3011" t="s">
        <v>200</v>
      </c>
      <c r="D7" s="3012"/>
      <c r="E7" s="1278" t="s">
        <v>137</v>
      </c>
      <c r="G7" s="1353"/>
    </row>
    <row r="8" spans="2:10" s="1279" customFormat="1" ht="9.9499999999999993" customHeight="1" thickTop="1" x14ac:dyDescent="0.2">
      <c r="B8" s="1280"/>
      <c r="C8" s="1281"/>
      <c r="D8" s="1282"/>
      <c r="E8" s="1283"/>
      <c r="G8" s="1353"/>
    </row>
    <row r="9" spans="2:10" s="1279" customFormat="1" ht="20.100000000000001" customHeight="1" x14ac:dyDescent="0.2">
      <c r="B9" s="1280" t="str">
        <f>'RAB (2)'!B10</f>
        <v>A</v>
      </c>
      <c r="C9" s="1284"/>
      <c r="D9" s="1285" t="str">
        <f>'RAB (2)'!C10</f>
        <v>PEKERJAAN PERSIAPAN</v>
      </c>
      <c r="E9" s="1286">
        <f>'RAB (2)'!J15</f>
        <v>71875860</v>
      </c>
      <c r="G9" s="1353"/>
      <c r="H9" s="1287"/>
    </row>
    <row r="10" spans="2:10" s="1279" customFormat="1" ht="20.100000000000001" customHeight="1" x14ac:dyDescent="0.2">
      <c r="B10" s="1280" t="str">
        <f>'RAB (2)'!B16</f>
        <v>B</v>
      </c>
      <c r="C10" s="1284"/>
      <c r="D10" s="1285" t="str">
        <f>'RAB (2)'!C16</f>
        <v>PEKERJAAN BONGKARAN</v>
      </c>
      <c r="E10" s="2345">
        <f>'RAB (2)'!J19</f>
        <v>90780550</v>
      </c>
      <c r="G10" s="1353"/>
      <c r="H10" s="1287"/>
    </row>
    <row r="11" spans="2:10" s="1279" customFormat="1" ht="20.100000000000001" customHeight="1" x14ac:dyDescent="0.2">
      <c r="B11" s="1280" t="str">
        <f>'RAB (2)'!B20</f>
        <v>C</v>
      </c>
      <c r="C11" s="1284"/>
      <c r="D11" s="1285" t="str">
        <f>'RAB (2)'!C20</f>
        <v>PEKERJAAN ATAP &amp; ALUMUNIUM COMPOSITE</v>
      </c>
      <c r="E11" s="1288">
        <f>'RAB (2)'!J29</f>
        <v>857107860.58800006</v>
      </c>
      <c r="G11" s="1353"/>
      <c r="H11" s="1287"/>
    </row>
    <row r="12" spans="2:10" ht="20.100000000000001" customHeight="1" thickBot="1" x14ac:dyDescent="0.35">
      <c r="B12" s="1289" t="str">
        <f>'RAB (2)'!B30</f>
        <v>D</v>
      </c>
      <c r="C12" s="1290"/>
      <c r="D12" s="1291" t="str">
        <f>'RAB (2)'!C30</f>
        <v>PEKERJAAN SANITASI GEDUNG</v>
      </c>
      <c r="E12" s="1292">
        <f>'RAB (2)'!J38</f>
        <v>280187002.17000002</v>
      </c>
    </row>
    <row r="13" spans="2:10" ht="20.100000000000001" customHeight="1" thickTop="1" x14ac:dyDescent="0.3">
      <c r="B13" s="1294"/>
      <c r="C13" s="1295"/>
      <c r="D13" s="2157" t="s">
        <v>160</v>
      </c>
      <c r="E13" s="1296">
        <f>SUM(E9:E12)</f>
        <v>1299951272.7580001</v>
      </c>
      <c r="H13" s="1293"/>
      <c r="J13" s="1293"/>
    </row>
    <row r="14" spans="2:10" ht="20.100000000000001" customHeight="1" x14ac:dyDescent="0.3">
      <c r="B14" s="1297"/>
      <c r="C14" s="1298"/>
      <c r="D14" s="2158" t="s">
        <v>1356</v>
      </c>
      <c r="E14" s="1299">
        <f>E13*0.11</f>
        <v>142994640.00338003</v>
      </c>
      <c r="H14" s="1300"/>
    </row>
    <row r="15" spans="2:10" ht="20.100000000000001" customHeight="1" x14ac:dyDescent="0.3">
      <c r="B15" s="1297"/>
      <c r="C15" s="1298"/>
      <c r="D15" s="2158" t="s">
        <v>1357</v>
      </c>
      <c r="E15" s="1299">
        <f>E13+E14</f>
        <v>1442945912.7613802</v>
      </c>
      <c r="F15" s="1301"/>
    </row>
    <row r="16" spans="2:10" ht="20.100000000000001" customHeight="1" thickBot="1" x14ac:dyDescent="0.35">
      <c r="B16" s="1302"/>
      <c r="C16" s="1303"/>
      <c r="D16" s="2159" t="s">
        <v>1371</v>
      </c>
      <c r="E16" s="1304">
        <f>ROUNDDOWN(E15,-4)</f>
        <v>1442940000</v>
      </c>
      <c r="F16" s="1305"/>
      <c r="H16" s="1306"/>
    </row>
    <row r="17" spans="2:8" s="2972" customFormat="1" ht="15" customHeight="1" thickTop="1" x14ac:dyDescent="0.2">
      <c r="B17" s="3015" t="s">
        <v>1581</v>
      </c>
      <c r="C17" s="3016"/>
      <c r="D17" s="3016"/>
      <c r="E17" s="3017"/>
      <c r="F17" s="2969"/>
      <c r="G17" s="2970"/>
      <c r="H17" s="2971"/>
    </row>
    <row r="18" spans="2:8" s="2972" customFormat="1" ht="15" customHeight="1" thickBot="1" x14ac:dyDescent="0.25">
      <c r="B18" s="3018"/>
      <c r="C18" s="3019"/>
      <c r="D18" s="3019"/>
      <c r="E18" s="3020"/>
      <c r="G18" s="2970"/>
    </row>
    <row r="19" spans="2:8" ht="8.1" customHeight="1" x14ac:dyDescent="0.3">
      <c r="D19" s="1307"/>
    </row>
    <row r="20" spans="2:8" x14ac:dyDescent="0.3">
      <c r="E20" s="1308"/>
      <c r="H20" s="1309"/>
    </row>
    <row r="21" spans="2:8" x14ac:dyDescent="0.3">
      <c r="E21" s="2154"/>
    </row>
    <row r="22" spans="2:8" x14ac:dyDescent="0.3">
      <c r="E22" s="2154"/>
    </row>
    <row r="23" spans="2:8" x14ac:dyDescent="0.3">
      <c r="E23" s="2155"/>
    </row>
    <row r="24" spans="2:8" x14ac:dyDescent="0.3">
      <c r="E24" s="2154"/>
      <c r="G24" s="1270"/>
    </row>
    <row r="25" spans="2:8" x14ac:dyDescent="0.3">
      <c r="E25" s="2154"/>
    </row>
    <row r="26" spans="2:8" x14ac:dyDescent="0.3">
      <c r="E26" s="2154"/>
    </row>
    <row r="27" spans="2:8" x14ac:dyDescent="0.3">
      <c r="E27" s="2154"/>
    </row>
    <row r="28" spans="2:8" x14ac:dyDescent="0.3">
      <c r="E28" s="2156"/>
    </row>
    <row r="29" spans="2:8" x14ac:dyDescent="0.3">
      <c r="E29" s="2154"/>
    </row>
    <row r="30" spans="2:8" x14ac:dyDescent="0.3">
      <c r="E30" s="1308"/>
    </row>
    <row r="73" spans="2:11" ht="17.25" thickBot="1" x14ac:dyDescent="0.35"/>
    <row r="74" spans="2:11" s="1314" customFormat="1" ht="18" x14ac:dyDescent="0.3">
      <c r="B74" s="1310" t="s">
        <v>295</v>
      </c>
      <c r="C74" s="1311"/>
      <c r="D74" s="1311"/>
      <c r="E74" s="1311"/>
      <c r="F74" s="1311"/>
      <c r="G74" s="1354"/>
      <c r="H74" s="1312"/>
      <c r="I74" s="1311"/>
      <c r="J74" s="1311"/>
      <c r="K74" s="1313"/>
    </row>
    <row r="75" spans="2:11" s="1314" customFormat="1" ht="17.25" thickBot="1" x14ac:dyDescent="0.35">
      <c r="B75" s="1315"/>
      <c r="C75" s="1316"/>
      <c r="D75" s="1316"/>
      <c r="E75" s="1316"/>
      <c r="F75" s="1316"/>
      <c r="G75" s="1355"/>
      <c r="H75" s="1317"/>
      <c r="I75" s="1316"/>
      <c r="J75" s="1316"/>
      <c r="K75" s="1318"/>
    </row>
    <row r="76" spans="2:11" s="1314" customFormat="1" ht="18" thickTop="1" thickBot="1" x14ac:dyDescent="0.35">
      <c r="B76" s="1315"/>
      <c r="C76" s="3013">
        <f>E16</f>
        <v>1442940000</v>
      </c>
      <c r="D76" s="3014"/>
      <c r="E76" s="1319">
        <v>1</v>
      </c>
      <c r="F76" s="1319"/>
      <c r="G76" s="1356"/>
      <c r="H76" s="1317"/>
      <c r="I76" s="1316"/>
      <c r="J76" s="1316"/>
      <c r="K76" s="1318"/>
    </row>
    <row r="77" spans="2:11" s="1314" customFormat="1" ht="18" thickTop="1" thickBot="1" x14ac:dyDescent="0.35">
      <c r="B77" s="1315"/>
      <c r="C77" s="1316"/>
      <c r="D77" s="1316"/>
      <c r="E77" s="1316"/>
      <c r="F77" s="1316"/>
      <c r="G77" s="1355"/>
      <c r="H77" s="1317"/>
      <c r="I77" s="1316"/>
      <c r="J77" s="1316"/>
      <c r="K77" s="1318"/>
    </row>
    <row r="78" spans="2:11" s="1314" customFormat="1" ht="18" thickTop="1" thickBot="1" x14ac:dyDescent="0.35">
      <c r="B78" s="1315" t="s">
        <v>296</v>
      </c>
      <c r="C78" s="1320" t="str">
        <f>PROPER(IF(E76=1,C133,IF(E76=2,#REF!,"")))</f>
        <v>Satu Milyar Empat Ratus Empat Puluh Dua Juta Sembilan Ratus Empat Puluh Ribu Rupiah</v>
      </c>
      <c r="D78" s="1321"/>
      <c r="E78" s="1321"/>
      <c r="F78" s="1321"/>
      <c r="G78" s="1357"/>
      <c r="H78" s="1322"/>
      <c r="I78" s="1316"/>
      <c r="J78" s="1316"/>
      <c r="K78" s="1318"/>
    </row>
    <row r="79" spans="2:11" s="1314" customFormat="1" ht="18" thickTop="1" thickBot="1" x14ac:dyDescent="0.35">
      <c r="B79" s="1315"/>
      <c r="C79" s="1316"/>
      <c r="D79" s="1316"/>
      <c r="E79" s="1316"/>
      <c r="F79" s="1316"/>
      <c r="G79" s="1355"/>
      <c r="H79" s="1317"/>
      <c r="I79" s="1316"/>
      <c r="J79" s="1316"/>
      <c r="K79" s="1318"/>
    </row>
    <row r="80" spans="2:11" s="1314" customFormat="1" x14ac:dyDescent="0.3">
      <c r="B80" s="1315" t="s">
        <v>297</v>
      </c>
      <c r="C80" s="1323" t="s">
        <v>298</v>
      </c>
      <c r="D80" s="1324"/>
      <c r="E80" s="1324"/>
      <c r="F80" s="1324"/>
      <c r="G80" s="1358"/>
      <c r="H80" s="1325" t="s">
        <v>299</v>
      </c>
      <c r="I80" s="1316"/>
      <c r="J80" s="1316"/>
      <c r="K80" s="1318"/>
    </row>
    <row r="81" spans="2:11" s="1314" customFormat="1" ht="17.25" thickBot="1" x14ac:dyDescent="0.35">
      <c r="B81" s="1315"/>
      <c r="C81" s="1326" t="s">
        <v>300</v>
      </c>
      <c r="D81" s="1327"/>
      <c r="E81" s="1327"/>
      <c r="F81" s="1327"/>
      <c r="G81" s="1359"/>
      <c r="H81" s="1328" t="s">
        <v>299</v>
      </c>
      <c r="I81" s="1316"/>
      <c r="J81" s="1316"/>
      <c r="K81" s="1318"/>
    </row>
    <row r="82" spans="2:11" s="1314" customFormat="1" x14ac:dyDescent="0.3">
      <c r="B82" s="1315"/>
      <c r="C82" s="1316" t="str">
        <f>IF(TRUNC(C76)&lt;&gt;0,RIGHT("000000000000"&amp;FIXED(TRUNC(C76),0,TRUE),12),"000000000000")</f>
        <v>001442940000</v>
      </c>
      <c r="D82" s="1316"/>
      <c r="E82" s="1316"/>
      <c r="F82" s="1316"/>
      <c r="G82" s="1355"/>
      <c r="H82" s="1328" t="s">
        <v>299</v>
      </c>
      <c r="I82" s="1316"/>
      <c r="J82" s="1316"/>
      <c r="K82" s="1318"/>
    </row>
    <row r="83" spans="2:11" s="1314" customFormat="1" x14ac:dyDescent="0.3">
      <c r="B83" s="1329" t="s">
        <v>301</v>
      </c>
      <c r="C83" s="1330" t="s">
        <v>299</v>
      </c>
      <c r="D83" s="1330" t="s">
        <v>299</v>
      </c>
      <c r="E83" s="1330" t="s">
        <v>299</v>
      </c>
      <c r="F83" s="1330"/>
      <c r="G83" s="1360"/>
      <c r="H83" s="1328" t="s">
        <v>299</v>
      </c>
      <c r="I83" s="1316"/>
      <c r="J83" s="1316"/>
      <c r="K83" s="1318"/>
    </row>
    <row r="84" spans="2:11" s="1314" customFormat="1" x14ac:dyDescent="0.3">
      <c r="B84" s="1329" t="s">
        <v>302</v>
      </c>
      <c r="C84" s="1331" t="str">
        <f>IF(VALUE(C82)&gt;0,MID(C82,12-(D84*3)+1,3),"")</f>
        <v>000</v>
      </c>
      <c r="D84" s="1332">
        <v>1</v>
      </c>
      <c r="E84" s="1316"/>
      <c r="F84" s="1316"/>
      <c r="G84" s="1355"/>
      <c r="H84" s="1328" t="s">
        <v>299</v>
      </c>
      <c r="I84" s="1316"/>
      <c r="J84" s="1316"/>
      <c r="K84" s="1318"/>
    </row>
    <row r="85" spans="2:11" s="1314" customFormat="1" x14ac:dyDescent="0.3">
      <c r="B85" s="1329" t="s">
        <v>303</v>
      </c>
      <c r="C85" s="1333">
        <f>IF(TRIM(C84)&lt;&gt;"",VALUE(MID(C84,1,1)),0)</f>
        <v>0</v>
      </c>
      <c r="D85" s="1334" t="str">
        <f>IF(AND(C76&lt;&gt;0,C87&gt;1),TRIM(MID(C80,(C87-1)*8+1,8))&amp;" puluh "," ")</f>
        <v xml:space="preserve"> </v>
      </c>
      <c r="E85" s="1316"/>
      <c r="F85" s="1316"/>
      <c r="G85" s="1355"/>
      <c r="H85" s="1328" t="s">
        <v>299</v>
      </c>
      <c r="I85" s="1316"/>
      <c r="J85" s="1316"/>
      <c r="K85" s="1318"/>
    </row>
    <row r="86" spans="2:11" s="1314" customFormat="1" x14ac:dyDescent="0.3">
      <c r="B86" s="1329" t="s">
        <v>304</v>
      </c>
      <c r="C86" s="1333" t="str">
        <f>IF(C76&lt;&gt;0,IF(C85=1,"seratus ",IF(C85=0,"",TRIM(MID(C80,(C85-1)*8+1,8))&amp;" ratus")),"")</f>
        <v/>
      </c>
      <c r="D86" s="1334" t="str">
        <f>IF(C76&lt;&gt;0,IF(C88=0,"sepuluh ",IF(C88=1,"sebelas ",TRIM(MID(C80,(C88-1)*8+1,8))&amp;" belas ")),"")</f>
        <v xml:space="preserve">sepuluh </v>
      </c>
      <c r="E86" s="1316"/>
      <c r="F86" s="1316"/>
      <c r="G86" s="1355"/>
      <c r="H86" s="1328" t="s">
        <v>299</v>
      </c>
      <c r="I86" s="1316"/>
      <c r="J86" s="1316"/>
      <c r="K86" s="1318"/>
    </row>
    <row r="87" spans="2:11" s="1314" customFormat="1" x14ac:dyDescent="0.3">
      <c r="B87" s="1329" t="s">
        <v>301</v>
      </c>
      <c r="C87" s="1333">
        <f>IF(C76&lt;&gt;0,VALUE(MID(C84,2,1)),0)</f>
        <v>0</v>
      </c>
      <c r="D87" s="1334" t="str">
        <f>IF(C76&lt;&gt;0,IF(C88&lt;&gt;0,TRIM(MID(C80,(C88-1)*8+1,8))&amp;" ",""),"")</f>
        <v/>
      </c>
      <c r="E87" s="1316"/>
      <c r="F87" s="1316"/>
      <c r="G87" s="1355"/>
      <c r="H87" s="1328" t="s">
        <v>299</v>
      </c>
      <c r="I87" s="1316"/>
      <c r="J87" s="1316"/>
      <c r="K87" s="1318"/>
    </row>
    <row r="88" spans="2:11" s="1314" customFormat="1" x14ac:dyDescent="0.3">
      <c r="B88" s="1329" t="s">
        <v>301</v>
      </c>
      <c r="C88" s="1333">
        <f>IF(C76&lt;&gt;0,VALUE(MID(C84,3,1)),0)</f>
        <v>0</v>
      </c>
      <c r="D88" s="1334" t="str">
        <f>IF(AND(C76&lt;&gt;0,C88&gt;0),D85&amp;TRIM(MID(C80,(C88-1)*8+1,8))&amp;" ",+D85)</f>
        <v xml:space="preserve"> </v>
      </c>
      <c r="E88" s="1316"/>
      <c r="F88" s="1316"/>
      <c r="G88" s="1355"/>
      <c r="H88" s="1328" t="s">
        <v>299</v>
      </c>
      <c r="I88" s="1316"/>
      <c r="J88" s="1316"/>
      <c r="K88" s="1318"/>
    </row>
    <row r="89" spans="2:11" s="1314" customFormat="1" x14ac:dyDescent="0.3">
      <c r="B89" s="1329" t="s">
        <v>301</v>
      </c>
      <c r="C89" s="1333" t="str">
        <f>IF(C87=1,+D86,IF(C87=0,D87,D88))</f>
        <v/>
      </c>
      <c r="D89" s="1334" t="str">
        <f>IF(VALUE(TRIM(C84))&lt;&gt;0,IF(AND(VALUE(TRIM(C84))=1,D84=2),"se",C89),"")</f>
        <v/>
      </c>
      <c r="E89" s="1316"/>
      <c r="F89" s="1316"/>
      <c r="G89" s="1355"/>
      <c r="H89" s="1328" t="s">
        <v>299</v>
      </c>
      <c r="I89" s="1316"/>
      <c r="J89" s="1316"/>
      <c r="K89" s="1318"/>
    </row>
    <row r="90" spans="2:11" s="1314" customFormat="1" x14ac:dyDescent="0.3">
      <c r="B90" s="1329" t="s">
        <v>301</v>
      </c>
      <c r="C90" s="1333" t="str">
        <f>IF(VALUE(TRIM(C84))&lt;&gt;0,C86&amp;" "&amp;D89&amp;TRIM(MID(C81,(D84-1)*7+1,7))&amp;" ","")</f>
        <v/>
      </c>
      <c r="D90" s="1334"/>
      <c r="E90" s="1316"/>
      <c r="F90" s="1316"/>
      <c r="G90" s="1355"/>
      <c r="H90" s="1328" t="s">
        <v>299</v>
      </c>
      <c r="I90" s="1316"/>
      <c r="J90" s="1316"/>
      <c r="K90" s="1318"/>
    </row>
    <row r="91" spans="2:11" s="1314" customFormat="1" x14ac:dyDescent="0.3">
      <c r="B91" s="1329" t="s">
        <v>301</v>
      </c>
      <c r="C91" s="1335"/>
      <c r="D91" s="1336"/>
      <c r="E91" s="1316"/>
      <c r="F91" s="1316"/>
      <c r="G91" s="1355"/>
      <c r="H91" s="1328" t="s">
        <v>299</v>
      </c>
      <c r="I91" s="1316"/>
      <c r="J91" s="1316"/>
      <c r="K91" s="1318"/>
    </row>
    <row r="92" spans="2:11" s="1314" customFormat="1" x14ac:dyDescent="0.3">
      <c r="B92" s="1329" t="s">
        <v>301</v>
      </c>
      <c r="C92" s="1316"/>
      <c r="D92" s="1316"/>
      <c r="E92" s="1316"/>
      <c r="F92" s="1316"/>
      <c r="G92" s="1355"/>
      <c r="H92" s="1328" t="s">
        <v>299</v>
      </c>
      <c r="I92" s="1316"/>
      <c r="J92" s="1316"/>
      <c r="K92" s="1318"/>
    </row>
    <row r="93" spans="2:11" s="1314" customFormat="1" x14ac:dyDescent="0.3">
      <c r="B93" s="1329" t="s">
        <v>301</v>
      </c>
      <c r="C93" s="1331" t="str">
        <f>IF(VALUE(C82)&gt;0,MID(C82,12-(D93*3)+1,3),"")</f>
        <v>940</v>
      </c>
      <c r="D93" s="1332">
        <v>2</v>
      </c>
      <c r="E93" s="1316"/>
      <c r="F93" s="1316"/>
      <c r="G93" s="1355"/>
      <c r="H93" s="1328" t="s">
        <v>299</v>
      </c>
      <c r="I93" s="1316"/>
      <c r="J93" s="1316"/>
      <c r="K93" s="1318"/>
    </row>
    <row r="94" spans="2:11" s="1314" customFormat="1" x14ac:dyDescent="0.3">
      <c r="B94" s="1329" t="s">
        <v>301</v>
      </c>
      <c r="C94" s="1333">
        <f>IF(TRIM(C93)&lt;&gt;"",VALUE(MID(C93,1,1)),0)</f>
        <v>9</v>
      </c>
      <c r="D94" s="1334" t="str">
        <f>IF(AND(C76&lt;&gt;0,C96&gt;1),TRIM(MID(C80,(C96-1)*8+1,8))&amp;" puluh "," ")</f>
        <v xml:space="preserve">empat puluh </v>
      </c>
      <c r="E94" s="1316"/>
      <c r="F94" s="1316"/>
      <c r="G94" s="1355"/>
      <c r="H94" s="1328" t="s">
        <v>299</v>
      </c>
      <c r="I94" s="1316"/>
      <c r="J94" s="1316"/>
      <c r="K94" s="1318"/>
    </row>
    <row r="95" spans="2:11" s="1314" customFormat="1" x14ac:dyDescent="0.3">
      <c r="B95" s="1329" t="s">
        <v>301</v>
      </c>
      <c r="C95" s="1333" t="str">
        <f>IF(C76&lt;&gt;0,IF(C94=1,"seratus ",IF(C94=0,"",TRIM(MID(C80,(C94-1)*8+1,8))&amp;" ratus")),"")</f>
        <v>sembilan ratus</v>
      </c>
      <c r="D95" s="1334" t="str">
        <f>IF(C76&lt;&gt;0,IF(C97=0,"sepuluh ",IF(C97=1,"sebelas ",TRIM(MID(C80,(C97-1)*8+1,8))&amp;" belas ")),"")</f>
        <v xml:space="preserve">sepuluh </v>
      </c>
      <c r="E95" s="1316"/>
      <c r="F95" s="1316"/>
      <c r="G95" s="1355"/>
      <c r="H95" s="1328" t="s">
        <v>299</v>
      </c>
      <c r="I95" s="1316"/>
      <c r="J95" s="1316"/>
      <c r="K95" s="1318"/>
    </row>
    <row r="96" spans="2:11" s="1314" customFormat="1" x14ac:dyDescent="0.3">
      <c r="B96" s="1329" t="s">
        <v>301</v>
      </c>
      <c r="C96" s="1333">
        <f>IF(C76&lt;&gt;0,VALUE(MID(C93,2,1)),0)</f>
        <v>4</v>
      </c>
      <c r="D96" s="1334" t="str">
        <f>IF(C76&lt;&gt;0,IF(C97&lt;&gt;0,TRIM(MID(C80,(C97-1)*8+1,8))&amp;" ",""),"")</f>
        <v/>
      </c>
      <c r="E96" s="1316"/>
      <c r="F96" s="1316"/>
      <c r="G96" s="1355"/>
      <c r="H96" s="1328" t="s">
        <v>299</v>
      </c>
      <c r="I96" s="1316"/>
      <c r="J96" s="1316"/>
      <c r="K96" s="1318"/>
    </row>
    <row r="97" spans="2:11" s="1314" customFormat="1" x14ac:dyDescent="0.3">
      <c r="B97" s="1329" t="s">
        <v>301</v>
      </c>
      <c r="C97" s="1333">
        <f>IF(C76&lt;&gt;0,VALUE(MID(C93,3,1)),0)</f>
        <v>0</v>
      </c>
      <c r="D97" s="1334" t="str">
        <f>IF(AND(C76&lt;&gt;0,C97&gt;0),D94&amp;TRIM(MID(C80,(C97-1)*8+1,8))&amp;" ",+D94)</f>
        <v xml:space="preserve">empat puluh </v>
      </c>
      <c r="E97" s="1316"/>
      <c r="F97" s="1316"/>
      <c r="G97" s="1355"/>
      <c r="H97" s="1328" t="s">
        <v>299</v>
      </c>
      <c r="I97" s="1316"/>
      <c r="J97" s="1316"/>
      <c r="K97" s="1318"/>
    </row>
    <row r="98" spans="2:11" s="1314" customFormat="1" x14ac:dyDescent="0.3">
      <c r="B98" s="1329" t="s">
        <v>301</v>
      </c>
      <c r="C98" s="1333" t="str">
        <f>IF(C96=1,+D95,IF(C96=0,D96,D97))</f>
        <v xml:space="preserve">empat puluh </v>
      </c>
      <c r="D98" s="1334" t="str">
        <f>IF(VALUE(TRIM(C93))&lt;&gt;0,IF(AND(VALUE(TRIM(C93))=1,D93=2),"se",C98),"")</f>
        <v xml:space="preserve">empat puluh </v>
      </c>
      <c r="E98" s="1316"/>
      <c r="F98" s="1316"/>
      <c r="G98" s="1355"/>
      <c r="H98" s="1328" t="s">
        <v>299</v>
      </c>
      <c r="I98" s="1316"/>
      <c r="J98" s="1316"/>
      <c r="K98" s="1318"/>
    </row>
    <row r="99" spans="2:11" s="1314" customFormat="1" x14ac:dyDescent="0.3">
      <c r="B99" s="1329" t="s">
        <v>301</v>
      </c>
      <c r="C99" s="1333" t="str">
        <f>IF(VALUE(TRIM(C93))&lt;&gt;0,C95&amp;" "&amp;D98&amp;TRIM(MID(C81,(D93-1)*7+1,7))&amp;" ","")</f>
        <v xml:space="preserve">sembilan ratus empat puluh ribu </v>
      </c>
      <c r="D99" s="1334"/>
      <c r="E99" s="1316"/>
      <c r="F99" s="1316"/>
      <c r="G99" s="1355"/>
      <c r="H99" s="1328" t="s">
        <v>299</v>
      </c>
      <c r="I99" s="1316"/>
      <c r="J99" s="1316"/>
      <c r="K99" s="1318"/>
    </row>
    <row r="100" spans="2:11" s="1314" customFormat="1" x14ac:dyDescent="0.3">
      <c r="B100" s="1329" t="s">
        <v>301</v>
      </c>
      <c r="C100" s="1335"/>
      <c r="D100" s="1336"/>
      <c r="E100" s="1316"/>
      <c r="F100" s="1316"/>
      <c r="G100" s="1355"/>
      <c r="H100" s="1328" t="s">
        <v>299</v>
      </c>
      <c r="I100" s="1316"/>
      <c r="J100" s="1316"/>
      <c r="K100" s="1318"/>
    </row>
    <row r="101" spans="2:11" s="1314" customFormat="1" x14ac:dyDescent="0.3">
      <c r="B101" s="1329" t="s">
        <v>301</v>
      </c>
      <c r="C101" s="1316"/>
      <c r="D101" s="1316"/>
      <c r="E101" s="1316"/>
      <c r="F101" s="1316"/>
      <c r="G101" s="1355"/>
      <c r="H101" s="1328" t="s">
        <v>299</v>
      </c>
      <c r="I101" s="1316"/>
      <c r="J101" s="1316"/>
      <c r="K101" s="1318"/>
    </row>
    <row r="102" spans="2:11" s="1314" customFormat="1" x14ac:dyDescent="0.3">
      <c r="B102" s="1329" t="s">
        <v>301</v>
      </c>
      <c r="C102" s="1331" t="str">
        <f>IF(VALUE(C82)&gt;0,MID(C82,12-(D102*3)+1,3),"")</f>
        <v>442</v>
      </c>
      <c r="D102" s="1332">
        <v>3</v>
      </c>
      <c r="E102" s="1316"/>
      <c r="F102" s="1316"/>
      <c r="G102" s="1355"/>
      <c r="H102" s="1328" t="s">
        <v>299</v>
      </c>
      <c r="I102" s="1316"/>
      <c r="J102" s="1316"/>
      <c r="K102" s="1318"/>
    </row>
    <row r="103" spans="2:11" s="1314" customFormat="1" x14ac:dyDescent="0.3">
      <c r="B103" s="1329" t="s">
        <v>301</v>
      </c>
      <c r="C103" s="1333">
        <f>IF(TRIM(C102)&lt;&gt;"",VALUE(MID(C102,1,1)),0)</f>
        <v>4</v>
      </c>
      <c r="D103" s="1334" t="str">
        <f>IF(AND(C76&lt;&gt;0,C105&gt;1),TRIM(MID(C80,(C105-1)*8+1,8))&amp;" puluh "," ")</f>
        <v xml:space="preserve">empat puluh </v>
      </c>
      <c r="E103" s="1316"/>
      <c r="F103" s="1316"/>
      <c r="G103" s="1355"/>
      <c r="H103" s="1328" t="s">
        <v>299</v>
      </c>
      <c r="I103" s="1316"/>
      <c r="J103" s="1316"/>
      <c r="K103" s="1318"/>
    </row>
    <row r="104" spans="2:11" s="1314" customFormat="1" x14ac:dyDescent="0.3">
      <c r="B104" s="1329" t="s">
        <v>301</v>
      </c>
      <c r="C104" s="1333" t="str">
        <f>IF(C76&lt;&gt;0,IF(C103=1,"seratus ",IF(C103=0,"",TRIM(MID(C80,(C103-1)*8+1,8))&amp;" ratus")),"")</f>
        <v>empat ratus</v>
      </c>
      <c r="D104" s="1334" t="str">
        <f>IF(C76&lt;&gt;0,IF(C106=0,"sepuluh ",IF(C106=1,"sebelas ",TRIM(MID(C80,(C106-1)*8+1,8))&amp;" belas ")),"")</f>
        <v xml:space="preserve">dua belas </v>
      </c>
      <c r="E104" s="1316"/>
      <c r="F104" s="1316"/>
      <c r="G104" s="1355"/>
      <c r="H104" s="1328" t="s">
        <v>299</v>
      </c>
      <c r="I104" s="1316"/>
      <c r="J104" s="1316"/>
      <c r="K104" s="1318"/>
    </row>
    <row r="105" spans="2:11" s="1314" customFormat="1" x14ac:dyDescent="0.3">
      <c r="B105" s="1329" t="s">
        <v>301</v>
      </c>
      <c r="C105" s="1333">
        <f>IF(C76&lt;&gt;0,VALUE(MID(C102,2,1)),0)</f>
        <v>4</v>
      </c>
      <c r="D105" s="1334" t="str">
        <f>IF(C76&lt;&gt;0,IF(C106&lt;&gt;0,TRIM(MID(C80,(C106-1)*8+1,8))&amp;" ",""),"")</f>
        <v xml:space="preserve">dua </v>
      </c>
      <c r="E105" s="1316"/>
      <c r="F105" s="1316"/>
      <c r="G105" s="1355"/>
      <c r="H105" s="1328" t="s">
        <v>299</v>
      </c>
      <c r="I105" s="1316"/>
      <c r="J105" s="1316"/>
      <c r="K105" s="1318"/>
    </row>
    <row r="106" spans="2:11" s="1314" customFormat="1" x14ac:dyDescent="0.3">
      <c r="B106" s="1329" t="s">
        <v>301</v>
      </c>
      <c r="C106" s="1333">
        <f>IF(C76&lt;&gt;0,VALUE(MID(C102,3,1)),0)</f>
        <v>2</v>
      </c>
      <c r="D106" s="1334" t="str">
        <f>IF(AND(C76&lt;&gt;0,C106&gt;0),D103&amp;TRIM(MID(C80,(C106-1)*8+1,8))&amp;" ",+D103)</f>
        <v xml:space="preserve">empat puluh dua </v>
      </c>
      <c r="E106" s="1316"/>
      <c r="F106" s="1316"/>
      <c r="G106" s="1355"/>
      <c r="H106" s="1328" t="s">
        <v>299</v>
      </c>
      <c r="I106" s="1316"/>
      <c r="J106" s="1316"/>
      <c r="K106" s="1318"/>
    </row>
    <row r="107" spans="2:11" s="1314" customFormat="1" x14ac:dyDescent="0.3">
      <c r="B107" s="1329" t="s">
        <v>301</v>
      </c>
      <c r="C107" s="1333" t="str">
        <f>IF(C105=1,+D104,IF(C105=0,D105,D106))</f>
        <v xml:space="preserve">empat puluh dua </v>
      </c>
      <c r="D107" s="1334" t="str">
        <f>IF(VALUE(TRIM(C102))&lt;&gt;0,IF(AND(VALUE(TRIM(C102))=1,D102=2),"se",C107),"")</f>
        <v xml:space="preserve">empat puluh dua </v>
      </c>
      <c r="E107" s="1316"/>
      <c r="F107" s="1316"/>
      <c r="G107" s="1355"/>
      <c r="H107" s="1328" t="s">
        <v>299</v>
      </c>
      <c r="I107" s="1316"/>
      <c r="J107" s="1316"/>
      <c r="K107" s="1318"/>
    </row>
    <row r="108" spans="2:11" s="1314" customFormat="1" x14ac:dyDescent="0.3">
      <c r="B108" s="1329" t="s">
        <v>301</v>
      </c>
      <c r="C108" s="1333" t="str">
        <f>IF(VALUE(TRIM(C102))&lt;&gt;0,C104&amp;" "&amp;D107&amp;TRIM(MID(C81,(D102-1)*7+1,7))&amp;" ","")</f>
        <v xml:space="preserve">empat ratus empat puluh dua juta </v>
      </c>
      <c r="D108" s="1334"/>
      <c r="E108" s="1316"/>
      <c r="F108" s="1316"/>
      <c r="G108" s="1355"/>
      <c r="H108" s="1328" t="s">
        <v>299</v>
      </c>
      <c r="I108" s="1316"/>
      <c r="J108" s="1316"/>
      <c r="K108" s="1318"/>
    </row>
    <row r="109" spans="2:11" s="1314" customFormat="1" x14ac:dyDescent="0.3">
      <c r="B109" s="1329" t="s">
        <v>301</v>
      </c>
      <c r="C109" s="1335"/>
      <c r="D109" s="1336"/>
      <c r="E109" s="1316"/>
      <c r="F109" s="1316"/>
      <c r="G109" s="1355"/>
      <c r="H109" s="1328" t="s">
        <v>299</v>
      </c>
      <c r="I109" s="1316"/>
      <c r="J109" s="1316"/>
      <c r="K109" s="1318"/>
    </row>
    <row r="110" spans="2:11" s="1314" customFormat="1" x14ac:dyDescent="0.3">
      <c r="B110" s="1329" t="s">
        <v>301</v>
      </c>
      <c r="C110" s="1316"/>
      <c r="D110" s="1316"/>
      <c r="E110" s="1316"/>
      <c r="F110" s="1316"/>
      <c r="G110" s="1355"/>
      <c r="H110" s="1328" t="s">
        <v>299</v>
      </c>
      <c r="I110" s="1316"/>
      <c r="J110" s="1316"/>
      <c r="K110" s="1318"/>
    </row>
    <row r="111" spans="2:11" s="1314" customFormat="1" x14ac:dyDescent="0.3">
      <c r="B111" s="1329" t="s">
        <v>301</v>
      </c>
      <c r="C111" s="1331" t="str">
        <f>IF(VALUE(C82)&gt;0,MID(C82,12-(D111*3)+1,3),"")</f>
        <v>001</v>
      </c>
      <c r="D111" s="1332">
        <v>4</v>
      </c>
      <c r="E111" s="1316"/>
      <c r="F111" s="1316"/>
      <c r="G111" s="1355"/>
      <c r="H111" s="1328" t="s">
        <v>299</v>
      </c>
      <c r="I111" s="1316"/>
      <c r="J111" s="1316"/>
      <c r="K111" s="1318"/>
    </row>
    <row r="112" spans="2:11" s="1314" customFormat="1" x14ac:dyDescent="0.3">
      <c r="B112" s="1329" t="s">
        <v>301</v>
      </c>
      <c r="C112" s="1333">
        <f>IF(TRIM(C111)&lt;&gt;"",VALUE(MID(C111,1,1)),0)</f>
        <v>0</v>
      </c>
      <c r="D112" s="1334" t="str">
        <f>IF(AND(C76&lt;&gt;0,C114&gt;1),TRIM(MID(C80,(C114-1)*8+1,8))&amp;" puluh "," ")</f>
        <v xml:space="preserve"> </v>
      </c>
      <c r="E112" s="1316"/>
      <c r="F112" s="1316"/>
      <c r="G112" s="1355"/>
      <c r="H112" s="1328" t="s">
        <v>299</v>
      </c>
      <c r="I112" s="1316"/>
      <c r="J112" s="1316"/>
      <c r="K112" s="1318"/>
    </row>
    <row r="113" spans="2:11" s="1314" customFormat="1" x14ac:dyDescent="0.3">
      <c r="B113" s="1329" t="s">
        <v>301</v>
      </c>
      <c r="C113" s="1333" t="str">
        <f>IF(C76&lt;&gt;0,IF(C112=1,"seratus ",IF(C112=0,"",TRIM(MID(C80,(C112-1)*8+1,8))&amp;" ratus")),"")</f>
        <v/>
      </c>
      <c r="D113" s="1334" t="str">
        <f>IF(C76&lt;&gt;0,IF(C115=0,"sepuluh ",IF(C115=1,"sebelas ",TRIM(MID(C80,(C115-1)*8+1,8))&amp;" belas ")),"")</f>
        <v xml:space="preserve">sebelas </v>
      </c>
      <c r="E113" s="1316"/>
      <c r="F113" s="1316"/>
      <c r="G113" s="1355"/>
      <c r="H113" s="1328" t="s">
        <v>299</v>
      </c>
      <c r="I113" s="1316"/>
      <c r="J113" s="1316"/>
      <c r="K113" s="1318"/>
    </row>
    <row r="114" spans="2:11" s="1314" customFormat="1" x14ac:dyDescent="0.3">
      <c r="B114" s="1329" t="s">
        <v>301</v>
      </c>
      <c r="C114" s="1333">
        <f>IF(C76&lt;&gt;0,VALUE(MID(C111,2,1)),0)</f>
        <v>0</v>
      </c>
      <c r="D114" s="1334" t="str">
        <f>IF(C76&lt;&gt;0,IF(C115&lt;&gt;0,TRIM(MID(C80,(C115-1)*8+1,8))&amp;" ",""),"")</f>
        <v xml:space="preserve">satu </v>
      </c>
      <c r="E114" s="1316"/>
      <c r="F114" s="1316"/>
      <c r="G114" s="1355"/>
      <c r="H114" s="1328" t="s">
        <v>299</v>
      </c>
      <c r="I114" s="1316"/>
      <c r="J114" s="1316"/>
      <c r="K114" s="1318"/>
    </row>
    <row r="115" spans="2:11" s="1314" customFormat="1" x14ac:dyDescent="0.3">
      <c r="B115" s="1329" t="s">
        <v>301</v>
      </c>
      <c r="C115" s="1333">
        <f>IF(C76&lt;&gt;0,VALUE(MID(C111,3,1)),0)</f>
        <v>1</v>
      </c>
      <c r="D115" s="1334" t="str">
        <f>IF(AND(C76&lt;&gt;0,C115&gt;0),D112&amp;TRIM(MID(C80,(C115-1)*8+1,8))&amp;" ",+D112)</f>
        <v xml:space="preserve"> satu </v>
      </c>
      <c r="E115" s="1316"/>
      <c r="F115" s="1316"/>
      <c r="G115" s="1355"/>
      <c r="H115" s="1328" t="s">
        <v>299</v>
      </c>
      <c r="I115" s="1316"/>
      <c r="J115" s="1316"/>
      <c r="K115" s="1318"/>
    </row>
    <row r="116" spans="2:11" s="1314" customFormat="1" x14ac:dyDescent="0.3">
      <c r="B116" s="1329" t="s">
        <v>301</v>
      </c>
      <c r="C116" s="1333" t="str">
        <f>IF(C114=1,+D113,IF(C114=0,D114,D115))</f>
        <v xml:space="preserve">satu </v>
      </c>
      <c r="D116" s="1334" t="str">
        <f>IF(VALUE(TRIM(C111))&lt;&gt;0,IF(AND(VALUE(TRIM(C111))=1,D111=2),"se",C116),"")</f>
        <v xml:space="preserve">satu </v>
      </c>
      <c r="E116" s="1316"/>
      <c r="F116" s="1316"/>
      <c r="G116" s="1355"/>
      <c r="H116" s="1328" t="s">
        <v>299</v>
      </c>
      <c r="I116" s="1316"/>
      <c r="J116" s="1316"/>
      <c r="K116" s="1318"/>
    </row>
    <row r="117" spans="2:11" s="1314" customFormat="1" x14ac:dyDescent="0.3">
      <c r="B117" s="1329" t="s">
        <v>301</v>
      </c>
      <c r="C117" s="1335" t="str">
        <f>IF(VALUE(TRIM(C111))&lt;&gt;0,C113&amp;" "&amp;D116&amp;TRIM(MID(C81,(D111-1)*7+1,7))&amp;" ","")</f>
        <v xml:space="preserve"> satu milyar </v>
      </c>
      <c r="D117" s="1336"/>
      <c r="E117" s="1316"/>
      <c r="F117" s="1316"/>
      <c r="G117" s="1355"/>
      <c r="H117" s="1328" t="s">
        <v>299</v>
      </c>
      <c r="I117" s="1316"/>
      <c r="J117" s="1316"/>
      <c r="K117" s="1318"/>
    </row>
    <row r="118" spans="2:11" s="1314" customFormat="1" x14ac:dyDescent="0.3">
      <c r="B118" s="1329" t="s">
        <v>301</v>
      </c>
      <c r="C118" s="1316"/>
      <c r="D118" s="1316"/>
      <c r="E118" s="1316"/>
      <c r="F118" s="1316"/>
      <c r="G118" s="1355"/>
      <c r="H118" s="1328" t="s">
        <v>299</v>
      </c>
      <c r="I118" s="1316"/>
      <c r="J118" s="1316"/>
      <c r="K118" s="1318"/>
    </row>
    <row r="119" spans="2:11" s="1314" customFormat="1" x14ac:dyDescent="0.3">
      <c r="B119" s="1329" t="s">
        <v>301</v>
      </c>
      <c r="C119" s="1331" t="str">
        <f>IF(E130&lt;&gt;"","0"&amp;E130,"")</f>
        <v>000</v>
      </c>
      <c r="D119" s="1332">
        <v>1</v>
      </c>
      <c r="E119" s="1316"/>
      <c r="F119" s="1316"/>
      <c r="G119" s="1355"/>
      <c r="H119" s="1328" t="s">
        <v>299</v>
      </c>
      <c r="I119" s="1316"/>
      <c r="J119" s="1316"/>
      <c r="K119" s="1318"/>
    </row>
    <row r="120" spans="2:11" s="1314" customFormat="1" x14ac:dyDescent="0.3">
      <c r="B120" s="1329" t="s">
        <v>301</v>
      </c>
      <c r="C120" s="1333">
        <f>IF(TRIM(C119)&lt;&gt;"",VALUE(MID(C119,1,1)),0)</f>
        <v>0</v>
      </c>
      <c r="D120" s="1334" t="str">
        <f>IF(AND(C76&lt;&gt;0,C122&gt;1),TRIM(MID(C80,(C122-1)*8+1,8))&amp;" puluh "," ")</f>
        <v xml:space="preserve"> </v>
      </c>
      <c r="E120" s="1316"/>
      <c r="F120" s="1316"/>
      <c r="G120" s="1355"/>
      <c r="H120" s="1328" t="s">
        <v>299</v>
      </c>
      <c r="I120" s="1316"/>
      <c r="J120" s="1316"/>
      <c r="K120" s="1318"/>
    </row>
    <row r="121" spans="2:11" s="1314" customFormat="1" x14ac:dyDescent="0.3">
      <c r="B121" s="1329" t="s">
        <v>301</v>
      </c>
      <c r="C121" s="1333" t="str">
        <f>IF(C76&lt;&gt;0,IF(C120=1,"seratus ",IF(C120=0,"",TRIM(MID(C80,(C120-1)*8+1,8))&amp;" ratus")),"")</f>
        <v/>
      </c>
      <c r="D121" s="1334" t="str">
        <f>IF(C76&lt;&gt;0,IF(C125=0,"sepuluh ",IF(C125=1,"sebelas ",TRIM(MID(C80,(C125-1)*8+1,8))&amp;" belas ")),"")</f>
        <v xml:space="preserve">sepuluh </v>
      </c>
      <c r="E121" s="1316"/>
      <c r="F121" s="1316"/>
      <c r="G121" s="1355"/>
      <c r="H121" s="1328" t="s">
        <v>299</v>
      </c>
      <c r="I121" s="1316"/>
      <c r="J121" s="1316"/>
      <c r="K121" s="1318"/>
    </row>
    <row r="122" spans="2:11" s="1314" customFormat="1" x14ac:dyDescent="0.3">
      <c r="B122" s="1329" t="s">
        <v>301</v>
      </c>
      <c r="C122" s="1333">
        <f>IF(C76&lt;&gt;0,VALUE(MID(C119,2,1)),0)</f>
        <v>0</v>
      </c>
      <c r="D122" s="1334" t="str">
        <f>IF(C76&lt;&gt;0,IF(C125&lt;&gt;0,TRIM(MID(C80,(C125-1)*8+1,8))&amp;" ",""),"")</f>
        <v/>
      </c>
      <c r="E122" s="1316"/>
      <c r="F122" s="1316"/>
      <c r="G122" s="1355"/>
      <c r="H122" s="1328" t="s">
        <v>299</v>
      </c>
      <c r="I122" s="1316"/>
      <c r="J122" s="1316"/>
      <c r="K122" s="1318"/>
    </row>
    <row r="123" spans="2:11" s="1314" customFormat="1" x14ac:dyDescent="0.3">
      <c r="B123" s="1329"/>
      <c r="C123" s="1333"/>
      <c r="D123" s="1334"/>
      <c r="E123" s="1316"/>
      <c r="F123" s="1316"/>
      <c r="G123" s="1355"/>
      <c r="H123" s="1328"/>
      <c r="I123" s="1316"/>
      <c r="J123" s="1316"/>
      <c r="K123" s="1318"/>
    </row>
    <row r="124" spans="2:11" s="1314" customFormat="1" x14ac:dyDescent="0.3">
      <c r="B124" s="1329"/>
      <c r="C124" s="1333"/>
      <c r="D124" s="1334"/>
      <c r="E124" s="1316"/>
      <c r="F124" s="1316"/>
      <c r="G124" s="1355"/>
      <c r="H124" s="1328"/>
      <c r="I124" s="1316"/>
      <c r="J124" s="1316"/>
      <c r="K124" s="1318"/>
    </row>
    <row r="125" spans="2:11" s="1314" customFormat="1" x14ac:dyDescent="0.3">
      <c r="B125" s="1329" t="s">
        <v>301</v>
      </c>
      <c r="C125" s="1333">
        <f>IF(C76&lt;&gt;0,VALUE(MID(C119,3,1)),0)</f>
        <v>0</v>
      </c>
      <c r="D125" s="1334" t="str">
        <f>IF(AND(C76&lt;&gt;0,C125&gt;0),D120&amp;TRIM(MID(C80,(C125-1)*8+1,8))&amp;" ",+D120)</f>
        <v xml:space="preserve"> </v>
      </c>
      <c r="E125" s="1316"/>
      <c r="F125" s="1316"/>
      <c r="G125" s="1355"/>
      <c r="H125" s="1328" t="s">
        <v>299</v>
      </c>
      <c r="I125" s="1316"/>
      <c r="J125" s="1316"/>
      <c r="K125" s="1318"/>
    </row>
    <row r="126" spans="2:11" s="1314" customFormat="1" x14ac:dyDescent="0.3">
      <c r="B126" s="1329" t="s">
        <v>301</v>
      </c>
      <c r="C126" s="1333" t="str">
        <f>IF(C122=1,+D121,IF(C122=0,D122,D125))</f>
        <v/>
      </c>
      <c r="D126" s="1334" t="str">
        <f>IF(VALUE(TRIM(C119))&lt;&gt;0,IF(AND(VALUE(TRIM(C119))=1,D119=2),"se",C126),"")</f>
        <v/>
      </c>
      <c r="E126" s="1316"/>
      <c r="F126" s="1316"/>
      <c r="G126" s="1355"/>
      <c r="H126" s="1328" t="s">
        <v>299</v>
      </c>
      <c r="I126" s="1316"/>
      <c r="J126" s="1316"/>
      <c r="K126" s="1318"/>
    </row>
    <row r="127" spans="2:11" s="1314" customFormat="1" x14ac:dyDescent="0.3">
      <c r="B127" s="1329" t="s">
        <v>301</v>
      </c>
      <c r="C127" s="1333" t="str">
        <f>IF(VALUE(TRIM(C119))&lt;&gt;0,C121&amp;" "&amp;D126&amp;TRIM(MID(C81,(D119-1)*7+1,7)),"")</f>
        <v/>
      </c>
      <c r="D127" s="1334"/>
      <c r="E127" s="1316"/>
      <c r="F127" s="1316"/>
      <c r="G127" s="1355"/>
      <c r="H127" s="1328" t="s">
        <v>299</v>
      </c>
      <c r="I127" s="1316"/>
      <c r="J127" s="1316"/>
      <c r="K127" s="1318"/>
    </row>
    <row r="128" spans="2:11" s="1314" customFormat="1" x14ac:dyDescent="0.3">
      <c r="B128" s="1329" t="s">
        <v>301</v>
      </c>
      <c r="C128" s="1335"/>
      <c r="D128" s="1336"/>
      <c r="E128" s="1316"/>
      <c r="F128" s="1316"/>
      <c r="G128" s="1355"/>
      <c r="H128" s="1337" t="s">
        <v>305</v>
      </c>
      <c r="I128" s="1316"/>
      <c r="J128" s="1316"/>
      <c r="K128" s="1318"/>
    </row>
    <row r="129" spans="2:11" s="1314" customFormat="1" x14ac:dyDescent="0.3">
      <c r="B129" s="1329" t="s">
        <v>301</v>
      </c>
      <c r="C129" s="1316"/>
      <c r="D129" s="1316"/>
      <c r="E129" s="1316"/>
      <c r="F129" s="1316"/>
      <c r="G129" s="1355"/>
      <c r="H129" s="1317"/>
      <c r="I129" s="1316"/>
      <c r="J129" s="1316"/>
      <c r="K129" s="1318"/>
    </row>
    <row r="130" spans="2:11" s="1314" customFormat="1" x14ac:dyDescent="0.3">
      <c r="B130" s="1329" t="s">
        <v>301</v>
      </c>
      <c r="C130" s="1331" t="str">
        <f>IF(VALUE(E130)=0,"",C127&amp;"sen")</f>
        <v/>
      </c>
      <c r="D130" s="1338">
        <f>LEN(C132)</f>
        <v>83</v>
      </c>
      <c r="E130" s="1338" t="str">
        <f>RIGHT(FIXED(C76,2,TRUE),2)</f>
        <v>00</v>
      </c>
      <c r="F130" s="1338"/>
      <c r="G130" s="1361"/>
      <c r="H130" s="1339"/>
      <c r="I130" s="1316"/>
      <c r="J130" s="1316"/>
      <c r="K130" s="1318"/>
    </row>
    <row r="131" spans="2:11" s="1314" customFormat="1" x14ac:dyDescent="0.3">
      <c r="B131" s="1329" t="s">
        <v>301</v>
      </c>
      <c r="C131" s="1333" t="str">
        <f>TRIM(C117&amp;C108&amp;C99&amp;C90)&amp;" rupiah"</f>
        <v>satu milyar empat ratus empat puluh dua juta sembilan ratus empat puluh ribu rupiah</v>
      </c>
      <c r="D131" s="1316" t="str">
        <f>IF(C131=" rupiah","",+C131)</f>
        <v>satu milyar empat ratus empat puluh dua juta sembilan ratus empat puluh ribu rupiah</v>
      </c>
      <c r="E131" s="1316"/>
      <c r="F131" s="1316"/>
      <c r="G131" s="1355"/>
      <c r="H131" s="1317"/>
      <c r="I131" s="1316"/>
      <c r="J131" s="1316"/>
      <c r="K131" s="1318"/>
    </row>
    <row r="132" spans="2:11" s="1314" customFormat="1" x14ac:dyDescent="0.3">
      <c r="B132" s="1329" t="s">
        <v>301</v>
      </c>
      <c r="C132" s="1333" t="str">
        <f>TRIM(D131&amp;C130)</f>
        <v>satu milyar empat ratus empat puluh dua juta sembilan ratus empat puluh ribu rupiah</v>
      </c>
      <c r="D132" s="1316"/>
      <c r="E132" s="1316"/>
      <c r="F132" s="1316"/>
      <c r="G132" s="1355"/>
      <c r="H132" s="1317"/>
      <c r="I132" s="1316"/>
      <c r="J132" s="1316"/>
      <c r="K132" s="1318"/>
    </row>
    <row r="133" spans="2:11" s="1314" customFormat="1" x14ac:dyDescent="0.3">
      <c r="B133" s="1329" t="s">
        <v>301</v>
      </c>
      <c r="C133" s="1335" t="str">
        <f>IF(D130&lt;&gt;0,UPPER(LEFT(C132,1))&amp;RIGHT(C132,D130-1),"")&amp;""</f>
        <v>Satu milyar empat ratus empat puluh dua juta sembilan ratus empat puluh ribu rupiah</v>
      </c>
      <c r="D133" s="1340"/>
      <c r="E133" s="1340"/>
      <c r="F133" s="1340"/>
      <c r="G133" s="1362"/>
      <c r="H133" s="1341"/>
      <c r="I133" s="1316"/>
      <c r="J133" s="1316"/>
      <c r="K133" s="1318"/>
    </row>
    <row r="134" spans="2:11" s="1314" customFormat="1" ht="17.25" thickBot="1" x14ac:dyDescent="0.35">
      <c r="B134" s="1342"/>
      <c r="C134" s="1343"/>
      <c r="D134" s="1343"/>
      <c r="E134" s="1343"/>
      <c r="F134" s="1343"/>
      <c r="G134" s="1363"/>
      <c r="H134" s="1344"/>
      <c r="I134" s="1343"/>
      <c r="J134" s="1343"/>
      <c r="K134" s="1345"/>
    </row>
    <row r="135" spans="2:11" s="1314" customFormat="1" x14ac:dyDescent="0.3">
      <c r="B135" s="1346"/>
      <c r="C135" s="1346"/>
      <c r="D135" s="1347"/>
      <c r="E135" s="1347"/>
      <c r="F135" s="1347"/>
      <c r="G135" s="1364"/>
      <c r="H135" s="1348"/>
      <c r="I135" s="1349"/>
      <c r="J135" s="1346"/>
      <c r="K135" s="1347"/>
    </row>
    <row r="136" spans="2:11" s="1352" customFormat="1" x14ac:dyDescent="0.2">
      <c r="B136" s="1350"/>
      <c r="C136" s="1350"/>
      <c r="D136" s="1351"/>
      <c r="E136" s="1351"/>
      <c r="F136" s="1350"/>
      <c r="G136" s="1202"/>
      <c r="H136" s="1351"/>
      <c r="I136" s="1350"/>
      <c r="J136" s="1350"/>
    </row>
  </sheetData>
  <mergeCells count="4">
    <mergeCell ref="B1:E1"/>
    <mergeCell ref="C7:D7"/>
    <mergeCell ref="C76:D76"/>
    <mergeCell ref="B17:E18"/>
  </mergeCells>
  <printOptions horizontalCentered="1"/>
  <pageMargins left="0.26" right="0.12" top="0.75" bottom="0.25" header="0" footer="0"/>
  <pageSetup paperSize="9" scale="95" orientation="portrait" r:id="rId1"/>
  <colBreaks count="1" manualBreakCount="1">
    <brk id="5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J579"/>
  <sheetViews>
    <sheetView showGridLines="0" view="pageBreakPreview" topLeftCell="A555" zoomScale="90" zoomScaleNormal="85" zoomScaleSheetLayoutView="90" workbookViewId="0">
      <selection activeCell="J570" sqref="J570"/>
    </sheetView>
  </sheetViews>
  <sheetFormatPr defaultColWidth="9.28515625" defaultRowHeight="13.5" x14ac:dyDescent="0.25"/>
  <cols>
    <col min="1" max="1" width="9.28515625" style="1489"/>
    <col min="2" max="2" width="12.85546875" style="1532" customWidth="1"/>
    <col min="3" max="3" width="35.7109375" style="1489" customWidth="1"/>
    <col min="4" max="4" width="9.28515625" style="1489"/>
    <col min="5" max="5" width="9.5703125" style="1489" customWidth="1"/>
    <col min="6" max="6" width="13.42578125" style="1548" bestFit="1" customWidth="1"/>
    <col min="7" max="7" width="17.28515625" style="1549" customWidth="1"/>
    <col min="8" max="8" width="18" style="1535" customWidth="1"/>
    <col min="9" max="9" width="17.5703125" style="1489" customWidth="1"/>
    <col min="10" max="10" width="17.42578125" style="1489" bestFit="1" customWidth="1"/>
    <col min="11" max="11" width="29.28515625" style="1489" customWidth="1"/>
    <col min="12" max="12" width="9.28515625" style="1489"/>
    <col min="13" max="13" width="13" style="1489" customWidth="1"/>
    <col min="14" max="14" width="9.28515625" style="1489"/>
    <col min="15" max="15" width="16.42578125" style="1489" bestFit="1" customWidth="1"/>
    <col min="16" max="16384" width="9.28515625" style="1489"/>
  </cols>
  <sheetData>
    <row r="1" spans="1:10" ht="15.75" customHeight="1" x14ac:dyDescent="0.25">
      <c r="B1" s="3151" t="s">
        <v>101</v>
      </c>
      <c r="C1" s="3151"/>
      <c r="D1" s="3151"/>
      <c r="E1" s="3151"/>
      <c r="F1" s="3151"/>
      <c r="G1" s="3151"/>
      <c r="H1" s="3151"/>
      <c r="I1" s="1490"/>
    </row>
    <row r="2" spans="1:10" ht="15.75" customHeight="1" x14ac:dyDescent="0.25">
      <c r="B2" s="3151"/>
      <c r="C2" s="3151"/>
      <c r="D2" s="3151"/>
      <c r="E2" s="3151"/>
      <c r="F2" s="3151"/>
      <c r="G2" s="3151"/>
      <c r="H2" s="3151"/>
      <c r="I2" s="1490"/>
      <c r="J2" s="1491">
        <v>0.15</v>
      </c>
    </row>
    <row r="3" spans="1:10" ht="15.75" customHeight="1" x14ac:dyDescent="0.25">
      <c r="B3" s="3152" t="s">
        <v>134</v>
      </c>
      <c r="C3" s="3152"/>
      <c r="D3" s="3152"/>
      <c r="E3" s="3152"/>
      <c r="F3" s="3152"/>
      <c r="G3" s="3152"/>
      <c r="H3" s="3152"/>
      <c r="I3" s="1490"/>
    </row>
    <row r="4" spans="1:10" ht="7.5" customHeight="1" x14ac:dyDescent="0.25">
      <c r="B4" s="1492"/>
      <c r="C4" s="1493"/>
      <c r="D4" s="1493"/>
      <c r="E4" s="1493"/>
      <c r="F4" s="1494"/>
      <c r="G4" s="1493"/>
      <c r="H4" s="1493"/>
      <c r="I4" s="1490"/>
    </row>
    <row r="5" spans="1:10" ht="15.75" customHeight="1" x14ac:dyDescent="0.25">
      <c r="A5" s="1495"/>
      <c r="B5" s="1496" t="s">
        <v>198</v>
      </c>
      <c r="C5" s="1496" t="str">
        <f>'RAB (2)'!E3</f>
        <v>: Renovasi Atap Gedung Paripurna DPRD Provsu</v>
      </c>
      <c r="D5" s="1493"/>
      <c r="E5" s="1493"/>
      <c r="F5" s="1494"/>
      <c r="G5" s="1493"/>
      <c r="H5" s="1493"/>
      <c r="I5" s="1490"/>
    </row>
    <row r="6" spans="1:10" ht="15.75" customHeight="1" x14ac:dyDescent="0.25">
      <c r="A6" s="1495"/>
      <c r="B6" s="1496" t="s">
        <v>199</v>
      </c>
      <c r="C6" s="1496" t="str">
        <f>'RAB (2)'!E4</f>
        <v>: Jalan Imam Bonjol No. 5 Medan</v>
      </c>
      <c r="D6" s="1493"/>
      <c r="E6" s="1493"/>
      <c r="F6" s="1494"/>
      <c r="G6" s="1493"/>
      <c r="H6" s="1493"/>
      <c r="I6" s="1490"/>
    </row>
    <row r="7" spans="1:10" ht="15.75" customHeight="1" thickBot="1" x14ac:dyDescent="0.3">
      <c r="A7" s="1495"/>
      <c r="B7" s="1497" t="s">
        <v>230</v>
      </c>
      <c r="C7" s="1498" t="str">
        <f>'R.Anl'!C5</f>
        <v>: 2022</v>
      </c>
      <c r="D7" s="1499"/>
      <c r="E7" s="1499"/>
      <c r="F7" s="1500"/>
      <c r="G7" s="1499"/>
      <c r="H7" s="1499"/>
      <c r="I7" s="1490"/>
    </row>
    <row r="8" spans="1:10" ht="15.75" customHeight="1" thickTop="1" x14ac:dyDescent="0.25">
      <c r="B8" s="1501"/>
      <c r="C8" s="1502"/>
      <c r="D8" s="1502"/>
      <c r="E8" s="1502"/>
      <c r="F8" s="1503"/>
      <c r="G8" s="1502"/>
      <c r="H8" s="1502"/>
    </row>
    <row r="9" spans="1:10" s="1504" customFormat="1" hidden="1" x14ac:dyDescent="0.25">
      <c r="B9" s="1505" t="s">
        <v>34</v>
      </c>
      <c r="C9" s="1505" t="s">
        <v>35</v>
      </c>
      <c r="F9" s="1506"/>
      <c r="G9" s="1507"/>
      <c r="H9" s="1508"/>
    </row>
    <row r="10" spans="1:10" hidden="1" x14ac:dyDescent="0.25">
      <c r="B10" s="1505" t="s">
        <v>65</v>
      </c>
      <c r="C10" s="1509" t="s">
        <v>66</v>
      </c>
      <c r="D10" s="1510"/>
      <c r="E10" s="1510"/>
      <c r="F10" s="1511"/>
      <c r="G10" s="1512"/>
      <c r="H10" s="1513"/>
    </row>
    <row r="11" spans="1:10" s="1514" customFormat="1" ht="27" hidden="1" customHeight="1" x14ac:dyDescent="0.25">
      <c r="B11" s="1515" t="s">
        <v>12</v>
      </c>
      <c r="C11" s="1516" t="s">
        <v>36</v>
      </c>
      <c r="D11" s="1516" t="s">
        <v>37</v>
      </c>
      <c r="E11" s="1516" t="s">
        <v>14</v>
      </c>
      <c r="F11" s="1517" t="s">
        <v>38</v>
      </c>
      <c r="G11" s="1518" t="s">
        <v>39</v>
      </c>
      <c r="H11" s="1519" t="s">
        <v>40</v>
      </c>
      <c r="I11" s="1514" t="s">
        <v>109</v>
      </c>
    </row>
    <row r="12" spans="1:10" hidden="1" x14ac:dyDescent="0.25">
      <c r="B12" s="1504" t="s">
        <v>41</v>
      </c>
      <c r="C12" s="1510" t="s">
        <v>42</v>
      </c>
      <c r="D12" s="1510"/>
      <c r="E12" s="1510"/>
      <c r="F12" s="1511"/>
      <c r="G12" s="1512"/>
      <c r="H12" s="1513"/>
    </row>
    <row r="13" spans="1:10" hidden="1" x14ac:dyDescent="0.25">
      <c r="B13" s="1504"/>
      <c r="C13" s="1510" t="s">
        <v>43</v>
      </c>
      <c r="D13" s="1520" t="s">
        <v>44</v>
      </c>
      <c r="E13" s="1520" t="s">
        <v>45</v>
      </c>
      <c r="F13" s="1511">
        <v>0.1</v>
      </c>
      <c r="G13" s="1512">
        <f>UPAH!$F$13</f>
        <v>115000</v>
      </c>
      <c r="H13" s="1513">
        <f>F13*G13</f>
        <v>11500</v>
      </c>
    </row>
    <row r="14" spans="1:10" hidden="1" x14ac:dyDescent="0.25">
      <c r="B14" s="1504"/>
      <c r="C14" s="1510" t="s">
        <v>46</v>
      </c>
      <c r="D14" s="1520" t="s">
        <v>47</v>
      </c>
      <c r="E14" s="1520" t="s">
        <v>45</v>
      </c>
      <c r="F14" s="1511">
        <v>0.1</v>
      </c>
      <c r="G14" s="1512">
        <f>UPAH!$F$12</f>
        <v>170000</v>
      </c>
      <c r="H14" s="1513">
        <f>F14*G14</f>
        <v>17000</v>
      </c>
    </row>
    <row r="15" spans="1:10" hidden="1" x14ac:dyDescent="0.25">
      <c r="B15" s="1504"/>
      <c r="C15" s="1510" t="s">
        <v>48</v>
      </c>
      <c r="D15" s="1520" t="s">
        <v>49</v>
      </c>
      <c r="E15" s="1520" t="s">
        <v>45</v>
      </c>
      <c r="F15" s="1511">
        <v>0.01</v>
      </c>
      <c r="G15" s="1512">
        <f>UPAH!$F$11</f>
        <v>185000</v>
      </c>
      <c r="H15" s="1513">
        <f>F15*G15</f>
        <v>1850</v>
      </c>
    </row>
    <row r="16" spans="1:10" hidden="1" x14ac:dyDescent="0.25">
      <c r="B16" s="1504"/>
      <c r="C16" s="1510" t="s">
        <v>50</v>
      </c>
      <c r="D16" s="1520" t="s">
        <v>51</v>
      </c>
      <c r="E16" s="1520" t="s">
        <v>45</v>
      </c>
      <c r="F16" s="1511">
        <v>5.0000000000000001E-3</v>
      </c>
      <c r="G16" s="1512">
        <f>UPAH!$F$10</f>
        <v>200000</v>
      </c>
      <c r="H16" s="1513">
        <f>F16*G16</f>
        <v>1000</v>
      </c>
    </row>
    <row r="17" spans="2:9" hidden="1" x14ac:dyDescent="0.25">
      <c r="B17" s="1504"/>
      <c r="C17" s="1510"/>
      <c r="D17" s="1510"/>
      <c r="E17" s="1510"/>
      <c r="F17" s="3146" t="s">
        <v>52</v>
      </c>
      <c r="G17" s="3146"/>
      <c r="H17" s="1513">
        <f>SUM(H13:H16)</f>
        <v>31350</v>
      </c>
    </row>
    <row r="18" spans="2:9" hidden="1" x14ac:dyDescent="0.25">
      <c r="B18" s="1504" t="s">
        <v>53</v>
      </c>
      <c r="C18" s="1510" t="s">
        <v>54</v>
      </c>
      <c r="D18" s="1510"/>
      <c r="E18" s="1510"/>
      <c r="F18" s="1511"/>
      <c r="G18" s="1512"/>
      <c r="H18" s="1513"/>
    </row>
    <row r="19" spans="2:9" hidden="1" x14ac:dyDescent="0.25">
      <c r="B19" s="1504"/>
      <c r="C19" s="1510" t="s">
        <v>845</v>
      </c>
      <c r="D19" s="1510"/>
      <c r="E19" s="1520" t="s">
        <v>57</v>
      </c>
      <c r="F19" s="1511">
        <v>8.5000000000000006E-3</v>
      </c>
      <c r="G19" s="1512">
        <f>BAHAN!G50</f>
        <v>4351000</v>
      </c>
      <c r="H19" s="1513">
        <f>F19*G19</f>
        <v>36983.5</v>
      </c>
    </row>
    <row r="20" spans="2:9" hidden="1" x14ac:dyDescent="0.25">
      <c r="B20" s="1504"/>
      <c r="C20" s="1510" t="s">
        <v>67</v>
      </c>
      <c r="D20" s="1510"/>
      <c r="E20" s="1520" t="s">
        <v>0</v>
      </c>
      <c r="F20" s="1511">
        <v>0.02</v>
      </c>
      <c r="G20" s="1512">
        <f>BAHAN!G39</f>
        <v>24150</v>
      </c>
      <c r="H20" s="1513">
        <f>F20*G20</f>
        <v>483</v>
      </c>
    </row>
    <row r="21" spans="2:9" hidden="1" x14ac:dyDescent="0.25">
      <c r="B21" s="1504"/>
      <c r="C21" s="1510" t="s">
        <v>846</v>
      </c>
      <c r="D21" s="1510"/>
      <c r="E21" s="1520" t="s">
        <v>57</v>
      </c>
      <c r="F21" s="1511">
        <v>7.0000000000000001E-3</v>
      </c>
      <c r="G21" s="1512">
        <f>BAHAN!$G$50</f>
        <v>4351000</v>
      </c>
      <c r="H21" s="1513">
        <f>F21*G21</f>
        <v>30457</v>
      </c>
    </row>
    <row r="22" spans="2:9" hidden="1" x14ac:dyDescent="0.25">
      <c r="B22" s="1504"/>
      <c r="C22" s="1510"/>
      <c r="D22" s="1510"/>
      <c r="E22" s="1510"/>
      <c r="F22" s="3146" t="s">
        <v>59</v>
      </c>
      <c r="G22" s="3146"/>
      <c r="H22" s="1513">
        <f>SUM(H19:H21)</f>
        <v>67923.5</v>
      </c>
    </row>
    <row r="23" spans="2:9" hidden="1" x14ac:dyDescent="0.25">
      <c r="B23" s="1504" t="s">
        <v>5</v>
      </c>
      <c r="C23" s="1510" t="s">
        <v>60</v>
      </c>
      <c r="D23" s="1510"/>
      <c r="E23" s="1510"/>
      <c r="F23" s="1511"/>
      <c r="G23" s="1512"/>
      <c r="H23" s="1513"/>
    </row>
    <row r="24" spans="2:9" hidden="1" x14ac:dyDescent="0.25">
      <c r="B24" s="1504"/>
      <c r="C24" s="1510"/>
      <c r="D24" s="1510"/>
      <c r="E24" s="1510"/>
      <c r="F24" s="1511" t="s">
        <v>61</v>
      </c>
      <c r="G24" s="1512"/>
      <c r="H24" s="1513">
        <v>0</v>
      </c>
    </row>
    <row r="25" spans="2:9" hidden="1" x14ac:dyDescent="0.25">
      <c r="B25" s="1504"/>
      <c r="C25" s="1510"/>
      <c r="D25" s="1510"/>
      <c r="E25" s="1510"/>
      <c r="F25" s="1511"/>
      <c r="G25" s="1512"/>
      <c r="H25" s="1513"/>
    </row>
    <row r="26" spans="2:9" hidden="1" x14ac:dyDescent="0.25">
      <c r="B26" s="1504" t="s">
        <v>6</v>
      </c>
      <c r="C26" s="3144" t="s">
        <v>62</v>
      </c>
      <c r="D26" s="3144"/>
      <c r="E26" s="3144"/>
      <c r="F26" s="3144"/>
      <c r="G26" s="3144"/>
      <c r="H26" s="1513">
        <f>H17+H22+H24</f>
        <v>99273.5</v>
      </c>
    </row>
    <row r="27" spans="2:9" hidden="1" x14ac:dyDescent="0.25">
      <c r="B27" s="1504" t="s">
        <v>7</v>
      </c>
      <c r="C27" s="3144" t="s">
        <v>100</v>
      </c>
      <c r="D27" s="3144"/>
      <c r="E27" s="3144"/>
      <c r="F27" s="3148">
        <f>$J$2</f>
        <v>0.15</v>
      </c>
      <c r="G27" s="3144"/>
      <c r="H27" s="1513">
        <f>F27*H26</f>
        <v>14891.025</v>
      </c>
    </row>
    <row r="28" spans="2:9" hidden="1" x14ac:dyDescent="0.25">
      <c r="B28" s="1504" t="s">
        <v>63</v>
      </c>
      <c r="C28" s="3144" t="s">
        <v>64</v>
      </c>
      <c r="D28" s="3144"/>
      <c r="E28" s="3144"/>
      <c r="F28" s="3144"/>
      <c r="G28" s="3144"/>
      <c r="H28" s="1513">
        <f>H26+H27</f>
        <v>114164.52499999999</v>
      </c>
    </row>
    <row r="29" spans="2:9" hidden="1" x14ac:dyDescent="0.25">
      <c r="B29" s="1521"/>
      <c r="C29" s="1522" t="s">
        <v>878</v>
      </c>
      <c r="D29" s="1523"/>
      <c r="E29" s="1523"/>
      <c r="F29" s="1523"/>
      <c r="G29" s="1523"/>
      <c r="H29" s="1524">
        <f>ROUNDDOWN(H28,2)</f>
        <v>114164.52</v>
      </c>
    </row>
    <row r="30" spans="2:9" hidden="1" x14ac:dyDescent="0.25">
      <c r="B30" s="1504"/>
      <c r="C30" s="1525"/>
      <c r="D30" s="1525"/>
      <c r="E30" s="1525"/>
      <c r="F30" s="1526"/>
      <c r="G30" s="1525"/>
      <c r="H30" s="1513"/>
    </row>
    <row r="31" spans="2:9" hidden="1" x14ac:dyDescent="0.25">
      <c r="B31" s="1505" t="s">
        <v>630</v>
      </c>
      <c r="C31" s="1509" t="s">
        <v>1402</v>
      </c>
      <c r="D31" s="1510"/>
      <c r="E31" s="1510"/>
      <c r="F31" s="1511"/>
      <c r="G31" s="1512"/>
      <c r="H31" s="1513"/>
    </row>
    <row r="32" spans="2:9" s="1514" customFormat="1" ht="27" hidden="1" customHeight="1" x14ac:dyDescent="0.25">
      <c r="B32" s="1515" t="s">
        <v>12</v>
      </c>
      <c r="C32" s="1516" t="s">
        <v>36</v>
      </c>
      <c r="D32" s="1516" t="s">
        <v>37</v>
      </c>
      <c r="E32" s="1516" t="s">
        <v>14</v>
      </c>
      <c r="F32" s="1517" t="s">
        <v>38</v>
      </c>
      <c r="G32" s="1518" t="s">
        <v>39</v>
      </c>
      <c r="H32" s="1519" t="s">
        <v>40</v>
      </c>
      <c r="I32" s="1514" t="s">
        <v>109</v>
      </c>
    </row>
    <row r="33" spans="2:8" hidden="1" x14ac:dyDescent="0.25">
      <c r="B33" s="1504" t="s">
        <v>41</v>
      </c>
      <c r="C33" s="1510" t="s">
        <v>42</v>
      </c>
      <c r="D33" s="1510"/>
      <c r="E33" s="1510"/>
      <c r="F33" s="1511"/>
      <c r="G33" s="1512"/>
      <c r="H33" s="1513"/>
    </row>
    <row r="34" spans="2:8" hidden="1" x14ac:dyDescent="0.25">
      <c r="B34" s="1504"/>
      <c r="C34" s="1510" t="s">
        <v>43</v>
      </c>
      <c r="D34" s="1520" t="s">
        <v>44</v>
      </c>
      <c r="E34" s="1520" t="s">
        <v>45</v>
      </c>
      <c r="F34" s="1511">
        <v>2</v>
      </c>
      <c r="G34" s="1512">
        <f>UPAH!$F$13</f>
        <v>115000</v>
      </c>
      <c r="H34" s="1513">
        <f>F34*G34</f>
        <v>230000</v>
      </c>
    </row>
    <row r="35" spans="2:8" hidden="1" x14ac:dyDescent="0.25">
      <c r="B35" s="1504"/>
      <c r="C35" s="1510" t="s">
        <v>46</v>
      </c>
      <c r="D35" s="1520" t="s">
        <v>47</v>
      </c>
      <c r="E35" s="1520" t="s">
        <v>45</v>
      </c>
      <c r="F35" s="1511">
        <v>2</v>
      </c>
      <c r="G35" s="1512">
        <f>UPAH!$F$12</f>
        <v>170000</v>
      </c>
      <c r="H35" s="1513">
        <f>F35*G35</f>
        <v>340000</v>
      </c>
    </row>
    <row r="36" spans="2:8" hidden="1" x14ac:dyDescent="0.25">
      <c r="B36" s="1504"/>
      <c r="C36" s="1510" t="s">
        <v>68</v>
      </c>
      <c r="D36" s="1520" t="s">
        <v>47</v>
      </c>
      <c r="E36" s="1520" t="s">
        <v>45</v>
      </c>
      <c r="F36" s="1511">
        <v>1</v>
      </c>
      <c r="G36" s="1512">
        <f>UPAH!$F$12</f>
        <v>170000</v>
      </c>
      <c r="H36" s="1513">
        <f>F36*G36</f>
        <v>170000</v>
      </c>
    </row>
    <row r="37" spans="2:8" hidden="1" x14ac:dyDescent="0.25">
      <c r="B37" s="1504"/>
      <c r="C37" s="1510" t="s">
        <v>48</v>
      </c>
      <c r="D37" s="1520" t="s">
        <v>49</v>
      </c>
      <c r="E37" s="1520" t="s">
        <v>45</v>
      </c>
      <c r="F37" s="1511">
        <v>0.3</v>
      </c>
      <c r="G37" s="1512">
        <f>UPAH!$F$11</f>
        <v>185000</v>
      </c>
      <c r="H37" s="1513">
        <f>F37*G37</f>
        <v>55500</v>
      </c>
    </row>
    <row r="38" spans="2:8" hidden="1" x14ac:dyDescent="0.25">
      <c r="B38" s="1504"/>
      <c r="C38" s="1510" t="s">
        <v>50</v>
      </c>
      <c r="D38" s="1520" t="s">
        <v>51</v>
      </c>
      <c r="E38" s="1520" t="s">
        <v>45</v>
      </c>
      <c r="F38" s="1511">
        <v>0.05</v>
      </c>
      <c r="G38" s="1512">
        <f>UPAH!$F$10</f>
        <v>200000</v>
      </c>
      <c r="H38" s="1513">
        <f>F38*G38</f>
        <v>10000</v>
      </c>
    </row>
    <row r="39" spans="2:8" hidden="1" x14ac:dyDescent="0.25">
      <c r="B39" s="1504"/>
      <c r="C39" s="1510"/>
      <c r="D39" s="1510"/>
      <c r="E39" s="1510"/>
      <c r="F39" s="3146" t="s">
        <v>52</v>
      </c>
      <c r="G39" s="3146"/>
      <c r="H39" s="1513">
        <f>SUM(H34:H38)</f>
        <v>805500</v>
      </c>
    </row>
    <row r="40" spans="2:8" hidden="1" x14ac:dyDescent="0.25">
      <c r="B40" s="1504" t="s">
        <v>53</v>
      </c>
      <c r="C40" s="1510" t="s">
        <v>54</v>
      </c>
      <c r="D40" s="1510"/>
      <c r="E40" s="1510"/>
      <c r="F40" s="1511"/>
      <c r="G40" s="1512"/>
      <c r="H40" s="1513"/>
    </row>
    <row r="41" spans="2:8" hidden="1" x14ac:dyDescent="0.25">
      <c r="B41" s="1504"/>
      <c r="C41" s="1510" t="s">
        <v>631</v>
      </c>
      <c r="D41" s="1510"/>
      <c r="E41" s="1520" t="s">
        <v>28</v>
      </c>
      <c r="F41" s="1511">
        <v>1.25</v>
      </c>
      <c r="G41" s="1512">
        <f>BAHAN!$G$57</f>
        <v>34500</v>
      </c>
      <c r="H41" s="1513">
        <f t="shared" ref="H41:H54" si="0">F41*G41</f>
        <v>43125</v>
      </c>
    </row>
    <row r="42" spans="2:8" hidden="1" x14ac:dyDescent="0.25">
      <c r="B42" s="1504"/>
      <c r="C42" s="1510" t="s">
        <v>632</v>
      </c>
      <c r="D42" s="1510"/>
      <c r="E42" s="1520" t="s">
        <v>57</v>
      </c>
      <c r="F42" s="1511">
        <v>0.18</v>
      </c>
      <c r="G42" s="1512">
        <f>BAHAN!$G$50</f>
        <v>4351000</v>
      </c>
      <c r="H42" s="1513">
        <f t="shared" si="0"/>
        <v>783180</v>
      </c>
    </row>
    <row r="43" spans="2:8" hidden="1" x14ac:dyDescent="0.25">
      <c r="B43" s="1504"/>
      <c r="C43" s="1510" t="s">
        <v>69</v>
      </c>
      <c r="D43" s="1510"/>
      <c r="E43" s="1520" t="s">
        <v>0</v>
      </c>
      <c r="F43" s="1511">
        <v>0.08</v>
      </c>
      <c r="G43" s="1512">
        <f>BAHAN!$G$39</f>
        <v>24150</v>
      </c>
      <c r="H43" s="1513">
        <f t="shared" si="0"/>
        <v>1932</v>
      </c>
    </row>
    <row r="44" spans="2:8" hidden="1" x14ac:dyDescent="0.25">
      <c r="B44" s="1504"/>
      <c r="C44" s="1510" t="s">
        <v>633</v>
      </c>
      <c r="D44" s="1510"/>
      <c r="E44" s="1520" t="s">
        <v>0</v>
      </c>
      <c r="F44" s="1511">
        <v>1.1000000000000001</v>
      </c>
      <c r="G44" s="1512">
        <f>BAHAN!$G$36</f>
        <v>23500</v>
      </c>
      <c r="H44" s="1513">
        <f t="shared" si="0"/>
        <v>25850.000000000004</v>
      </c>
    </row>
    <row r="45" spans="2:8" hidden="1" x14ac:dyDescent="0.25">
      <c r="B45" s="1504"/>
      <c r="C45" s="1510" t="s">
        <v>55</v>
      </c>
      <c r="D45" s="1510"/>
      <c r="E45" s="1520" t="s">
        <v>0</v>
      </c>
      <c r="F45" s="1511">
        <v>35</v>
      </c>
      <c r="G45" s="1512">
        <f>BAHAN!$G$45</f>
        <v>2000</v>
      </c>
      <c r="H45" s="1513">
        <f t="shared" si="0"/>
        <v>70000</v>
      </c>
    </row>
    <row r="46" spans="2:8" hidden="1" x14ac:dyDescent="0.25">
      <c r="B46" s="1504"/>
      <c r="C46" s="1510" t="s">
        <v>70</v>
      </c>
      <c r="D46" s="1510"/>
      <c r="E46" s="1520" t="s">
        <v>57</v>
      </c>
      <c r="F46" s="1511">
        <v>0.15</v>
      </c>
      <c r="G46" s="1512">
        <f>BAHAN!$G$24</f>
        <v>177200</v>
      </c>
      <c r="H46" s="1513">
        <f t="shared" si="0"/>
        <v>26580</v>
      </c>
    </row>
    <row r="47" spans="2:8" hidden="1" x14ac:dyDescent="0.25">
      <c r="B47" s="1504"/>
      <c r="C47" s="1510" t="s">
        <v>56</v>
      </c>
      <c r="D47" s="1510"/>
      <c r="E47" s="1520" t="s">
        <v>57</v>
      </c>
      <c r="F47" s="1511">
        <v>0.1</v>
      </c>
      <c r="G47" s="1512">
        <f>BAHAN!G22</f>
        <v>208000</v>
      </c>
      <c r="H47" s="1513">
        <f t="shared" si="0"/>
        <v>20800</v>
      </c>
    </row>
    <row r="48" spans="2:8" hidden="1" x14ac:dyDescent="0.25">
      <c r="B48" s="1504"/>
      <c r="C48" s="1510" t="s">
        <v>634</v>
      </c>
      <c r="D48" s="1510"/>
      <c r="E48" s="1520" t="s">
        <v>57</v>
      </c>
      <c r="F48" s="1511">
        <v>0.15</v>
      </c>
      <c r="G48" s="1512">
        <f>BAHAN!G21</f>
        <v>382500</v>
      </c>
      <c r="H48" s="1513">
        <f t="shared" si="0"/>
        <v>57375</v>
      </c>
    </row>
    <row r="49" spans="2:8" hidden="1" x14ac:dyDescent="0.25">
      <c r="B49" s="1504"/>
      <c r="C49" s="1510" t="s">
        <v>635</v>
      </c>
      <c r="D49" s="1510"/>
      <c r="E49" s="1520" t="s">
        <v>9</v>
      </c>
      <c r="F49" s="1511">
        <v>30</v>
      </c>
      <c r="G49" s="1512">
        <f>BAHAN!G16</f>
        <v>1000</v>
      </c>
      <c r="H49" s="1513">
        <f t="shared" si="0"/>
        <v>30000</v>
      </c>
    </row>
    <row r="50" spans="2:8" hidden="1" x14ac:dyDescent="0.25">
      <c r="B50" s="1504"/>
      <c r="C50" s="1510" t="s">
        <v>636</v>
      </c>
      <c r="D50" s="1510"/>
      <c r="E50" s="1520" t="s">
        <v>23</v>
      </c>
      <c r="F50" s="1511">
        <v>0.25</v>
      </c>
      <c r="G50" s="1512">
        <f>BAHAN!$G$61</f>
        <v>88000</v>
      </c>
      <c r="H50" s="1513">
        <f t="shared" si="0"/>
        <v>22000</v>
      </c>
    </row>
    <row r="51" spans="2:8" hidden="1" x14ac:dyDescent="0.25">
      <c r="B51" s="1504"/>
      <c r="C51" s="1510" t="s">
        <v>637</v>
      </c>
      <c r="D51" s="1510"/>
      <c r="E51" s="1520" t="s">
        <v>9</v>
      </c>
      <c r="F51" s="1511">
        <v>0.2</v>
      </c>
      <c r="G51" s="1512">
        <f>BAHAN!$G$72</f>
        <v>875000</v>
      </c>
      <c r="H51" s="1513">
        <f t="shared" si="0"/>
        <v>175000</v>
      </c>
    </row>
    <row r="52" spans="2:8" hidden="1" x14ac:dyDescent="0.25">
      <c r="B52" s="1504"/>
      <c r="C52" s="1510" t="s">
        <v>862</v>
      </c>
      <c r="D52" s="1510"/>
      <c r="E52" s="1520" t="s">
        <v>112</v>
      </c>
      <c r="F52" s="1511">
        <v>0.08</v>
      </c>
      <c r="G52" s="1512">
        <f>BAHAN!G70</f>
        <v>155000</v>
      </c>
      <c r="H52" s="1513">
        <f t="shared" si="0"/>
        <v>12400</v>
      </c>
    </row>
    <row r="53" spans="2:8" hidden="1" x14ac:dyDescent="0.25">
      <c r="B53" s="1504"/>
      <c r="C53" s="1510" t="s">
        <v>638</v>
      </c>
      <c r="D53" s="1510"/>
      <c r="E53" s="1520" t="s">
        <v>9</v>
      </c>
      <c r="F53" s="1511">
        <v>0.15</v>
      </c>
      <c r="G53" s="1512">
        <f>BAHAN!$G$71</f>
        <v>280000</v>
      </c>
      <c r="H53" s="1513">
        <f t="shared" si="0"/>
        <v>42000</v>
      </c>
    </row>
    <row r="54" spans="2:8" hidden="1" x14ac:dyDescent="0.25">
      <c r="B54" s="1504"/>
      <c r="C54" s="1510" t="s">
        <v>639</v>
      </c>
      <c r="D54" s="1510"/>
      <c r="E54" s="1520" t="s">
        <v>23</v>
      </c>
      <c r="F54" s="1511">
        <v>0.06</v>
      </c>
      <c r="G54" s="1512">
        <f>BAHAN!$G$55</f>
        <v>89700</v>
      </c>
      <c r="H54" s="1513">
        <f t="shared" si="0"/>
        <v>5382</v>
      </c>
    </row>
    <row r="55" spans="2:8" hidden="1" x14ac:dyDescent="0.25">
      <c r="B55" s="1504"/>
      <c r="C55" s="1510"/>
      <c r="D55" s="1510"/>
      <c r="E55" s="1510"/>
      <c r="F55" s="3146" t="s">
        <v>59</v>
      </c>
      <c r="G55" s="3146"/>
      <c r="H55" s="1513">
        <f>SUM(H41:H54)</f>
        <v>1315624</v>
      </c>
    </row>
    <row r="56" spans="2:8" hidden="1" x14ac:dyDescent="0.25">
      <c r="B56" s="1504" t="s">
        <v>5</v>
      </c>
      <c r="C56" s="1510" t="s">
        <v>60</v>
      </c>
      <c r="D56" s="1510"/>
      <c r="E56" s="1510"/>
      <c r="F56" s="1511"/>
      <c r="G56" s="1512"/>
      <c r="H56" s="1513"/>
    </row>
    <row r="57" spans="2:8" hidden="1" x14ac:dyDescent="0.25">
      <c r="B57" s="1504"/>
      <c r="C57" s="1510"/>
      <c r="D57" s="1510"/>
      <c r="E57" s="1510"/>
      <c r="F57" s="1511" t="s">
        <v>61</v>
      </c>
      <c r="G57" s="1512"/>
      <c r="H57" s="1513">
        <v>0</v>
      </c>
    </row>
    <row r="58" spans="2:8" hidden="1" x14ac:dyDescent="0.25">
      <c r="B58" s="1504"/>
      <c r="C58" s="1510"/>
      <c r="D58" s="1510"/>
      <c r="E58" s="1510"/>
      <c r="F58" s="1511"/>
      <c r="G58" s="1512"/>
      <c r="H58" s="1513"/>
    </row>
    <row r="59" spans="2:8" hidden="1" x14ac:dyDescent="0.25">
      <c r="B59" s="1504" t="s">
        <v>6</v>
      </c>
      <c r="C59" s="3144" t="s">
        <v>62</v>
      </c>
      <c r="D59" s="3144"/>
      <c r="E59" s="3144"/>
      <c r="F59" s="3144"/>
      <c r="G59" s="3144"/>
      <c r="H59" s="1513">
        <f>H39+H55+H57</f>
        <v>2121124</v>
      </c>
    </row>
    <row r="60" spans="2:8" hidden="1" x14ac:dyDescent="0.25">
      <c r="B60" s="1504" t="s">
        <v>7</v>
      </c>
      <c r="C60" s="3144" t="s">
        <v>100</v>
      </c>
      <c r="D60" s="3144"/>
      <c r="E60" s="3144"/>
      <c r="F60" s="3148">
        <f>$J$2</f>
        <v>0.15</v>
      </c>
      <c r="G60" s="3144"/>
      <c r="H60" s="1513">
        <f>F60*H59</f>
        <v>318168.59999999998</v>
      </c>
    </row>
    <row r="61" spans="2:8" hidden="1" x14ac:dyDescent="0.25">
      <c r="B61" s="1504" t="s">
        <v>63</v>
      </c>
      <c r="C61" s="3144" t="s">
        <v>64</v>
      </c>
      <c r="D61" s="3144"/>
      <c r="E61" s="3144"/>
      <c r="F61" s="3144"/>
      <c r="G61" s="3144"/>
      <c r="H61" s="1513">
        <f>H59+H60</f>
        <v>2439292.6</v>
      </c>
    </row>
    <row r="62" spans="2:8" hidden="1" x14ac:dyDescent="0.25">
      <c r="B62" s="1521"/>
      <c r="C62" s="1522" t="s">
        <v>878</v>
      </c>
      <c r="D62" s="1523"/>
      <c r="E62" s="1523"/>
      <c r="F62" s="1523"/>
      <c r="G62" s="1523"/>
      <c r="H62" s="1524">
        <f>ROUNDDOWN(H61,2)</f>
        <v>2439292.6</v>
      </c>
    </row>
    <row r="63" spans="2:8" hidden="1" x14ac:dyDescent="0.25">
      <c r="B63" s="1504"/>
      <c r="C63" s="1510"/>
      <c r="D63" s="1510"/>
      <c r="E63" s="1510"/>
      <c r="F63" s="1511"/>
      <c r="G63" s="1512"/>
      <c r="H63" s="1513"/>
    </row>
    <row r="64" spans="2:8" hidden="1" x14ac:dyDescent="0.25">
      <c r="B64" s="1505" t="s">
        <v>640</v>
      </c>
      <c r="C64" s="1509" t="s">
        <v>641</v>
      </c>
      <c r="D64" s="1510"/>
      <c r="E64" s="1510"/>
      <c r="F64" s="1511"/>
      <c r="G64" s="1512"/>
      <c r="H64" s="1513"/>
    </row>
    <row r="65" spans="2:9" s="1514" customFormat="1" ht="27" hidden="1" customHeight="1" x14ac:dyDescent="0.25">
      <c r="B65" s="1515" t="s">
        <v>12</v>
      </c>
      <c r="C65" s="1516" t="s">
        <v>36</v>
      </c>
      <c r="D65" s="1516" t="s">
        <v>37</v>
      </c>
      <c r="E65" s="1516" t="s">
        <v>14</v>
      </c>
      <c r="F65" s="1517" t="s">
        <v>38</v>
      </c>
      <c r="G65" s="1518" t="s">
        <v>39</v>
      </c>
      <c r="H65" s="1519" t="s">
        <v>40</v>
      </c>
      <c r="I65" s="1514" t="s">
        <v>109</v>
      </c>
    </row>
    <row r="66" spans="2:9" hidden="1" x14ac:dyDescent="0.25">
      <c r="B66" s="1504" t="s">
        <v>41</v>
      </c>
      <c r="C66" s="1510" t="s">
        <v>42</v>
      </c>
      <c r="D66" s="1510"/>
      <c r="E66" s="1510"/>
      <c r="F66" s="1511"/>
      <c r="G66" s="1512"/>
      <c r="H66" s="1513"/>
    </row>
    <row r="67" spans="2:9" hidden="1" x14ac:dyDescent="0.25">
      <c r="B67" s="1504"/>
      <c r="C67" s="1510" t="s">
        <v>43</v>
      </c>
      <c r="D67" s="1520" t="s">
        <v>44</v>
      </c>
      <c r="E67" s="1520" t="s">
        <v>45</v>
      </c>
      <c r="F67" s="1511">
        <v>1</v>
      </c>
      <c r="G67" s="1512">
        <f>UPAH!$F$13</f>
        <v>115000</v>
      </c>
      <c r="H67" s="1513">
        <f>F67*G67</f>
        <v>115000</v>
      </c>
    </row>
    <row r="68" spans="2:9" hidden="1" x14ac:dyDescent="0.25">
      <c r="B68" s="1504"/>
      <c r="C68" s="1510" t="s">
        <v>46</v>
      </c>
      <c r="D68" s="1520" t="s">
        <v>47</v>
      </c>
      <c r="E68" s="1520" t="s">
        <v>45</v>
      </c>
      <c r="F68" s="1511">
        <v>2</v>
      </c>
      <c r="G68" s="1512">
        <f>UPAH!$F$12</f>
        <v>170000</v>
      </c>
      <c r="H68" s="1513">
        <f>F68*G68</f>
        <v>340000</v>
      </c>
    </row>
    <row r="69" spans="2:9" hidden="1" x14ac:dyDescent="0.25">
      <c r="B69" s="1504"/>
      <c r="C69" s="1510" t="s">
        <v>48</v>
      </c>
      <c r="D69" s="1520" t="s">
        <v>49</v>
      </c>
      <c r="E69" s="1520" t="s">
        <v>45</v>
      </c>
      <c r="F69" s="1511">
        <v>0.2</v>
      </c>
      <c r="G69" s="1512">
        <f>UPAH!$F$11</f>
        <v>185000</v>
      </c>
      <c r="H69" s="1513">
        <f>F69*G69</f>
        <v>37000</v>
      </c>
    </row>
    <row r="70" spans="2:9" hidden="1" x14ac:dyDescent="0.25">
      <c r="B70" s="1504"/>
      <c r="C70" s="1510" t="s">
        <v>50</v>
      </c>
      <c r="D70" s="1520" t="s">
        <v>51</v>
      </c>
      <c r="E70" s="1520" t="s">
        <v>45</v>
      </c>
      <c r="F70" s="1511">
        <v>0.05</v>
      </c>
      <c r="G70" s="1512">
        <f>UPAH!$F$10</f>
        <v>200000</v>
      </c>
      <c r="H70" s="1513">
        <f>F70*G70</f>
        <v>10000</v>
      </c>
    </row>
    <row r="71" spans="2:9" hidden="1" x14ac:dyDescent="0.25">
      <c r="B71" s="1504"/>
      <c r="C71" s="1510"/>
      <c r="D71" s="1510"/>
      <c r="E71" s="1510"/>
      <c r="F71" s="3146" t="s">
        <v>52</v>
      </c>
      <c r="G71" s="3146"/>
      <c r="H71" s="1513">
        <f>SUM(H67:H70)</f>
        <v>502000</v>
      </c>
    </row>
    <row r="72" spans="2:9" hidden="1" x14ac:dyDescent="0.25">
      <c r="B72" s="1504" t="s">
        <v>53</v>
      </c>
      <c r="C72" s="1510" t="s">
        <v>54</v>
      </c>
      <c r="D72" s="1510"/>
      <c r="E72" s="1510"/>
      <c r="F72" s="1511"/>
      <c r="G72" s="1512"/>
      <c r="H72" s="1513"/>
    </row>
    <row r="73" spans="2:9" hidden="1" x14ac:dyDescent="0.25">
      <c r="B73" s="1504"/>
      <c r="C73" s="1510" t="s">
        <v>642</v>
      </c>
      <c r="D73" s="1510"/>
      <c r="E73" s="1520" t="s">
        <v>28</v>
      </c>
      <c r="F73" s="1511">
        <v>1.7</v>
      </c>
      <c r="G73" s="1512">
        <f>BAHAN!$G$57</f>
        <v>34500</v>
      </c>
      <c r="H73" s="1513">
        <f t="shared" ref="H73:H80" si="1">F73*G73</f>
        <v>58650</v>
      </c>
    </row>
    <row r="74" spans="2:9" hidden="1" x14ac:dyDescent="0.25">
      <c r="B74" s="1504"/>
      <c r="C74" s="1510" t="s">
        <v>632</v>
      </c>
      <c r="D74" s="1510"/>
      <c r="E74" s="1520" t="s">
        <v>57</v>
      </c>
      <c r="F74" s="1511">
        <v>0.21</v>
      </c>
      <c r="G74" s="1512">
        <f>BAHAN!$G$50</f>
        <v>4351000</v>
      </c>
      <c r="H74" s="1513">
        <f t="shared" si="1"/>
        <v>913710</v>
      </c>
    </row>
    <row r="75" spans="2:9" hidden="1" x14ac:dyDescent="0.25">
      <c r="B75" s="1504"/>
      <c r="C75" s="1510" t="s">
        <v>643</v>
      </c>
      <c r="D75" s="1510"/>
      <c r="E75" s="1520" t="s">
        <v>0</v>
      </c>
      <c r="F75" s="1511">
        <v>0.3</v>
      </c>
      <c r="G75" s="1512">
        <f>BAHAN!$G$39</f>
        <v>24150</v>
      </c>
      <c r="H75" s="1513">
        <f t="shared" si="1"/>
        <v>7245</v>
      </c>
    </row>
    <row r="76" spans="2:9" hidden="1" x14ac:dyDescent="0.25">
      <c r="B76" s="1504"/>
      <c r="C76" s="1510" t="s">
        <v>55</v>
      </c>
      <c r="D76" s="1510"/>
      <c r="E76" s="1520" t="s">
        <v>0</v>
      </c>
      <c r="F76" s="1511">
        <v>10.5</v>
      </c>
      <c r="G76" s="1512">
        <f>BAHAN!$G$45</f>
        <v>2000</v>
      </c>
      <c r="H76" s="1513">
        <f t="shared" si="1"/>
        <v>21000</v>
      </c>
    </row>
    <row r="77" spans="2:9" hidden="1" x14ac:dyDescent="0.25">
      <c r="B77" s="1504"/>
      <c r="C77" s="1510" t="s">
        <v>56</v>
      </c>
      <c r="D77" s="1510"/>
      <c r="E77" s="1520" t="s">
        <v>57</v>
      </c>
      <c r="F77" s="1511">
        <v>0.03</v>
      </c>
      <c r="G77" s="1512">
        <f>BAHAN!$G$22</f>
        <v>208000</v>
      </c>
      <c r="H77" s="1513">
        <f t="shared" si="1"/>
        <v>6240</v>
      </c>
    </row>
    <row r="78" spans="2:9" hidden="1" x14ac:dyDescent="0.25">
      <c r="B78" s="1504"/>
      <c r="C78" s="1510" t="s">
        <v>644</v>
      </c>
      <c r="D78" s="1510"/>
      <c r="E78" s="1520" t="s">
        <v>57</v>
      </c>
      <c r="F78" s="1511">
        <v>0.05</v>
      </c>
      <c r="G78" s="1512">
        <f>BAHAN!$G$39</f>
        <v>24150</v>
      </c>
      <c r="H78" s="1513">
        <f t="shared" si="1"/>
        <v>1207.5</v>
      </c>
    </row>
    <row r="79" spans="2:9" hidden="1" x14ac:dyDescent="0.25">
      <c r="B79" s="1504"/>
      <c r="C79" s="1510" t="s">
        <v>645</v>
      </c>
      <c r="D79" s="1510"/>
      <c r="E79" s="1520" t="s">
        <v>23</v>
      </c>
      <c r="F79" s="1511">
        <v>1.5</v>
      </c>
      <c r="G79" s="1512">
        <f>BAHAN!$G$60</f>
        <v>64250</v>
      </c>
      <c r="H79" s="1513">
        <f t="shared" si="1"/>
        <v>96375</v>
      </c>
    </row>
    <row r="80" spans="2:9" hidden="1" x14ac:dyDescent="0.25">
      <c r="B80" s="1504"/>
      <c r="C80" s="1510" t="s">
        <v>646</v>
      </c>
      <c r="D80" s="1510"/>
      <c r="E80" s="1520" t="s">
        <v>23</v>
      </c>
      <c r="F80" s="1511">
        <v>0.25</v>
      </c>
      <c r="G80" s="1512">
        <f>BAHAN!$G$61</f>
        <v>88000</v>
      </c>
      <c r="H80" s="1513">
        <f t="shared" si="1"/>
        <v>22000</v>
      </c>
    </row>
    <row r="81" spans="2:9" hidden="1" x14ac:dyDescent="0.25">
      <c r="B81" s="1504"/>
      <c r="C81" s="1510"/>
      <c r="D81" s="1510"/>
      <c r="E81" s="1510"/>
      <c r="F81" s="3146" t="s">
        <v>59</v>
      </c>
      <c r="G81" s="3146"/>
      <c r="H81" s="1513">
        <f>SUM(H73:H80)</f>
        <v>1126427.5</v>
      </c>
    </row>
    <row r="82" spans="2:9" hidden="1" x14ac:dyDescent="0.25">
      <c r="B82" s="1504" t="s">
        <v>5</v>
      </c>
      <c r="C82" s="1510" t="s">
        <v>60</v>
      </c>
      <c r="D82" s="1510"/>
      <c r="E82" s="1510"/>
      <c r="F82" s="1511"/>
      <c r="G82" s="1512"/>
      <c r="H82" s="1513"/>
    </row>
    <row r="83" spans="2:9" hidden="1" x14ac:dyDescent="0.25">
      <c r="B83" s="1504"/>
      <c r="C83" s="1510"/>
      <c r="D83" s="1510"/>
      <c r="E83" s="1510"/>
      <c r="F83" s="1511" t="s">
        <v>61</v>
      </c>
      <c r="G83" s="1512"/>
      <c r="H83" s="1513">
        <v>0</v>
      </c>
    </row>
    <row r="84" spans="2:9" hidden="1" x14ac:dyDescent="0.25">
      <c r="B84" s="1504"/>
      <c r="C84" s="1510"/>
      <c r="D84" s="1510"/>
      <c r="E84" s="1510"/>
      <c r="F84" s="1511"/>
      <c r="G84" s="1512"/>
      <c r="H84" s="1513"/>
    </row>
    <row r="85" spans="2:9" hidden="1" x14ac:dyDescent="0.25">
      <c r="B85" s="1504" t="s">
        <v>6</v>
      </c>
      <c r="C85" s="3144" t="s">
        <v>62</v>
      </c>
      <c r="D85" s="3144"/>
      <c r="E85" s="3144"/>
      <c r="F85" s="3144"/>
      <c r="G85" s="3144"/>
      <c r="H85" s="1513">
        <f>H71+H81+H83</f>
        <v>1628427.5</v>
      </c>
    </row>
    <row r="86" spans="2:9" hidden="1" x14ac:dyDescent="0.25">
      <c r="B86" s="1504" t="s">
        <v>7</v>
      </c>
      <c r="C86" s="3144" t="s">
        <v>100</v>
      </c>
      <c r="D86" s="3144"/>
      <c r="E86" s="3144"/>
      <c r="F86" s="3148">
        <f>$J$2</f>
        <v>0.15</v>
      </c>
      <c r="G86" s="3144"/>
      <c r="H86" s="1513">
        <f>F86*H85</f>
        <v>244264.125</v>
      </c>
    </row>
    <row r="87" spans="2:9" hidden="1" x14ac:dyDescent="0.25">
      <c r="B87" s="1504" t="s">
        <v>63</v>
      </c>
      <c r="C87" s="3144" t="s">
        <v>64</v>
      </c>
      <c r="D87" s="3144"/>
      <c r="E87" s="3144"/>
      <c r="F87" s="3144"/>
      <c r="G87" s="3144"/>
      <c r="H87" s="1513">
        <f>H85+H86</f>
        <v>1872691.625</v>
      </c>
    </row>
    <row r="88" spans="2:9" hidden="1" x14ac:dyDescent="0.25">
      <c r="B88" s="1521"/>
      <c r="C88" s="1522" t="s">
        <v>878</v>
      </c>
      <c r="D88" s="1523"/>
      <c r="E88" s="1523"/>
      <c r="F88" s="1523"/>
      <c r="G88" s="1523"/>
      <c r="H88" s="1524">
        <f>ROUNDDOWN(H87,2)</f>
        <v>1872691.62</v>
      </c>
    </row>
    <row r="89" spans="2:9" hidden="1" x14ac:dyDescent="0.25">
      <c r="B89" s="1504"/>
      <c r="C89" s="1525"/>
      <c r="D89" s="1525"/>
      <c r="E89" s="1525"/>
      <c r="F89" s="1526"/>
      <c r="G89" s="1525"/>
      <c r="H89" s="1513"/>
    </row>
    <row r="90" spans="2:9" hidden="1" x14ac:dyDescent="0.25">
      <c r="B90" s="1505" t="s">
        <v>647</v>
      </c>
      <c r="C90" s="1509" t="s">
        <v>1377</v>
      </c>
      <c r="D90" s="1510"/>
      <c r="E90" s="1510"/>
      <c r="F90" s="1511"/>
      <c r="G90" s="1512"/>
      <c r="H90" s="1513"/>
    </row>
    <row r="91" spans="2:9" s="1514" customFormat="1" ht="27" hidden="1" customHeight="1" x14ac:dyDescent="0.25">
      <c r="B91" s="1515" t="s">
        <v>12</v>
      </c>
      <c r="C91" s="1516" t="s">
        <v>36</v>
      </c>
      <c r="D91" s="1516" t="s">
        <v>37</v>
      </c>
      <c r="E91" s="1516" t="s">
        <v>14</v>
      </c>
      <c r="F91" s="1517" t="s">
        <v>38</v>
      </c>
      <c r="G91" s="1518" t="s">
        <v>39</v>
      </c>
      <c r="H91" s="1519" t="s">
        <v>40</v>
      </c>
      <c r="I91" s="1514" t="s">
        <v>109</v>
      </c>
    </row>
    <row r="92" spans="2:9" hidden="1" x14ac:dyDescent="0.25">
      <c r="B92" s="1504" t="s">
        <v>41</v>
      </c>
      <c r="C92" s="1510" t="s">
        <v>42</v>
      </c>
      <c r="D92" s="1510"/>
      <c r="E92" s="1510"/>
      <c r="F92" s="1511"/>
      <c r="G92" s="1512"/>
      <c r="H92" s="1513"/>
    </row>
    <row r="93" spans="2:9" hidden="1" x14ac:dyDescent="0.25">
      <c r="B93" s="1504"/>
      <c r="C93" s="1510" t="s">
        <v>43</v>
      </c>
      <c r="D93" s="1520" t="s">
        <v>44</v>
      </c>
      <c r="E93" s="1520" t="s">
        <v>45</v>
      </c>
      <c r="F93" s="1511">
        <v>1</v>
      </c>
      <c r="G93" s="1512">
        <f>UPAH!$F$13</f>
        <v>115000</v>
      </c>
      <c r="H93" s="1513">
        <f>F93*G93</f>
        <v>115000</v>
      </c>
    </row>
    <row r="94" spans="2:9" hidden="1" x14ac:dyDescent="0.25">
      <c r="B94" s="1504"/>
      <c r="C94" s="1510" t="s">
        <v>46</v>
      </c>
      <c r="D94" s="1520" t="s">
        <v>47</v>
      </c>
      <c r="E94" s="1520" t="s">
        <v>45</v>
      </c>
      <c r="F94" s="1511">
        <v>2</v>
      </c>
      <c r="G94" s="1512">
        <f>UPAH!$F$12</f>
        <v>170000</v>
      </c>
      <c r="H94" s="1513">
        <f>F94*G94</f>
        <v>340000</v>
      </c>
    </row>
    <row r="95" spans="2:9" hidden="1" x14ac:dyDescent="0.25">
      <c r="B95" s="1504"/>
      <c r="C95" s="1510" t="s">
        <v>48</v>
      </c>
      <c r="D95" s="1520" t="s">
        <v>49</v>
      </c>
      <c r="E95" s="1520" t="s">
        <v>45</v>
      </c>
      <c r="F95" s="1511">
        <v>0.2</v>
      </c>
      <c r="G95" s="1512">
        <f>UPAH!$F$11</f>
        <v>185000</v>
      </c>
      <c r="H95" s="1513">
        <f>F95*G95</f>
        <v>37000</v>
      </c>
    </row>
    <row r="96" spans="2:9" hidden="1" x14ac:dyDescent="0.25">
      <c r="B96" s="1504"/>
      <c r="C96" s="1510" t="s">
        <v>50</v>
      </c>
      <c r="D96" s="1520" t="s">
        <v>51</v>
      </c>
      <c r="E96" s="1520" t="s">
        <v>45</v>
      </c>
      <c r="F96" s="1511">
        <v>0.05</v>
      </c>
      <c r="G96" s="1512">
        <f>UPAH!$F$10</f>
        <v>200000</v>
      </c>
      <c r="H96" s="1513">
        <f>F96*G96</f>
        <v>10000</v>
      </c>
    </row>
    <row r="97" spans="2:8" hidden="1" x14ac:dyDescent="0.25">
      <c r="B97" s="1504"/>
      <c r="C97" s="1510"/>
      <c r="D97" s="1510"/>
      <c r="E97" s="1510"/>
      <c r="F97" s="3146" t="s">
        <v>52</v>
      </c>
      <c r="G97" s="3146"/>
      <c r="H97" s="1513">
        <f>SUM(H93:H96)</f>
        <v>502000</v>
      </c>
    </row>
    <row r="98" spans="2:8" hidden="1" x14ac:dyDescent="0.25">
      <c r="B98" s="1504" t="s">
        <v>53</v>
      </c>
      <c r="C98" s="1510" t="s">
        <v>54</v>
      </c>
      <c r="D98" s="1510"/>
      <c r="E98" s="1510"/>
      <c r="F98" s="1511"/>
      <c r="G98" s="1512"/>
      <c r="H98" s="1513"/>
    </row>
    <row r="99" spans="2:8" hidden="1" x14ac:dyDescent="0.25">
      <c r="B99" s="1504"/>
      <c r="C99" s="1510" t="s">
        <v>648</v>
      </c>
      <c r="D99" s="1510"/>
      <c r="E99" s="1520" t="s">
        <v>28</v>
      </c>
      <c r="F99" s="1511">
        <v>1.25</v>
      </c>
      <c r="G99" s="1512">
        <f>BAHAN!$G$57</f>
        <v>34500</v>
      </c>
      <c r="H99" s="1513">
        <f t="shared" ref="H99:H106" si="2">F99*G99</f>
        <v>43125</v>
      </c>
    </row>
    <row r="100" spans="2:8" hidden="1" x14ac:dyDescent="0.25">
      <c r="B100" s="1504"/>
      <c r="C100" s="1510" t="s">
        <v>632</v>
      </c>
      <c r="D100" s="1510"/>
      <c r="E100" s="1520" t="s">
        <v>57</v>
      </c>
      <c r="F100" s="1511">
        <v>0.186</v>
      </c>
      <c r="G100" s="1512">
        <f>BAHAN!$G$50</f>
        <v>4351000</v>
      </c>
      <c r="H100" s="1513">
        <f t="shared" si="2"/>
        <v>809286</v>
      </c>
    </row>
    <row r="101" spans="2:8" hidden="1" x14ac:dyDescent="0.25">
      <c r="B101" s="1504"/>
      <c r="C101" s="1510" t="s">
        <v>69</v>
      </c>
      <c r="D101" s="1510"/>
      <c r="E101" s="1520" t="s">
        <v>0</v>
      </c>
      <c r="F101" s="1511">
        <v>0.3</v>
      </c>
      <c r="G101" s="1512">
        <f>BAHAN!$G$39</f>
        <v>24150</v>
      </c>
      <c r="H101" s="1513">
        <f t="shared" si="2"/>
        <v>7245</v>
      </c>
    </row>
    <row r="102" spans="2:8" hidden="1" x14ac:dyDescent="0.25">
      <c r="B102" s="1504"/>
      <c r="C102" s="1510" t="s">
        <v>55</v>
      </c>
      <c r="D102" s="1510"/>
      <c r="E102" s="1520" t="s">
        <v>0</v>
      </c>
      <c r="F102" s="1511">
        <v>18</v>
      </c>
      <c r="G102" s="1512">
        <f>BAHAN!$G$45</f>
        <v>2000</v>
      </c>
      <c r="H102" s="1513">
        <f t="shared" si="2"/>
        <v>36000</v>
      </c>
    </row>
    <row r="103" spans="2:8" hidden="1" x14ac:dyDescent="0.25">
      <c r="B103" s="1504"/>
      <c r="C103" s="1510" t="s">
        <v>56</v>
      </c>
      <c r="D103" s="1510"/>
      <c r="E103" s="1520" t="s">
        <v>57</v>
      </c>
      <c r="F103" s="1511">
        <v>0.03</v>
      </c>
      <c r="G103" s="1512">
        <f>BAHAN!$G$22</f>
        <v>208000</v>
      </c>
      <c r="H103" s="1513">
        <f t="shared" si="2"/>
        <v>6240</v>
      </c>
    </row>
    <row r="104" spans="2:8" hidden="1" x14ac:dyDescent="0.25">
      <c r="B104" s="1504"/>
      <c r="C104" s="1510" t="s">
        <v>634</v>
      </c>
      <c r="D104" s="1510"/>
      <c r="E104" s="1520" t="s">
        <v>57</v>
      </c>
      <c r="F104" s="1511">
        <v>0.05</v>
      </c>
      <c r="G104" s="1512">
        <f>BAHAN!$G$39</f>
        <v>24150</v>
      </c>
      <c r="H104" s="1513">
        <f t="shared" si="2"/>
        <v>1207.5</v>
      </c>
    </row>
    <row r="105" spans="2:8" hidden="1" x14ac:dyDescent="0.25">
      <c r="B105" s="1504"/>
      <c r="C105" s="1510" t="s">
        <v>645</v>
      </c>
      <c r="D105" s="1510"/>
      <c r="E105" s="1520" t="s">
        <v>23</v>
      </c>
      <c r="F105" s="1511">
        <v>1.5</v>
      </c>
      <c r="G105" s="1512">
        <f>BAHAN!$G$60</f>
        <v>64250</v>
      </c>
      <c r="H105" s="1513">
        <f t="shared" si="2"/>
        <v>96375</v>
      </c>
    </row>
    <row r="106" spans="2:8" hidden="1" x14ac:dyDescent="0.25">
      <c r="B106" s="1504"/>
      <c r="C106" s="1510" t="s">
        <v>639</v>
      </c>
      <c r="D106" s="1510"/>
      <c r="E106" s="1520" t="s">
        <v>23</v>
      </c>
      <c r="F106" s="1511">
        <v>1.35</v>
      </c>
      <c r="G106" s="1512">
        <f>BAHAN!$G$55</f>
        <v>89700</v>
      </c>
      <c r="H106" s="1513">
        <f t="shared" si="2"/>
        <v>121095.00000000001</v>
      </c>
    </row>
    <row r="107" spans="2:8" hidden="1" x14ac:dyDescent="0.25">
      <c r="B107" s="1504"/>
      <c r="C107" s="1510"/>
      <c r="D107" s="1510"/>
      <c r="E107" s="1510"/>
      <c r="F107" s="3146" t="s">
        <v>59</v>
      </c>
      <c r="G107" s="3146"/>
      <c r="H107" s="1513">
        <f>SUM(H99:H106)</f>
        <v>1120573.5</v>
      </c>
    </row>
    <row r="108" spans="2:8" hidden="1" x14ac:dyDescent="0.25">
      <c r="B108" s="1504" t="s">
        <v>5</v>
      </c>
      <c r="C108" s="1510" t="s">
        <v>60</v>
      </c>
      <c r="D108" s="1510"/>
      <c r="E108" s="1510"/>
      <c r="F108" s="1511"/>
      <c r="G108" s="1512"/>
      <c r="H108" s="1513"/>
    </row>
    <row r="109" spans="2:8" hidden="1" x14ac:dyDescent="0.25">
      <c r="B109" s="1504"/>
      <c r="C109" s="1510"/>
      <c r="D109" s="1510"/>
      <c r="E109" s="1510"/>
      <c r="F109" s="1511" t="s">
        <v>61</v>
      </c>
      <c r="G109" s="1512"/>
      <c r="H109" s="1513">
        <v>0</v>
      </c>
    </row>
    <row r="110" spans="2:8" hidden="1" x14ac:dyDescent="0.25">
      <c r="B110" s="1504"/>
      <c r="C110" s="1510"/>
      <c r="D110" s="1510"/>
      <c r="E110" s="1510"/>
      <c r="F110" s="1511"/>
      <c r="G110" s="1512"/>
      <c r="H110" s="1513"/>
    </row>
    <row r="111" spans="2:8" hidden="1" x14ac:dyDescent="0.25">
      <c r="B111" s="1504" t="s">
        <v>6</v>
      </c>
      <c r="C111" s="3144" t="s">
        <v>62</v>
      </c>
      <c r="D111" s="3144"/>
      <c r="E111" s="3144"/>
      <c r="F111" s="3144"/>
      <c r="G111" s="3144"/>
      <c r="H111" s="1513">
        <f>H97+H107+H109</f>
        <v>1622573.5</v>
      </c>
    </row>
    <row r="112" spans="2:8" hidden="1" x14ac:dyDescent="0.25">
      <c r="B112" s="1504" t="s">
        <v>7</v>
      </c>
      <c r="C112" s="3144" t="s">
        <v>100</v>
      </c>
      <c r="D112" s="3144"/>
      <c r="E112" s="3144"/>
      <c r="F112" s="3148">
        <f>$J$2</f>
        <v>0.15</v>
      </c>
      <c r="G112" s="3144"/>
      <c r="H112" s="1513">
        <f>F112*H111</f>
        <v>243386.02499999999</v>
      </c>
    </row>
    <row r="113" spans="2:8" hidden="1" x14ac:dyDescent="0.25">
      <c r="B113" s="1504" t="s">
        <v>63</v>
      </c>
      <c r="C113" s="3144" t="s">
        <v>64</v>
      </c>
      <c r="D113" s="3144"/>
      <c r="E113" s="3144"/>
      <c r="F113" s="3144"/>
      <c r="G113" s="3144"/>
      <c r="H113" s="1513">
        <f>H111+H112</f>
        <v>1865959.5249999999</v>
      </c>
    </row>
    <row r="114" spans="2:8" hidden="1" x14ac:dyDescent="0.25">
      <c r="B114" s="1521"/>
      <c r="C114" s="1522" t="s">
        <v>878</v>
      </c>
      <c r="D114" s="1523"/>
      <c r="E114" s="1523"/>
      <c r="F114" s="1523"/>
      <c r="G114" s="1523"/>
      <c r="H114" s="1524">
        <f>ROUNDDOWN(H113,2)</f>
        <v>1865959.52</v>
      </c>
    </row>
    <row r="115" spans="2:8" hidden="1" x14ac:dyDescent="0.25">
      <c r="B115" s="1504"/>
      <c r="C115" s="1525"/>
      <c r="D115" s="1525"/>
      <c r="E115" s="1525"/>
      <c r="F115" s="1526"/>
      <c r="G115" s="1525"/>
      <c r="H115" s="1513"/>
    </row>
    <row r="116" spans="2:8" s="1504" customFormat="1" hidden="1" x14ac:dyDescent="0.25">
      <c r="B116" s="1505" t="s">
        <v>72</v>
      </c>
      <c r="C116" s="1505" t="s">
        <v>73</v>
      </c>
      <c r="F116" s="1506"/>
      <c r="G116" s="1507"/>
      <c r="H116" s="1508"/>
    </row>
    <row r="117" spans="2:8" hidden="1" x14ac:dyDescent="0.25">
      <c r="B117" s="1505" t="s">
        <v>74</v>
      </c>
      <c r="C117" s="1509" t="s">
        <v>75</v>
      </c>
      <c r="D117" s="1510"/>
      <c r="E117" s="1510"/>
      <c r="F117" s="1511"/>
      <c r="G117" s="1512"/>
      <c r="H117" s="1513"/>
    </row>
    <row r="118" spans="2:8" s="1514" customFormat="1" ht="27" hidden="1" customHeight="1" x14ac:dyDescent="0.25">
      <c r="B118" s="1515" t="s">
        <v>12</v>
      </c>
      <c r="C118" s="1516" t="s">
        <v>36</v>
      </c>
      <c r="D118" s="1516" t="s">
        <v>37</v>
      </c>
      <c r="E118" s="1516" t="s">
        <v>14</v>
      </c>
      <c r="F118" s="1517" t="s">
        <v>38</v>
      </c>
      <c r="G118" s="1518" t="s">
        <v>39</v>
      </c>
      <c r="H118" s="1519" t="s">
        <v>40</v>
      </c>
    </row>
    <row r="119" spans="2:8" hidden="1" x14ac:dyDescent="0.25">
      <c r="B119" s="1504" t="s">
        <v>41</v>
      </c>
      <c r="C119" s="1510" t="s">
        <v>42</v>
      </c>
      <c r="D119" s="1510"/>
      <c r="E119" s="1510"/>
      <c r="F119" s="1511"/>
      <c r="G119" s="1512"/>
      <c r="H119" s="1513"/>
    </row>
    <row r="120" spans="2:8" hidden="1" x14ac:dyDescent="0.25">
      <c r="B120" s="1504"/>
      <c r="C120" s="1510" t="s">
        <v>43</v>
      </c>
      <c r="D120" s="1520" t="s">
        <v>44</v>
      </c>
      <c r="E120" s="1520" t="s">
        <v>45</v>
      </c>
      <c r="F120" s="1511">
        <v>0.75</v>
      </c>
      <c r="G120" s="1512">
        <f>UPAH!$F$13</f>
        <v>115000</v>
      </c>
      <c r="H120" s="1513">
        <f>F120*G120</f>
        <v>86250</v>
      </c>
    </row>
    <row r="121" spans="2:8" hidden="1" x14ac:dyDescent="0.25">
      <c r="B121" s="1504"/>
      <c r="C121" s="1510" t="s">
        <v>50</v>
      </c>
      <c r="D121" s="1520" t="s">
        <v>51</v>
      </c>
      <c r="E121" s="1520" t="s">
        <v>45</v>
      </c>
      <c r="F121" s="1511">
        <v>2.5000000000000001E-2</v>
      </c>
      <c r="G121" s="1512">
        <f>UPAH!$F$10</f>
        <v>200000</v>
      </c>
      <c r="H121" s="1513">
        <f>F121*G121</f>
        <v>5000</v>
      </c>
    </row>
    <row r="122" spans="2:8" hidden="1" x14ac:dyDescent="0.25">
      <c r="B122" s="1504"/>
      <c r="C122" s="1510"/>
      <c r="D122" s="1510"/>
      <c r="E122" s="1510"/>
      <c r="F122" s="3146" t="s">
        <v>52</v>
      </c>
      <c r="G122" s="3146"/>
      <c r="H122" s="1513">
        <f>SUM(H120:H121)</f>
        <v>91250</v>
      </c>
    </row>
    <row r="123" spans="2:8" hidden="1" x14ac:dyDescent="0.25">
      <c r="B123" s="1504" t="s">
        <v>53</v>
      </c>
      <c r="C123" s="1510" t="s">
        <v>54</v>
      </c>
      <c r="D123" s="1510"/>
      <c r="E123" s="1510"/>
      <c r="F123" s="1511"/>
      <c r="G123" s="1512"/>
      <c r="H123" s="1513"/>
    </row>
    <row r="124" spans="2:8" hidden="1" x14ac:dyDescent="0.25">
      <c r="B124" s="1504"/>
      <c r="C124" s="1510"/>
      <c r="D124" s="1510"/>
      <c r="E124" s="1510"/>
      <c r="F124" s="3146" t="s">
        <v>59</v>
      </c>
      <c r="G124" s="3146"/>
      <c r="H124" s="1513">
        <v>0</v>
      </c>
    </row>
    <row r="125" spans="2:8" hidden="1" x14ac:dyDescent="0.25">
      <c r="B125" s="1504" t="s">
        <v>5</v>
      </c>
      <c r="C125" s="1510" t="s">
        <v>60</v>
      </c>
      <c r="D125" s="1510"/>
      <c r="E125" s="1510"/>
      <c r="F125" s="1511"/>
      <c r="G125" s="1512"/>
      <c r="H125" s="1513"/>
    </row>
    <row r="126" spans="2:8" hidden="1" x14ac:dyDescent="0.25">
      <c r="B126" s="1504"/>
      <c r="C126" s="1510"/>
      <c r="D126" s="1510"/>
      <c r="E126" s="1510"/>
      <c r="F126" s="1511" t="s">
        <v>61</v>
      </c>
      <c r="G126" s="1512"/>
      <c r="H126" s="1513">
        <v>0</v>
      </c>
    </row>
    <row r="127" spans="2:8" hidden="1" x14ac:dyDescent="0.25">
      <c r="B127" s="1504"/>
      <c r="C127" s="1510"/>
      <c r="D127" s="1510"/>
      <c r="E127" s="1510"/>
      <c r="F127" s="1511"/>
      <c r="G127" s="1512"/>
      <c r="H127" s="1513"/>
    </row>
    <row r="128" spans="2:8" hidden="1" x14ac:dyDescent="0.25">
      <c r="B128" s="1504" t="s">
        <v>6</v>
      </c>
      <c r="C128" s="3144" t="s">
        <v>62</v>
      </c>
      <c r="D128" s="3144"/>
      <c r="E128" s="3144"/>
      <c r="F128" s="3144"/>
      <c r="G128" s="3144"/>
      <c r="H128" s="1513">
        <f>H122+H124+H126</f>
        <v>91250</v>
      </c>
    </row>
    <row r="129" spans="2:8" hidden="1" x14ac:dyDescent="0.25">
      <c r="B129" s="1504" t="s">
        <v>7</v>
      </c>
      <c r="C129" s="3144" t="s">
        <v>100</v>
      </c>
      <c r="D129" s="3144"/>
      <c r="E129" s="3144"/>
      <c r="F129" s="3148">
        <f>$J$2</f>
        <v>0.15</v>
      </c>
      <c r="G129" s="3144"/>
      <c r="H129" s="1513">
        <f>F129*H128</f>
        <v>13687.5</v>
      </c>
    </row>
    <row r="130" spans="2:8" hidden="1" x14ac:dyDescent="0.25">
      <c r="B130" s="1504" t="s">
        <v>63</v>
      </c>
      <c r="C130" s="3144" t="s">
        <v>64</v>
      </c>
      <c r="D130" s="3144"/>
      <c r="E130" s="3144"/>
      <c r="F130" s="3144"/>
      <c r="G130" s="3144"/>
      <c r="H130" s="1513">
        <f>H128+H129</f>
        <v>104937.5</v>
      </c>
    </row>
    <row r="131" spans="2:8" hidden="1" x14ac:dyDescent="0.25">
      <c r="B131" s="1521"/>
      <c r="C131" s="1522" t="s">
        <v>878</v>
      </c>
      <c r="D131" s="1523"/>
      <c r="E131" s="1523"/>
      <c r="F131" s="1523"/>
      <c r="G131" s="1523"/>
      <c r="H131" s="1524">
        <f>ROUNDDOWN(H130,2)</f>
        <v>104937.5</v>
      </c>
    </row>
    <row r="132" spans="2:8" hidden="1" x14ac:dyDescent="0.25">
      <c r="B132" s="1504"/>
      <c r="C132" s="1510"/>
      <c r="D132" s="1510"/>
      <c r="E132" s="1510"/>
      <c r="F132" s="1511"/>
      <c r="G132" s="1512"/>
      <c r="H132" s="1513"/>
    </row>
    <row r="133" spans="2:8" hidden="1" x14ac:dyDescent="0.25">
      <c r="B133" s="1505" t="s">
        <v>848</v>
      </c>
      <c r="C133" s="1509" t="s">
        <v>849</v>
      </c>
      <c r="D133" s="1510"/>
      <c r="E133" s="1510"/>
      <c r="F133" s="1511"/>
      <c r="G133" s="1512"/>
      <c r="H133" s="1513"/>
    </row>
    <row r="134" spans="2:8" s="1514" customFormat="1" ht="27" hidden="1" customHeight="1" x14ac:dyDescent="0.25">
      <c r="B134" s="1515" t="s">
        <v>12</v>
      </c>
      <c r="C134" s="1516" t="s">
        <v>36</v>
      </c>
      <c r="D134" s="1516" t="s">
        <v>37</v>
      </c>
      <c r="E134" s="1516" t="s">
        <v>14</v>
      </c>
      <c r="F134" s="1517" t="s">
        <v>38</v>
      </c>
      <c r="G134" s="1518" t="s">
        <v>39</v>
      </c>
      <c r="H134" s="1519" t="s">
        <v>40</v>
      </c>
    </row>
    <row r="135" spans="2:8" hidden="1" x14ac:dyDescent="0.25">
      <c r="B135" s="1504" t="s">
        <v>41</v>
      </c>
      <c r="C135" s="1510" t="s">
        <v>42</v>
      </c>
      <c r="D135" s="1510"/>
      <c r="E135" s="1510"/>
      <c r="F135" s="1511"/>
      <c r="G135" s="1512"/>
      <c r="H135" s="1513"/>
    </row>
    <row r="136" spans="2:8" hidden="1" x14ac:dyDescent="0.25">
      <c r="B136" s="1504"/>
      <c r="C136" s="1510" t="s">
        <v>43</v>
      </c>
      <c r="D136" s="1520" t="s">
        <v>44</v>
      </c>
      <c r="E136" s="1520" t="s">
        <v>45</v>
      </c>
      <c r="F136" s="1511">
        <v>0.9</v>
      </c>
      <c r="G136" s="1512">
        <f>UPAH!$F$13</f>
        <v>115000</v>
      </c>
      <c r="H136" s="1513">
        <f>F136*G136</f>
        <v>103500</v>
      </c>
    </row>
    <row r="137" spans="2:8" hidden="1" x14ac:dyDescent="0.25">
      <c r="B137" s="1504"/>
      <c r="C137" s="1510" t="s">
        <v>50</v>
      </c>
      <c r="D137" s="1520" t="s">
        <v>51</v>
      </c>
      <c r="E137" s="1520" t="s">
        <v>45</v>
      </c>
      <c r="F137" s="1511">
        <v>4.4999999999999998E-2</v>
      </c>
      <c r="G137" s="1512">
        <f>UPAH!$F$10</f>
        <v>200000</v>
      </c>
      <c r="H137" s="1513">
        <f>F137*G137</f>
        <v>9000</v>
      </c>
    </row>
    <row r="138" spans="2:8" hidden="1" x14ac:dyDescent="0.25">
      <c r="B138" s="1504"/>
      <c r="C138" s="1510"/>
      <c r="D138" s="1510"/>
      <c r="E138" s="1510"/>
      <c r="F138" s="3146" t="s">
        <v>52</v>
      </c>
      <c r="G138" s="3146"/>
      <c r="H138" s="1513">
        <f>SUM(H136:H137)</f>
        <v>112500</v>
      </c>
    </row>
    <row r="139" spans="2:8" hidden="1" x14ac:dyDescent="0.25">
      <c r="B139" s="1504" t="s">
        <v>53</v>
      </c>
      <c r="C139" s="1510" t="s">
        <v>54</v>
      </c>
      <c r="D139" s="1510"/>
      <c r="E139" s="1510"/>
      <c r="F139" s="1511"/>
      <c r="G139" s="1512"/>
      <c r="H139" s="1513"/>
    </row>
    <row r="140" spans="2:8" hidden="1" x14ac:dyDescent="0.25">
      <c r="B140" s="1504"/>
      <c r="C140" s="1510"/>
      <c r="D140" s="1510"/>
      <c r="E140" s="1510"/>
      <c r="F140" s="3146" t="s">
        <v>59</v>
      </c>
      <c r="G140" s="3146"/>
      <c r="H140" s="1513">
        <v>0</v>
      </c>
    </row>
    <row r="141" spans="2:8" hidden="1" x14ac:dyDescent="0.25">
      <c r="B141" s="1504" t="s">
        <v>5</v>
      </c>
      <c r="C141" s="1510" t="s">
        <v>60</v>
      </c>
      <c r="D141" s="1510"/>
      <c r="E141" s="1510"/>
      <c r="F141" s="1511"/>
      <c r="G141" s="1512"/>
      <c r="H141" s="1513"/>
    </row>
    <row r="142" spans="2:8" hidden="1" x14ac:dyDescent="0.25">
      <c r="B142" s="1504"/>
      <c r="C142" s="1510"/>
      <c r="D142" s="1510"/>
      <c r="E142" s="1510"/>
      <c r="F142" s="1511" t="s">
        <v>61</v>
      </c>
      <c r="G142" s="1512"/>
      <c r="H142" s="1513">
        <v>0</v>
      </c>
    </row>
    <row r="143" spans="2:8" hidden="1" x14ac:dyDescent="0.25">
      <c r="B143" s="1504"/>
      <c r="C143" s="1510"/>
      <c r="D143" s="1510"/>
      <c r="E143" s="1510"/>
      <c r="F143" s="1511"/>
      <c r="G143" s="1512"/>
      <c r="H143" s="1513"/>
    </row>
    <row r="144" spans="2:8" hidden="1" x14ac:dyDescent="0.25">
      <c r="B144" s="1504" t="s">
        <v>6</v>
      </c>
      <c r="C144" s="3144" t="s">
        <v>62</v>
      </c>
      <c r="D144" s="3144"/>
      <c r="E144" s="3144"/>
      <c r="F144" s="3144"/>
      <c r="G144" s="3144"/>
      <c r="H144" s="1513">
        <f>H138+H140+H142</f>
        <v>112500</v>
      </c>
    </row>
    <row r="145" spans="2:8" hidden="1" x14ac:dyDescent="0.25">
      <c r="B145" s="1504" t="s">
        <v>7</v>
      </c>
      <c r="C145" s="3144" t="s">
        <v>100</v>
      </c>
      <c r="D145" s="3144"/>
      <c r="E145" s="3144"/>
      <c r="F145" s="3148">
        <f>$J$2</f>
        <v>0.15</v>
      </c>
      <c r="G145" s="3144"/>
      <c r="H145" s="1513">
        <f>F145*H144</f>
        <v>16875</v>
      </c>
    </row>
    <row r="146" spans="2:8" hidden="1" x14ac:dyDescent="0.25">
      <c r="B146" s="1504" t="s">
        <v>63</v>
      </c>
      <c r="C146" s="3144" t="s">
        <v>64</v>
      </c>
      <c r="D146" s="3144"/>
      <c r="E146" s="3144"/>
      <c r="F146" s="3144"/>
      <c r="G146" s="3144"/>
      <c r="H146" s="1513">
        <f>H144+H145</f>
        <v>129375</v>
      </c>
    </row>
    <row r="147" spans="2:8" hidden="1" x14ac:dyDescent="0.25">
      <c r="B147" s="1521"/>
      <c r="C147" s="1522" t="s">
        <v>878</v>
      </c>
      <c r="D147" s="1523"/>
      <c r="E147" s="1523"/>
      <c r="F147" s="1523"/>
      <c r="G147" s="1523"/>
      <c r="H147" s="1524">
        <f>ROUNDDOWN(H146,2)</f>
        <v>129375</v>
      </c>
    </row>
    <row r="148" spans="2:8" hidden="1" x14ac:dyDescent="0.25">
      <c r="B148" s="1504"/>
      <c r="C148" s="1510"/>
      <c r="D148" s="1510"/>
      <c r="E148" s="1510"/>
      <c r="F148" s="1511"/>
      <c r="G148" s="1512"/>
      <c r="H148" s="1513"/>
    </row>
    <row r="149" spans="2:8" hidden="1" x14ac:dyDescent="0.25">
      <c r="B149" s="1505" t="s">
        <v>76</v>
      </c>
      <c r="C149" s="1509" t="s">
        <v>110</v>
      </c>
      <c r="D149" s="1510"/>
      <c r="E149" s="1510"/>
      <c r="F149" s="1511"/>
      <c r="G149" s="1512"/>
      <c r="H149" s="1513"/>
    </row>
    <row r="150" spans="2:8" s="1514" customFormat="1" ht="27" hidden="1" customHeight="1" x14ac:dyDescent="0.25">
      <c r="B150" s="1515" t="s">
        <v>12</v>
      </c>
      <c r="C150" s="1516" t="s">
        <v>36</v>
      </c>
      <c r="D150" s="1516" t="s">
        <v>37</v>
      </c>
      <c r="E150" s="1516" t="s">
        <v>14</v>
      </c>
      <c r="F150" s="1517" t="s">
        <v>38</v>
      </c>
      <c r="G150" s="1518" t="s">
        <v>39</v>
      </c>
      <c r="H150" s="1519" t="s">
        <v>40</v>
      </c>
    </row>
    <row r="151" spans="2:8" hidden="1" x14ac:dyDescent="0.25">
      <c r="B151" s="1504" t="s">
        <v>41</v>
      </c>
      <c r="C151" s="1510" t="s">
        <v>42</v>
      </c>
      <c r="D151" s="1510"/>
      <c r="E151" s="1510"/>
      <c r="F151" s="1511"/>
      <c r="G151" s="1512"/>
      <c r="H151" s="1513"/>
    </row>
    <row r="152" spans="2:8" hidden="1" x14ac:dyDescent="0.25">
      <c r="B152" s="1504"/>
      <c r="C152" s="1510" t="s">
        <v>43</v>
      </c>
      <c r="D152" s="1520" t="s">
        <v>44</v>
      </c>
      <c r="E152" s="1520" t="s">
        <v>45</v>
      </c>
      <c r="F152" s="1511">
        <v>0.5</v>
      </c>
      <c r="G152" s="1512">
        <f>UPAH!$F$13</f>
        <v>115000</v>
      </c>
      <c r="H152" s="1513">
        <f>F152*G152</f>
        <v>57500</v>
      </c>
    </row>
    <row r="153" spans="2:8" hidden="1" x14ac:dyDescent="0.25">
      <c r="B153" s="1504"/>
      <c r="C153" s="1510" t="s">
        <v>50</v>
      </c>
      <c r="D153" s="1520" t="s">
        <v>51</v>
      </c>
      <c r="E153" s="1520" t="s">
        <v>45</v>
      </c>
      <c r="F153" s="1511">
        <v>0.05</v>
      </c>
      <c r="G153" s="1512">
        <f>UPAH!$F$10</f>
        <v>200000</v>
      </c>
      <c r="H153" s="1513">
        <f>F153*G153</f>
        <v>10000</v>
      </c>
    </row>
    <row r="154" spans="2:8" hidden="1" x14ac:dyDescent="0.25">
      <c r="B154" s="1504"/>
      <c r="C154" s="1510"/>
      <c r="D154" s="1510"/>
      <c r="E154" s="1510"/>
      <c r="F154" s="3146" t="s">
        <v>52</v>
      </c>
      <c r="G154" s="3146"/>
      <c r="H154" s="1513">
        <f>SUM(H152:H153)</f>
        <v>67500</v>
      </c>
    </row>
    <row r="155" spans="2:8" hidden="1" x14ac:dyDescent="0.25">
      <c r="B155" s="1504" t="s">
        <v>53</v>
      </c>
      <c r="C155" s="1510" t="s">
        <v>54</v>
      </c>
      <c r="D155" s="1510"/>
      <c r="E155" s="1510"/>
      <c r="F155" s="1511"/>
      <c r="G155" s="1512"/>
      <c r="H155" s="1513"/>
    </row>
    <row r="156" spans="2:8" hidden="1" x14ac:dyDescent="0.25">
      <c r="B156" s="1504"/>
      <c r="C156" s="1510"/>
      <c r="D156" s="1510"/>
      <c r="E156" s="1520"/>
      <c r="F156" s="1511"/>
      <c r="G156" s="1512"/>
      <c r="H156" s="1513">
        <f>F156*G156</f>
        <v>0</v>
      </c>
    </row>
    <row r="157" spans="2:8" hidden="1" x14ac:dyDescent="0.25">
      <c r="B157" s="1504"/>
      <c r="C157" s="1510"/>
      <c r="D157" s="1510"/>
      <c r="E157" s="1510"/>
      <c r="F157" s="3146" t="s">
        <v>59</v>
      </c>
      <c r="G157" s="3146"/>
      <c r="H157" s="1513">
        <f>SUM(H156:H156)</f>
        <v>0</v>
      </c>
    </row>
    <row r="158" spans="2:8" hidden="1" x14ac:dyDescent="0.25">
      <c r="B158" s="1504" t="s">
        <v>5</v>
      </c>
      <c r="C158" s="1510" t="s">
        <v>60</v>
      </c>
      <c r="D158" s="1510"/>
      <c r="E158" s="1510"/>
      <c r="F158" s="1511"/>
      <c r="G158" s="1512"/>
      <c r="H158" s="1513"/>
    </row>
    <row r="159" spans="2:8" hidden="1" x14ac:dyDescent="0.25">
      <c r="B159" s="1504"/>
      <c r="C159" s="1510"/>
      <c r="D159" s="1510"/>
      <c r="E159" s="1510"/>
      <c r="F159" s="1511"/>
      <c r="G159" s="1512"/>
      <c r="H159" s="1513">
        <f>F159*G159</f>
        <v>0</v>
      </c>
    </row>
    <row r="160" spans="2:8" hidden="1" x14ac:dyDescent="0.25">
      <c r="B160" s="1504"/>
      <c r="C160" s="1510"/>
      <c r="D160" s="1510"/>
      <c r="E160" s="1510"/>
      <c r="F160" s="1511" t="s">
        <v>61</v>
      </c>
      <c r="G160" s="1512"/>
      <c r="H160" s="1513">
        <f>SUM(H159:H159)</f>
        <v>0</v>
      </c>
    </row>
    <row r="161" spans="2:8" hidden="1" x14ac:dyDescent="0.25">
      <c r="B161" s="1504"/>
      <c r="C161" s="1510"/>
      <c r="D161" s="1510"/>
      <c r="E161" s="1510"/>
      <c r="F161" s="1511"/>
      <c r="G161" s="1512"/>
      <c r="H161" s="1513"/>
    </row>
    <row r="162" spans="2:8" hidden="1" x14ac:dyDescent="0.25">
      <c r="B162" s="1504" t="s">
        <v>6</v>
      </c>
      <c r="C162" s="3144" t="s">
        <v>62</v>
      </c>
      <c r="D162" s="3144"/>
      <c r="E162" s="3144"/>
      <c r="F162" s="3144"/>
      <c r="G162" s="3144"/>
      <c r="H162" s="1513">
        <f>H154+H157+H160</f>
        <v>67500</v>
      </c>
    </row>
    <row r="163" spans="2:8" hidden="1" x14ac:dyDescent="0.25">
      <c r="B163" s="1504" t="s">
        <v>7</v>
      </c>
      <c r="C163" s="3144" t="s">
        <v>100</v>
      </c>
      <c r="D163" s="3144"/>
      <c r="E163" s="3144"/>
      <c r="F163" s="3148">
        <f>$J$2</f>
        <v>0.15</v>
      </c>
      <c r="G163" s="3144"/>
      <c r="H163" s="1513">
        <f>F163*H162</f>
        <v>10125</v>
      </c>
    </row>
    <row r="164" spans="2:8" hidden="1" x14ac:dyDescent="0.25">
      <c r="B164" s="1504" t="s">
        <v>63</v>
      </c>
      <c r="C164" s="3144" t="s">
        <v>64</v>
      </c>
      <c r="D164" s="3144"/>
      <c r="E164" s="3144"/>
      <c r="F164" s="3144"/>
      <c r="G164" s="3144"/>
      <c r="H164" s="1513">
        <f>H162+H163</f>
        <v>77625</v>
      </c>
    </row>
    <row r="165" spans="2:8" hidden="1" x14ac:dyDescent="0.25">
      <c r="B165" s="1521"/>
      <c r="C165" s="1522" t="s">
        <v>878</v>
      </c>
      <c r="D165" s="1523"/>
      <c r="E165" s="1523"/>
      <c r="F165" s="1523"/>
      <c r="G165" s="1523"/>
      <c r="H165" s="1524">
        <f>ROUNDDOWN(H164,2)</f>
        <v>77625</v>
      </c>
    </row>
    <row r="166" spans="2:8" hidden="1" x14ac:dyDescent="0.25">
      <c r="B166" s="1504"/>
      <c r="C166" s="1510"/>
      <c r="D166" s="1510"/>
      <c r="E166" s="1510"/>
      <c r="F166" s="1511"/>
      <c r="G166" s="1512"/>
      <c r="H166" s="1513"/>
    </row>
    <row r="167" spans="2:8" hidden="1" x14ac:dyDescent="0.25">
      <c r="B167" s="1505" t="s">
        <v>77</v>
      </c>
      <c r="C167" s="1509" t="s">
        <v>78</v>
      </c>
      <c r="D167" s="1510"/>
      <c r="E167" s="1510"/>
      <c r="F167" s="1511"/>
      <c r="G167" s="1512"/>
      <c r="H167" s="1513"/>
    </row>
    <row r="168" spans="2:8" s="1514" customFormat="1" ht="27" hidden="1" customHeight="1" x14ac:dyDescent="0.25">
      <c r="B168" s="1515" t="s">
        <v>12</v>
      </c>
      <c r="C168" s="1516" t="s">
        <v>36</v>
      </c>
      <c r="D168" s="1516" t="s">
        <v>37</v>
      </c>
      <c r="E168" s="1516" t="s">
        <v>14</v>
      </c>
      <c r="F168" s="1517" t="s">
        <v>38</v>
      </c>
      <c r="G168" s="1518" t="s">
        <v>39</v>
      </c>
      <c r="H168" s="1519" t="s">
        <v>40</v>
      </c>
    </row>
    <row r="169" spans="2:8" hidden="1" x14ac:dyDescent="0.25">
      <c r="B169" s="1504" t="s">
        <v>41</v>
      </c>
      <c r="C169" s="1510" t="s">
        <v>42</v>
      </c>
      <c r="D169" s="1510"/>
      <c r="E169" s="1510"/>
      <c r="F169" s="1511"/>
      <c r="G169" s="1512"/>
      <c r="H169" s="1513"/>
    </row>
    <row r="170" spans="2:8" hidden="1" x14ac:dyDescent="0.25">
      <c r="B170" s="1504"/>
      <c r="C170" s="1510" t="s">
        <v>43</v>
      </c>
      <c r="D170" s="1520" t="s">
        <v>44</v>
      </c>
      <c r="E170" s="1520" t="s">
        <v>45</v>
      </c>
      <c r="F170" s="1511">
        <v>0.3</v>
      </c>
      <c r="G170" s="1512">
        <f>UPAH!$F$13</f>
        <v>115000</v>
      </c>
      <c r="H170" s="1513">
        <f>F170*G170</f>
        <v>34500</v>
      </c>
    </row>
    <row r="171" spans="2:8" hidden="1" x14ac:dyDescent="0.25">
      <c r="B171" s="1504"/>
      <c r="C171" s="1510" t="s">
        <v>50</v>
      </c>
      <c r="D171" s="1520" t="s">
        <v>51</v>
      </c>
      <c r="E171" s="1520" t="s">
        <v>45</v>
      </c>
      <c r="F171" s="1511">
        <v>0.01</v>
      </c>
      <c r="G171" s="1512">
        <f>UPAH!$F$10</f>
        <v>200000</v>
      </c>
      <c r="H171" s="1513">
        <f>F171*G171</f>
        <v>2000</v>
      </c>
    </row>
    <row r="172" spans="2:8" hidden="1" x14ac:dyDescent="0.25">
      <c r="B172" s="1504"/>
      <c r="C172" s="1510"/>
      <c r="D172" s="1510"/>
      <c r="E172" s="1510"/>
      <c r="F172" s="3146" t="s">
        <v>52</v>
      </c>
      <c r="G172" s="3146"/>
      <c r="H172" s="1513">
        <f>SUM(H169:H171)</f>
        <v>36500</v>
      </c>
    </row>
    <row r="173" spans="2:8" hidden="1" x14ac:dyDescent="0.25">
      <c r="B173" s="1504" t="s">
        <v>53</v>
      </c>
      <c r="C173" s="1510" t="s">
        <v>54</v>
      </c>
      <c r="D173" s="1510"/>
      <c r="E173" s="1510"/>
      <c r="F173" s="1511"/>
      <c r="G173" s="1512"/>
      <c r="H173" s="1513"/>
    </row>
    <row r="174" spans="2:8" hidden="1" x14ac:dyDescent="0.25">
      <c r="B174" s="1504"/>
      <c r="C174" s="1510" t="s">
        <v>4</v>
      </c>
      <c r="D174" s="1510"/>
      <c r="E174" s="1520" t="s">
        <v>57</v>
      </c>
      <c r="F174" s="1511">
        <v>1.2</v>
      </c>
      <c r="G174" s="1512">
        <f>BAHAN!$G$24</f>
        <v>177200</v>
      </c>
      <c r="H174" s="1513">
        <f>F174*G174</f>
        <v>212640</v>
      </c>
    </row>
    <row r="175" spans="2:8" hidden="1" x14ac:dyDescent="0.25">
      <c r="B175" s="1504"/>
      <c r="C175" s="1510"/>
      <c r="D175" s="1510"/>
      <c r="E175" s="1510"/>
      <c r="F175" s="3146" t="s">
        <v>59</v>
      </c>
      <c r="G175" s="3146"/>
      <c r="H175" s="1513">
        <f>SUM(H174)</f>
        <v>212640</v>
      </c>
    </row>
    <row r="176" spans="2:8" hidden="1" x14ac:dyDescent="0.25">
      <c r="B176" s="1504" t="s">
        <v>5</v>
      </c>
      <c r="C176" s="1510" t="s">
        <v>60</v>
      </c>
      <c r="D176" s="1510"/>
      <c r="E176" s="1510"/>
      <c r="F176" s="1511"/>
      <c r="G176" s="1512"/>
      <c r="H176" s="1513"/>
    </row>
    <row r="177" spans="2:8" hidden="1" x14ac:dyDescent="0.25">
      <c r="B177" s="1504"/>
      <c r="C177" s="1510"/>
      <c r="D177" s="1510"/>
      <c r="E177" s="1510"/>
      <c r="F177" s="1511" t="s">
        <v>61</v>
      </c>
      <c r="G177" s="1512"/>
      <c r="H177" s="1513">
        <v>0</v>
      </c>
    </row>
    <row r="178" spans="2:8" hidden="1" x14ac:dyDescent="0.25">
      <c r="B178" s="1504"/>
      <c r="C178" s="1510"/>
      <c r="D178" s="1510"/>
      <c r="E178" s="1510"/>
      <c r="F178" s="1511"/>
      <c r="G178" s="1512"/>
      <c r="H178" s="1513"/>
    </row>
    <row r="179" spans="2:8" hidden="1" x14ac:dyDescent="0.25">
      <c r="B179" s="1504" t="s">
        <v>6</v>
      </c>
      <c r="C179" s="3144" t="s">
        <v>62</v>
      </c>
      <c r="D179" s="3144"/>
      <c r="E179" s="3144"/>
      <c r="F179" s="3144"/>
      <c r="G179" s="3144"/>
      <c r="H179" s="1513">
        <f>H172+H175+H177</f>
        <v>249140</v>
      </c>
    </row>
    <row r="180" spans="2:8" hidden="1" x14ac:dyDescent="0.25">
      <c r="B180" s="1504" t="s">
        <v>7</v>
      </c>
      <c r="C180" s="3144" t="s">
        <v>100</v>
      </c>
      <c r="D180" s="3144"/>
      <c r="E180" s="3144"/>
      <c r="F180" s="3148">
        <f>$J$2</f>
        <v>0.15</v>
      </c>
      <c r="G180" s="3144"/>
      <c r="H180" s="1513">
        <f>F180*H179</f>
        <v>37371</v>
      </c>
    </row>
    <row r="181" spans="2:8" hidden="1" x14ac:dyDescent="0.25">
      <c r="B181" s="1504" t="s">
        <v>63</v>
      </c>
      <c r="C181" s="3144" t="s">
        <v>64</v>
      </c>
      <c r="D181" s="3144"/>
      <c r="E181" s="3144"/>
      <c r="F181" s="3144"/>
      <c r="G181" s="3144"/>
      <c r="H181" s="1513">
        <f>H179+H180</f>
        <v>286511</v>
      </c>
    </row>
    <row r="182" spans="2:8" hidden="1" x14ac:dyDescent="0.25">
      <c r="B182" s="1521"/>
      <c r="C182" s="1522" t="s">
        <v>878</v>
      </c>
      <c r="D182" s="1523"/>
      <c r="E182" s="1523"/>
      <c r="F182" s="1523"/>
      <c r="G182" s="1523"/>
      <c r="H182" s="1524">
        <f>ROUNDDOWN(H181,2)</f>
        <v>286511</v>
      </c>
    </row>
    <row r="183" spans="2:8" hidden="1" x14ac:dyDescent="0.25">
      <c r="B183" s="1504"/>
      <c r="C183" s="1510"/>
      <c r="D183" s="1510"/>
      <c r="E183" s="1510"/>
      <c r="F183" s="1511"/>
      <c r="G183" s="1512"/>
      <c r="H183" s="1513"/>
    </row>
    <row r="184" spans="2:8" hidden="1" x14ac:dyDescent="0.25">
      <c r="B184" s="1505" t="s">
        <v>232</v>
      </c>
      <c r="C184" s="1509" t="s">
        <v>234</v>
      </c>
      <c r="D184" s="1510"/>
      <c r="E184" s="1510"/>
      <c r="F184" s="1511"/>
      <c r="G184" s="1512"/>
      <c r="H184" s="1513"/>
    </row>
    <row r="185" spans="2:8" s="1514" customFormat="1" ht="27" hidden="1" customHeight="1" x14ac:dyDescent="0.25">
      <c r="B185" s="1515" t="s">
        <v>12</v>
      </c>
      <c r="C185" s="1516" t="s">
        <v>36</v>
      </c>
      <c r="D185" s="1516" t="s">
        <v>37</v>
      </c>
      <c r="E185" s="1516" t="s">
        <v>14</v>
      </c>
      <c r="F185" s="1517" t="s">
        <v>38</v>
      </c>
      <c r="G185" s="1518" t="s">
        <v>39</v>
      </c>
      <c r="H185" s="1519" t="s">
        <v>40</v>
      </c>
    </row>
    <row r="186" spans="2:8" hidden="1" x14ac:dyDescent="0.25">
      <c r="B186" s="1504" t="s">
        <v>41</v>
      </c>
      <c r="C186" s="1510" t="s">
        <v>42</v>
      </c>
      <c r="D186" s="1510"/>
      <c r="E186" s="1510"/>
      <c r="F186" s="1511"/>
      <c r="G186" s="1512"/>
      <c r="H186" s="1513"/>
    </row>
    <row r="187" spans="2:8" hidden="1" x14ac:dyDescent="0.25">
      <c r="B187" s="1504"/>
      <c r="C187" s="1510" t="s">
        <v>43</v>
      </c>
      <c r="D187" s="1520" t="s">
        <v>44</v>
      </c>
      <c r="E187" s="1520" t="s">
        <v>45</v>
      </c>
      <c r="F187" s="1511">
        <v>0.3</v>
      </c>
      <c r="G187" s="1512">
        <f>UPAH!$F$13</f>
        <v>115000</v>
      </c>
      <c r="H187" s="1513">
        <f>F187*G187</f>
        <v>34500</v>
      </c>
    </row>
    <row r="188" spans="2:8" hidden="1" x14ac:dyDescent="0.25">
      <c r="B188" s="1504"/>
      <c r="C188" s="1510" t="s">
        <v>50</v>
      </c>
      <c r="D188" s="1520" t="s">
        <v>51</v>
      </c>
      <c r="E188" s="1520" t="s">
        <v>45</v>
      </c>
      <c r="F188" s="1511">
        <v>0.01</v>
      </c>
      <c r="G188" s="1512">
        <f>UPAH!$F$10</f>
        <v>200000</v>
      </c>
      <c r="H188" s="1513">
        <f>F188*G188</f>
        <v>2000</v>
      </c>
    </row>
    <row r="189" spans="2:8" hidden="1" x14ac:dyDescent="0.25">
      <c r="B189" s="1504"/>
      <c r="C189" s="1510"/>
      <c r="D189" s="1510"/>
      <c r="E189" s="1510"/>
      <c r="F189" s="3146" t="s">
        <v>52</v>
      </c>
      <c r="G189" s="3146"/>
      <c r="H189" s="1513">
        <f>SUM(H186:H188)</f>
        <v>36500</v>
      </c>
    </row>
    <row r="190" spans="2:8" hidden="1" x14ac:dyDescent="0.25">
      <c r="B190" s="1504" t="s">
        <v>53</v>
      </c>
      <c r="C190" s="1510" t="s">
        <v>54</v>
      </c>
      <c r="D190" s="1510"/>
      <c r="E190" s="1510"/>
      <c r="F190" s="1511"/>
      <c r="G190" s="1512"/>
      <c r="H190" s="1513"/>
    </row>
    <row r="191" spans="2:8" hidden="1" x14ac:dyDescent="0.25">
      <c r="B191" s="1504"/>
      <c r="C191" s="1510" t="s">
        <v>233</v>
      </c>
      <c r="D191" s="1510"/>
      <c r="E191" s="1520" t="s">
        <v>57</v>
      </c>
      <c r="F191" s="1511">
        <v>1.2</v>
      </c>
      <c r="G191" s="1512">
        <f>BAHAN!G25</f>
        <v>250000</v>
      </c>
      <c r="H191" s="1513">
        <f>F191*G191</f>
        <v>300000</v>
      </c>
    </row>
    <row r="192" spans="2:8" hidden="1" x14ac:dyDescent="0.25">
      <c r="B192" s="1504"/>
      <c r="C192" s="1510"/>
      <c r="D192" s="1510"/>
      <c r="E192" s="1510"/>
      <c r="F192" s="3146" t="s">
        <v>59</v>
      </c>
      <c r="G192" s="3146"/>
      <c r="H192" s="1513">
        <f>SUM(H191)</f>
        <v>300000</v>
      </c>
    </row>
    <row r="193" spans="2:8" hidden="1" x14ac:dyDescent="0.25">
      <c r="B193" s="1504" t="s">
        <v>5</v>
      </c>
      <c r="C193" s="1510" t="s">
        <v>60</v>
      </c>
      <c r="D193" s="1510"/>
      <c r="E193" s="1510"/>
      <c r="F193" s="1511"/>
      <c r="G193" s="1512"/>
      <c r="H193" s="1513"/>
    </row>
    <row r="194" spans="2:8" hidden="1" x14ac:dyDescent="0.25">
      <c r="B194" s="1504"/>
      <c r="C194" s="1510"/>
      <c r="D194" s="1510"/>
      <c r="E194" s="1510"/>
      <c r="F194" s="1511" t="s">
        <v>61</v>
      </c>
      <c r="G194" s="1512"/>
      <c r="H194" s="1513">
        <v>0</v>
      </c>
    </row>
    <row r="195" spans="2:8" hidden="1" x14ac:dyDescent="0.25">
      <c r="B195" s="1504"/>
      <c r="C195" s="1510"/>
      <c r="D195" s="1510"/>
      <c r="E195" s="1510"/>
      <c r="F195" s="1511"/>
      <c r="G195" s="1512"/>
      <c r="H195" s="1513"/>
    </row>
    <row r="196" spans="2:8" hidden="1" x14ac:dyDescent="0.25">
      <c r="B196" s="1504" t="s">
        <v>6</v>
      </c>
      <c r="C196" s="3144" t="s">
        <v>62</v>
      </c>
      <c r="D196" s="3144"/>
      <c r="E196" s="3144"/>
      <c r="F196" s="3144"/>
      <c r="G196" s="3144"/>
      <c r="H196" s="1513">
        <f>H189+H192+H194</f>
        <v>336500</v>
      </c>
    </row>
    <row r="197" spans="2:8" hidden="1" x14ac:dyDescent="0.25">
      <c r="B197" s="1504" t="s">
        <v>7</v>
      </c>
      <c r="C197" s="3144" t="s">
        <v>100</v>
      </c>
      <c r="D197" s="3144"/>
      <c r="E197" s="3144"/>
      <c r="F197" s="3148">
        <f>$J$2</f>
        <v>0.15</v>
      </c>
      <c r="G197" s="3144"/>
      <c r="H197" s="1513">
        <f>F197*H196</f>
        <v>50475</v>
      </c>
    </row>
    <row r="198" spans="2:8" hidden="1" x14ac:dyDescent="0.25">
      <c r="B198" s="1504" t="s">
        <v>63</v>
      </c>
      <c r="C198" s="3144" t="s">
        <v>64</v>
      </c>
      <c r="D198" s="3144"/>
      <c r="E198" s="3144"/>
      <c r="F198" s="3144"/>
      <c r="G198" s="3144"/>
      <c r="H198" s="1513">
        <f>H196+H197</f>
        <v>386975</v>
      </c>
    </row>
    <row r="199" spans="2:8" hidden="1" x14ac:dyDescent="0.25">
      <c r="B199" s="1521"/>
      <c r="C199" s="1522" t="s">
        <v>878</v>
      </c>
      <c r="D199" s="1523"/>
      <c r="E199" s="1523"/>
      <c r="F199" s="1523"/>
      <c r="G199" s="1523"/>
      <c r="H199" s="1524">
        <f>ROUNDDOWN(H198,2)</f>
        <v>386975</v>
      </c>
    </row>
    <row r="200" spans="2:8" hidden="1" x14ac:dyDescent="0.25">
      <c r="B200" s="1504"/>
      <c r="C200" s="1525"/>
      <c r="D200" s="1525"/>
      <c r="E200" s="1525"/>
      <c r="F200" s="1526"/>
      <c r="G200" s="1525"/>
      <c r="H200" s="1513"/>
    </row>
    <row r="201" spans="2:8" hidden="1" x14ac:dyDescent="0.25">
      <c r="B201" s="1505" t="s">
        <v>167</v>
      </c>
      <c r="C201" s="1509" t="s">
        <v>168</v>
      </c>
      <c r="D201" s="1510"/>
      <c r="E201" s="1510"/>
      <c r="F201" s="1511"/>
      <c r="G201" s="1512"/>
      <c r="H201" s="1513"/>
    </row>
    <row r="202" spans="2:8" s="1514" customFormat="1" ht="27" hidden="1" customHeight="1" x14ac:dyDescent="0.25">
      <c r="B202" s="1515" t="s">
        <v>12</v>
      </c>
      <c r="C202" s="1516" t="s">
        <v>36</v>
      </c>
      <c r="D202" s="1516" t="s">
        <v>37</v>
      </c>
      <c r="E202" s="1516" t="s">
        <v>14</v>
      </c>
      <c r="F202" s="1517" t="s">
        <v>38</v>
      </c>
      <c r="G202" s="1518" t="s">
        <v>39</v>
      </c>
      <c r="H202" s="1519" t="s">
        <v>40</v>
      </c>
    </row>
    <row r="203" spans="2:8" hidden="1" x14ac:dyDescent="0.25">
      <c r="B203" s="1504" t="s">
        <v>41</v>
      </c>
      <c r="C203" s="1510" t="s">
        <v>42</v>
      </c>
      <c r="D203" s="1510"/>
      <c r="E203" s="1510"/>
      <c r="F203" s="1511"/>
      <c r="G203" s="1512"/>
      <c r="H203" s="1513"/>
    </row>
    <row r="204" spans="2:8" hidden="1" x14ac:dyDescent="0.25">
      <c r="B204" s="1504"/>
      <c r="C204" s="1510" t="s">
        <v>43</v>
      </c>
      <c r="D204" s="1520" t="s">
        <v>44</v>
      </c>
      <c r="E204" s="1520" t="s">
        <v>45</v>
      </c>
      <c r="F204" s="1511">
        <v>0.25</v>
      </c>
      <c r="G204" s="1512">
        <f>UPAH!$F$13</f>
        <v>115000</v>
      </c>
      <c r="H204" s="1513">
        <f>F204*G204</f>
        <v>28750</v>
      </c>
    </row>
    <row r="205" spans="2:8" hidden="1" x14ac:dyDescent="0.25">
      <c r="B205" s="1504"/>
      <c r="C205" s="1510" t="s">
        <v>50</v>
      </c>
      <c r="D205" s="1520" t="s">
        <v>51</v>
      </c>
      <c r="E205" s="1520" t="s">
        <v>45</v>
      </c>
      <c r="F205" s="1511">
        <v>2.5000000000000001E-2</v>
      </c>
      <c r="G205" s="1512">
        <f>UPAH!$F$10</f>
        <v>200000</v>
      </c>
      <c r="H205" s="1513">
        <f>F205*G205</f>
        <v>5000</v>
      </c>
    </row>
    <row r="206" spans="2:8" hidden="1" x14ac:dyDescent="0.25">
      <c r="B206" s="1504"/>
      <c r="C206" s="1510"/>
      <c r="D206" s="1510"/>
      <c r="E206" s="1510"/>
      <c r="F206" s="3146" t="s">
        <v>52</v>
      </c>
      <c r="G206" s="3146"/>
      <c r="H206" s="1513">
        <f>SUM(H203:H205)</f>
        <v>33750</v>
      </c>
    </row>
    <row r="207" spans="2:8" hidden="1" x14ac:dyDescent="0.25">
      <c r="B207" s="1504" t="s">
        <v>53</v>
      </c>
      <c r="C207" s="1510" t="s">
        <v>54</v>
      </c>
      <c r="D207" s="1510"/>
      <c r="E207" s="1510"/>
      <c r="F207" s="1511"/>
      <c r="G207" s="1512"/>
      <c r="H207" s="1513"/>
    </row>
    <row r="208" spans="2:8" hidden="1" x14ac:dyDescent="0.25">
      <c r="B208" s="1504"/>
      <c r="C208" s="1510" t="s">
        <v>169</v>
      </c>
      <c r="D208" s="1510"/>
      <c r="E208" s="1520" t="s">
        <v>57</v>
      </c>
      <c r="F208" s="1511">
        <v>1.2</v>
      </c>
      <c r="G208" s="1507">
        <f>BAHAN!G27</f>
        <v>263750</v>
      </c>
      <c r="H208" s="1513">
        <f>F208*G208</f>
        <v>316500</v>
      </c>
    </row>
    <row r="209" spans="2:8" hidden="1" x14ac:dyDescent="0.25">
      <c r="B209" s="1504"/>
      <c r="C209" s="1510"/>
      <c r="D209" s="1510"/>
      <c r="E209" s="1510"/>
      <c r="F209" s="3146" t="s">
        <v>59</v>
      </c>
      <c r="G209" s="3146"/>
      <c r="H209" s="1513">
        <f>SUM(H208)</f>
        <v>316500</v>
      </c>
    </row>
    <row r="210" spans="2:8" hidden="1" x14ac:dyDescent="0.25">
      <c r="B210" s="1504" t="s">
        <v>5</v>
      </c>
      <c r="C210" s="1510" t="s">
        <v>60</v>
      </c>
      <c r="D210" s="1510"/>
      <c r="E210" s="1510"/>
      <c r="F210" s="1511"/>
      <c r="G210" s="1512"/>
      <c r="H210" s="1513"/>
    </row>
    <row r="211" spans="2:8" hidden="1" x14ac:dyDescent="0.25">
      <c r="B211" s="1504"/>
      <c r="C211" s="1510"/>
      <c r="D211" s="1510"/>
      <c r="E211" s="1510"/>
      <c r="F211" s="1511" t="s">
        <v>61</v>
      </c>
      <c r="G211" s="1512"/>
      <c r="H211" s="1513">
        <v>0</v>
      </c>
    </row>
    <row r="212" spans="2:8" hidden="1" x14ac:dyDescent="0.25">
      <c r="B212" s="1504"/>
      <c r="C212" s="1510"/>
      <c r="D212" s="1510"/>
      <c r="E212" s="1510"/>
      <c r="F212" s="1511"/>
      <c r="G212" s="1512"/>
      <c r="H212" s="1513"/>
    </row>
    <row r="213" spans="2:8" hidden="1" x14ac:dyDescent="0.25">
      <c r="B213" s="1504" t="s">
        <v>6</v>
      </c>
      <c r="C213" s="3144" t="s">
        <v>62</v>
      </c>
      <c r="D213" s="3144"/>
      <c r="E213" s="3144"/>
      <c r="F213" s="3144"/>
      <c r="G213" s="3144"/>
      <c r="H213" s="1513">
        <f>H206+H209+H211</f>
        <v>350250</v>
      </c>
    </row>
    <row r="214" spans="2:8" hidden="1" x14ac:dyDescent="0.25">
      <c r="B214" s="1504" t="s">
        <v>7</v>
      </c>
      <c r="C214" s="3144" t="s">
        <v>100</v>
      </c>
      <c r="D214" s="3144"/>
      <c r="E214" s="3144"/>
      <c r="F214" s="3148">
        <f>$J$2</f>
        <v>0.15</v>
      </c>
      <c r="G214" s="3144"/>
      <c r="H214" s="1513">
        <f>F214*H213</f>
        <v>52537.5</v>
      </c>
    </row>
    <row r="215" spans="2:8" hidden="1" x14ac:dyDescent="0.25">
      <c r="B215" s="1504" t="s">
        <v>63</v>
      </c>
      <c r="C215" s="3144" t="s">
        <v>64</v>
      </c>
      <c r="D215" s="3144"/>
      <c r="E215" s="3144"/>
      <c r="F215" s="3144"/>
      <c r="G215" s="3144"/>
      <c r="H215" s="1513">
        <f>H213+H214</f>
        <v>402787.5</v>
      </c>
    </row>
    <row r="216" spans="2:8" hidden="1" x14ac:dyDescent="0.25">
      <c r="B216" s="1521"/>
      <c r="C216" s="1522" t="s">
        <v>878</v>
      </c>
      <c r="D216" s="1523"/>
      <c r="E216" s="1523"/>
      <c r="F216" s="1523"/>
      <c r="G216" s="1523"/>
      <c r="H216" s="1524">
        <f>ROUNDDOWN(H215,2)</f>
        <v>402787.5</v>
      </c>
    </row>
    <row r="217" spans="2:8" hidden="1" x14ac:dyDescent="0.25"/>
    <row r="218" spans="2:8" s="1504" customFormat="1" hidden="1" x14ac:dyDescent="0.25">
      <c r="B218" s="1505" t="s">
        <v>81</v>
      </c>
      <c r="C218" s="1505" t="s">
        <v>82</v>
      </c>
      <c r="F218" s="1506"/>
      <c r="G218" s="1507"/>
      <c r="H218" s="1508"/>
    </row>
    <row r="219" spans="2:8" s="1504" customFormat="1" hidden="1" x14ac:dyDescent="0.25">
      <c r="B219" s="1505" t="s">
        <v>1446</v>
      </c>
      <c r="C219" s="1505" t="s">
        <v>1447</v>
      </c>
      <c r="F219" s="1506"/>
      <c r="G219" s="1507"/>
      <c r="H219" s="1508"/>
    </row>
    <row r="220" spans="2:8" s="1504" customFormat="1" ht="27" hidden="1" x14ac:dyDescent="0.25">
      <c r="B220" s="1515" t="s">
        <v>12</v>
      </c>
      <c r="C220" s="1516" t="s">
        <v>36</v>
      </c>
      <c r="D220" s="1516" t="s">
        <v>37</v>
      </c>
      <c r="E220" s="1516" t="s">
        <v>14</v>
      </c>
      <c r="F220" s="1517" t="s">
        <v>38</v>
      </c>
      <c r="G220" s="1518" t="s">
        <v>39</v>
      </c>
      <c r="H220" s="1519" t="s">
        <v>40</v>
      </c>
    </row>
    <row r="221" spans="2:8" s="1504" customFormat="1" hidden="1" x14ac:dyDescent="0.25">
      <c r="B221" s="1505" t="s">
        <v>41</v>
      </c>
      <c r="C221" s="1505" t="s">
        <v>42</v>
      </c>
      <c r="F221" s="1506"/>
      <c r="G221" s="1507"/>
      <c r="H221" s="1508"/>
    </row>
    <row r="222" spans="2:8" s="1504" customFormat="1" hidden="1" x14ac:dyDescent="0.25">
      <c r="B222" s="1505"/>
      <c r="C222" s="1505" t="s">
        <v>71</v>
      </c>
      <c r="D222" s="1504" t="s">
        <v>44</v>
      </c>
      <c r="E222" s="1504" t="s">
        <v>45</v>
      </c>
      <c r="F222" s="1506">
        <v>1.65</v>
      </c>
      <c r="G222" s="1507">
        <f>G240</f>
        <v>115000</v>
      </c>
      <c r="H222" s="1508">
        <f>G222*F222</f>
        <v>189750</v>
      </c>
    </row>
    <row r="223" spans="2:8" s="1504" customFormat="1" ht="14.25" hidden="1" customHeight="1" x14ac:dyDescent="0.25">
      <c r="B223" s="1505"/>
      <c r="C223" s="1505" t="s">
        <v>68</v>
      </c>
      <c r="D223" s="1504" t="s">
        <v>47</v>
      </c>
      <c r="E223" s="1504" t="s">
        <v>45</v>
      </c>
      <c r="F223" s="1506">
        <v>0.27500000000000002</v>
      </c>
      <c r="G223" s="1507">
        <f t="shared" ref="G223:G225" si="3">G241</f>
        <v>170000</v>
      </c>
      <c r="H223" s="1508">
        <f t="shared" ref="H223:H225" si="4">G223*F223</f>
        <v>46750.000000000007</v>
      </c>
    </row>
    <row r="224" spans="2:8" s="1504" customFormat="1" ht="14.25" hidden="1" customHeight="1" x14ac:dyDescent="0.25">
      <c r="B224" s="1505"/>
      <c r="C224" s="1505" t="s">
        <v>48</v>
      </c>
      <c r="D224" s="1504" t="s">
        <v>49</v>
      </c>
      <c r="E224" s="1504" t="s">
        <v>45</v>
      </c>
      <c r="F224" s="1506">
        <v>2.8000000000000001E-2</v>
      </c>
      <c r="G224" s="1507">
        <f t="shared" si="3"/>
        <v>185000</v>
      </c>
      <c r="H224" s="1508">
        <f t="shared" si="4"/>
        <v>5180</v>
      </c>
    </row>
    <row r="225" spans="2:8" s="1504" customFormat="1" hidden="1" x14ac:dyDescent="0.25">
      <c r="B225" s="1505"/>
      <c r="C225" s="1505" t="s">
        <v>50</v>
      </c>
      <c r="D225" s="1504" t="s">
        <v>51</v>
      </c>
      <c r="E225" s="1504" t="s">
        <v>45</v>
      </c>
      <c r="F225" s="1506">
        <v>8.3000000000000004E-2</v>
      </c>
      <c r="G225" s="1507">
        <f t="shared" si="3"/>
        <v>200000</v>
      </c>
      <c r="H225" s="1508">
        <f t="shared" si="4"/>
        <v>16600</v>
      </c>
    </row>
    <row r="226" spans="2:8" s="1504" customFormat="1" hidden="1" x14ac:dyDescent="0.25">
      <c r="B226" s="1505"/>
      <c r="C226" s="1505"/>
      <c r="F226" s="1506" t="s">
        <v>52</v>
      </c>
      <c r="G226" s="1507"/>
      <c r="H226" s="1508">
        <f>SUM(H222:H225)</f>
        <v>258280</v>
      </c>
    </row>
    <row r="227" spans="2:8" s="1504" customFormat="1" hidden="1" x14ac:dyDescent="0.25">
      <c r="B227" s="1505" t="s">
        <v>53</v>
      </c>
      <c r="C227" s="1505" t="s">
        <v>54</v>
      </c>
      <c r="F227" s="1506"/>
      <c r="G227" s="1507"/>
      <c r="H227" s="1508"/>
    </row>
    <row r="228" spans="2:8" s="1504" customFormat="1" hidden="1" x14ac:dyDescent="0.25">
      <c r="B228" s="1505"/>
      <c r="C228" s="1505" t="s">
        <v>55</v>
      </c>
      <c r="E228" s="1504" t="s">
        <v>89</v>
      </c>
      <c r="F228" s="1506">
        <v>384</v>
      </c>
      <c r="G228" s="1507">
        <f>G246</f>
        <v>2000</v>
      </c>
      <c r="H228" s="1508">
        <f>G228*F228</f>
        <v>768000</v>
      </c>
    </row>
    <row r="229" spans="2:8" s="1504" customFormat="1" hidden="1" x14ac:dyDescent="0.25">
      <c r="B229" s="1505"/>
      <c r="C229" s="1505" t="s">
        <v>56</v>
      </c>
      <c r="E229" s="1504" t="s">
        <v>89</v>
      </c>
      <c r="F229" s="1506">
        <v>692</v>
      </c>
      <c r="G229" s="1507">
        <f t="shared" ref="G229:G231" si="5">G247</f>
        <v>148.57142857142858</v>
      </c>
      <c r="H229" s="1508">
        <f t="shared" ref="H229:H231" si="6">G229*F229</f>
        <v>102811.42857142858</v>
      </c>
    </row>
    <row r="230" spans="2:8" s="1504" customFormat="1" hidden="1" x14ac:dyDescent="0.25">
      <c r="B230" s="1505"/>
      <c r="C230" s="1505" t="s">
        <v>1448</v>
      </c>
      <c r="E230" s="1504" t="s">
        <v>89</v>
      </c>
      <c r="F230" s="1506">
        <v>1039</v>
      </c>
      <c r="G230" s="1507">
        <f t="shared" si="5"/>
        <v>296.2962962962963</v>
      </c>
      <c r="H230" s="1508">
        <f t="shared" si="6"/>
        <v>307851.85185185185</v>
      </c>
    </row>
    <row r="231" spans="2:8" s="1504" customFormat="1" hidden="1" x14ac:dyDescent="0.25">
      <c r="B231" s="1505"/>
      <c r="C231" s="1505" t="s">
        <v>83</v>
      </c>
      <c r="E231" s="1504" t="s">
        <v>58</v>
      </c>
      <c r="F231" s="1506">
        <v>215</v>
      </c>
      <c r="G231" s="1507">
        <f t="shared" si="5"/>
        <v>25</v>
      </c>
      <c r="H231" s="1508">
        <f t="shared" si="6"/>
        <v>5375</v>
      </c>
    </row>
    <row r="232" spans="2:8" s="1504" customFormat="1" hidden="1" x14ac:dyDescent="0.25">
      <c r="B232" s="1505"/>
      <c r="C232" s="1505"/>
      <c r="F232" s="1506" t="s">
        <v>59</v>
      </c>
      <c r="G232" s="1507"/>
      <c r="H232" s="1508">
        <f>SUM(H228:H231)</f>
        <v>1184038.2804232806</v>
      </c>
    </row>
    <row r="233" spans="2:8" s="1504" customFormat="1" hidden="1" x14ac:dyDescent="0.25">
      <c r="B233" s="1505" t="s">
        <v>5</v>
      </c>
      <c r="C233" s="1505" t="s">
        <v>1438</v>
      </c>
      <c r="F233" s="1506"/>
      <c r="G233" s="1507"/>
      <c r="H233" s="1508">
        <f>H226+H232</f>
        <v>1442318.2804232806</v>
      </c>
    </row>
    <row r="234" spans="2:8" s="1504" customFormat="1" hidden="1" x14ac:dyDescent="0.25">
      <c r="B234" s="1505" t="s">
        <v>6</v>
      </c>
      <c r="C234" s="1505" t="s">
        <v>1449</v>
      </c>
      <c r="F234" s="1506" t="s">
        <v>1440</v>
      </c>
      <c r="G234" s="1507"/>
      <c r="H234" s="1508">
        <f>H233*15%</f>
        <v>216347.74206349207</v>
      </c>
    </row>
    <row r="235" spans="2:8" s="1504" customFormat="1" hidden="1" x14ac:dyDescent="0.25">
      <c r="B235" s="1505" t="s">
        <v>7</v>
      </c>
      <c r="C235" s="1505" t="s">
        <v>1441</v>
      </c>
      <c r="F235" s="1506"/>
      <c r="G235" s="1507"/>
      <c r="H235" s="2968">
        <f>SUM(H233:H234)</f>
        <v>1658666.0224867726</v>
      </c>
    </row>
    <row r="236" spans="2:8" s="1504" customFormat="1" hidden="1" x14ac:dyDescent="0.25">
      <c r="B236" s="1505"/>
      <c r="C236" s="1505"/>
      <c r="F236" s="1506"/>
      <c r="G236" s="1507"/>
      <c r="H236" s="1508"/>
    </row>
    <row r="237" spans="2:8" hidden="1" x14ac:dyDescent="0.25">
      <c r="B237" s="1505" t="s">
        <v>1346</v>
      </c>
      <c r="C237" s="1509" t="s">
        <v>1347</v>
      </c>
      <c r="D237" s="1510"/>
      <c r="E237" s="1510"/>
      <c r="F237" s="1511"/>
      <c r="G237" s="1512"/>
      <c r="H237" s="1513"/>
    </row>
    <row r="238" spans="2:8" ht="27" hidden="1" x14ac:dyDescent="0.25">
      <c r="B238" s="1515" t="s">
        <v>12</v>
      </c>
      <c r="C238" s="1516" t="s">
        <v>36</v>
      </c>
      <c r="D238" s="1516" t="s">
        <v>37</v>
      </c>
      <c r="E238" s="1516" t="s">
        <v>14</v>
      </c>
      <c r="F238" s="1517" t="s">
        <v>38</v>
      </c>
      <c r="G238" s="1518" t="s">
        <v>39</v>
      </c>
      <c r="H238" s="1519" t="s">
        <v>40</v>
      </c>
    </row>
    <row r="239" spans="2:8" hidden="1" x14ac:dyDescent="0.25">
      <c r="B239" s="1504" t="s">
        <v>41</v>
      </c>
      <c r="C239" s="1510" t="s">
        <v>42</v>
      </c>
      <c r="D239" s="1510"/>
      <c r="E239" s="1510"/>
      <c r="F239" s="1511"/>
      <c r="G239" s="1512"/>
      <c r="H239" s="1513"/>
    </row>
    <row r="240" spans="2:8" hidden="1" x14ac:dyDescent="0.25">
      <c r="B240" s="1504"/>
      <c r="C240" s="1510" t="s">
        <v>43</v>
      </c>
      <c r="D240" s="1520" t="s">
        <v>44</v>
      </c>
      <c r="E240" s="1520" t="s">
        <v>45</v>
      </c>
      <c r="F240" s="1511">
        <v>1.65</v>
      </c>
      <c r="G240" s="1512">
        <f>UPAH!$F$13</f>
        <v>115000</v>
      </c>
      <c r="H240" s="1513">
        <f>F240*G240</f>
        <v>189750</v>
      </c>
    </row>
    <row r="241" spans="2:8" hidden="1" x14ac:dyDescent="0.25">
      <c r="B241" s="1504"/>
      <c r="C241" s="1510" t="s">
        <v>68</v>
      </c>
      <c r="D241" s="1520" t="s">
        <v>47</v>
      </c>
      <c r="E241" s="1520" t="s">
        <v>45</v>
      </c>
      <c r="F241" s="1511">
        <v>0.27500000000000002</v>
      </c>
      <c r="G241" s="1512">
        <f>UPAH!$F$12</f>
        <v>170000</v>
      </c>
      <c r="H241" s="1513">
        <f>F241*G241</f>
        <v>46750.000000000007</v>
      </c>
    </row>
    <row r="242" spans="2:8" hidden="1" x14ac:dyDescent="0.25">
      <c r="B242" s="1504"/>
      <c r="C242" s="1510" t="s">
        <v>48</v>
      </c>
      <c r="D242" s="1520" t="s">
        <v>49</v>
      </c>
      <c r="E242" s="1520" t="s">
        <v>45</v>
      </c>
      <c r="F242" s="1511">
        <v>2.8000000000000001E-2</v>
      </c>
      <c r="G242" s="1512">
        <f>UPAH!$F$11</f>
        <v>185000</v>
      </c>
      <c r="H242" s="1513">
        <f>F242*G242</f>
        <v>5180</v>
      </c>
    </row>
    <row r="243" spans="2:8" hidden="1" x14ac:dyDescent="0.25">
      <c r="B243" s="1504"/>
      <c r="C243" s="1510" t="s">
        <v>50</v>
      </c>
      <c r="D243" s="1520" t="s">
        <v>51</v>
      </c>
      <c r="E243" s="1520" t="s">
        <v>45</v>
      </c>
      <c r="F243" s="1511">
        <v>8.3000000000000004E-2</v>
      </c>
      <c r="G243" s="1512">
        <f>UPAH!$F$10</f>
        <v>200000</v>
      </c>
      <c r="H243" s="1513">
        <f>F243*G243</f>
        <v>16600</v>
      </c>
    </row>
    <row r="244" spans="2:8" hidden="1" x14ac:dyDescent="0.25">
      <c r="B244" s="1504"/>
      <c r="C244" s="1510"/>
      <c r="D244" s="1510"/>
      <c r="E244" s="1510"/>
      <c r="F244" s="3146" t="s">
        <v>52</v>
      </c>
      <c r="G244" s="3146"/>
      <c r="H244" s="1513">
        <f>SUM(H239:H243)</f>
        <v>258280</v>
      </c>
    </row>
    <row r="245" spans="2:8" hidden="1" x14ac:dyDescent="0.25">
      <c r="B245" s="1504" t="s">
        <v>53</v>
      </c>
      <c r="C245" s="1510" t="s">
        <v>54</v>
      </c>
      <c r="D245" s="1510"/>
      <c r="E245" s="1510"/>
      <c r="F245" s="1511"/>
      <c r="G245" s="1512"/>
      <c r="H245" s="1513"/>
    </row>
    <row r="246" spans="2:8" hidden="1" x14ac:dyDescent="0.25">
      <c r="B246" s="1504"/>
      <c r="C246" s="1527" t="s">
        <v>55</v>
      </c>
      <c r="D246" s="1510"/>
      <c r="E246" s="1520" t="s">
        <v>0</v>
      </c>
      <c r="F246" s="1511">
        <v>413</v>
      </c>
      <c r="G246" s="1512">
        <f>BAHAN!G45</f>
        <v>2000</v>
      </c>
      <c r="H246" s="1513">
        <f>F246*G246</f>
        <v>826000</v>
      </c>
    </row>
    <row r="247" spans="2:8" hidden="1" x14ac:dyDescent="0.25">
      <c r="B247" s="1504"/>
      <c r="C247" s="1527" t="s">
        <v>79</v>
      </c>
      <c r="D247" s="1510"/>
      <c r="E247" s="1520" t="s">
        <v>0</v>
      </c>
      <c r="F247" s="1511">
        <v>681</v>
      </c>
      <c r="G247" s="1512">
        <f>BAHAN!G23</f>
        <v>148.57142857142858</v>
      </c>
      <c r="H247" s="1513">
        <f>F247*G247</f>
        <v>101177.14285714287</v>
      </c>
    </row>
    <row r="248" spans="2:8" hidden="1" x14ac:dyDescent="0.25">
      <c r="B248" s="1504"/>
      <c r="C248" s="1527" t="s">
        <v>159</v>
      </c>
      <c r="D248" s="1510"/>
      <c r="E248" s="1520" t="s">
        <v>0</v>
      </c>
      <c r="F248" s="1511">
        <v>1021</v>
      </c>
      <c r="G248" s="1512">
        <f>BAHAN!G18</f>
        <v>296.2962962962963</v>
      </c>
      <c r="H248" s="1513">
        <f>F248*G248</f>
        <v>302518.51851851854</v>
      </c>
    </row>
    <row r="249" spans="2:8" hidden="1" x14ac:dyDescent="0.25">
      <c r="B249" s="1504"/>
      <c r="C249" s="1527" t="s">
        <v>83</v>
      </c>
      <c r="D249" s="1510"/>
      <c r="E249" s="1520" t="s">
        <v>58</v>
      </c>
      <c r="F249" s="1511">
        <v>215</v>
      </c>
      <c r="G249" s="1512">
        <f>BAHAN!G76</f>
        <v>25</v>
      </c>
      <c r="H249" s="1513">
        <f>F249*G249</f>
        <v>5375</v>
      </c>
    </row>
    <row r="250" spans="2:8" hidden="1" x14ac:dyDescent="0.25">
      <c r="B250" s="1504"/>
      <c r="C250" s="1510"/>
      <c r="D250" s="1510"/>
      <c r="E250" s="1510"/>
      <c r="F250" s="3146" t="s">
        <v>59</v>
      </c>
      <c r="G250" s="3146"/>
      <c r="H250" s="1513">
        <f>SUM(H246:H249)</f>
        <v>1235070.6613756614</v>
      </c>
    </row>
    <row r="251" spans="2:8" hidden="1" x14ac:dyDescent="0.25">
      <c r="B251" s="1504" t="s">
        <v>5</v>
      </c>
      <c r="C251" s="1510" t="s">
        <v>60</v>
      </c>
      <c r="D251" s="1510"/>
      <c r="E251" s="1510"/>
      <c r="F251" s="1511"/>
      <c r="G251" s="1512"/>
      <c r="H251" s="1513"/>
    </row>
    <row r="252" spans="2:8" hidden="1" x14ac:dyDescent="0.25">
      <c r="B252" s="1504"/>
      <c r="C252" s="1510"/>
      <c r="D252" s="1510"/>
      <c r="E252" s="1510"/>
      <c r="F252" s="1511" t="s">
        <v>61</v>
      </c>
      <c r="G252" s="1512"/>
      <c r="H252" s="1513">
        <v>0</v>
      </c>
    </row>
    <row r="253" spans="2:8" hidden="1" x14ac:dyDescent="0.25">
      <c r="B253" s="1504"/>
      <c r="C253" s="1510"/>
      <c r="D253" s="1510"/>
      <c r="E253" s="1510"/>
      <c r="F253" s="1511"/>
      <c r="G253" s="1512"/>
      <c r="H253" s="1513"/>
    </row>
    <row r="254" spans="2:8" hidden="1" x14ac:dyDescent="0.25">
      <c r="B254" s="1504" t="s">
        <v>6</v>
      </c>
      <c r="C254" s="3144" t="s">
        <v>62</v>
      </c>
      <c r="D254" s="3144"/>
      <c r="E254" s="3144"/>
      <c r="F254" s="3144"/>
      <c r="G254" s="3144"/>
      <c r="H254" s="1513">
        <f>H244+H250+H252</f>
        <v>1493350.6613756614</v>
      </c>
    </row>
    <row r="255" spans="2:8" hidden="1" x14ac:dyDescent="0.25">
      <c r="B255" s="1504" t="s">
        <v>7</v>
      </c>
      <c r="C255" s="3144" t="s">
        <v>100</v>
      </c>
      <c r="D255" s="3144"/>
      <c r="E255" s="3144"/>
      <c r="F255" s="3148">
        <f>$J$2</f>
        <v>0.15</v>
      </c>
      <c r="G255" s="3144"/>
      <c r="H255" s="1513">
        <f>F255*H254</f>
        <v>224002.5992063492</v>
      </c>
    </row>
    <row r="256" spans="2:8" hidden="1" x14ac:dyDescent="0.25">
      <c r="B256" s="1504" t="s">
        <v>63</v>
      </c>
      <c r="C256" s="3144" t="s">
        <v>64</v>
      </c>
      <c r="D256" s="3144"/>
      <c r="E256" s="3144"/>
      <c r="F256" s="3144"/>
      <c r="G256" s="3144"/>
      <c r="H256" s="1513">
        <f>H254+H255</f>
        <v>1717353.2605820105</v>
      </c>
    </row>
    <row r="257" spans="1:8" hidden="1" x14ac:dyDescent="0.25">
      <c r="B257" s="1521"/>
      <c r="C257" s="1522" t="s">
        <v>878</v>
      </c>
      <c r="D257" s="1523"/>
      <c r="E257" s="1523"/>
      <c r="F257" s="1523"/>
      <c r="G257" s="1523"/>
      <c r="H257" s="1524">
        <f>ROUNDDOWN(H256,2)</f>
        <v>1717353.26</v>
      </c>
    </row>
    <row r="258" spans="1:8" s="1510" customFormat="1" hidden="1" x14ac:dyDescent="0.25">
      <c r="B258" s="1504"/>
      <c r="C258" s="1525"/>
      <c r="D258" s="1525"/>
      <c r="E258" s="1525"/>
      <c r="F258" s="1511"/>
      <c r="G258" s="1529"/>
      <c r="H258" s="1513"/>
    </row>
    <row r="259" spans="1:8" s="1510" customFormat="1" hidden="1" x14ac:dyDescent="0.25">
      <c r="B259" s="1505" t="s">
        <v>84</v>
      </c>
      <c r="C259" s="1525"/>
      <c r="D259" s="1525"/>
      <c r="E259" s="1525"/>
      <c r="F259" s="1511"/>
      <c r="G259" s="1529"/>
      <c r="H259" s="1513"/>
    </row>
    <row r="260" spans="1:8" s="1510" customFormat="1" hidden="1" x14ac:dyDescent="0.25">
      <c r="B260" s="1504" t="s">
        <v>85</v>
      </c>
      <c r="F260" s="1511"/>
      <c r="G260" s="1512"/>
      <c r="H260" s="1513"/>
    </row>
    <row r="261" spans="1:8" s="1510" customFormat="1" hidden="1" x14ac:dyDescent="0.25">
      <c r="B261" s="1504"/>
      <c r="F261" s="1511"/>
      <c r="G261" s="1512"/>
      <c r="H261" s="1513"/>
    </row>
    <row r="262" spans="1:8" hidden="1" x14ac:dyDescent="0.25">
      <c r="A262" s="1510"/>
      <c r="B262" s="1505" t="s">
        <v>117</v>
      </c>
      <c r="C262" s="1509" t="s">
        <v>118</v>
      </c>
      <c r="D262" s="1510"/>
      <c r="E262" s="1510"/>
      <c r="F262" s="1511"/>
      <c r="G262" s="1512"/>
      <c r="H262" s="1513"/>
    </row>
    <row r="263" spans="1:8" s="1514" customFormat="1" ht="27" hidden="1" customHeight="1" x14ac:dyDescent="0.25">
      <c r="A263" s="1528"/>
      <c r="B263" s="1515" t="s">
        <v>12</v>
      </c>
      <c r="C263" s="1516" t="s">
        <v>36</v>
      </c>
      <c r="D263" s="1516" t="s">
        <v>37</v>
      </c>
      <c r="E263" s="1516" t="s">
        <v>14</v>
      </c>
      <c r="F263" s="1517" t="s">
        <v>38</v>
      </c>
      <c r="G263" s="1518" t="s">
        <v>39</v>
      </c>
      <c r="H263" s="1519" t="s">
        <v>40</v>
      </c>
    </row>
    <row r="264" spans="1:8" hidden="1" x14ac:dyDescent="0.25">
      <c r="A264" s="1510"/>
      <c r="B264" s="1504" t="s">
        <v>41</v>
      </c>
      <c r="C264" s="1510" t="s">
        <v>42</v>
      </c>
      <c r="D264" s="1510"/>
      <c r="E264" s="1510"/>
      <c r="F264" s="1511"/>
      <c r="G264" s="1512"/>
      <c r="H264" s="1513"/>
    </row>
    <row r="265" spans="1:8" hidden="1" x14ac:dyDescent="0.25">
      <c r="A265" s="1510"/>
      <c r="B265" s="1504"/>
      <c r="C265" s="1510" t="s">
        <v>43</v>
      </c>
      <c r="D265" s="1520" t="s">
        <v>44</v>
      </c>
      <c r="E265" s="1520" t="s">
        <v>45</v>
      </c>
      <c r="F265" s="1511">
        <v>7.0000000000000007E-2</v>
      </c>
      <c r="G265" s="1512">
        <f>UPAH!$F$13</f>
        <v>115000</v>
      </c>
      <c r="H265" s="1513">
        <f>F265*G265</f>
        <v>8050.0000000000009</v>
      </c>
    </row>
    <row r="266" spans="1:8" hidden="1" x14ac:dyDescent="0.25">
      <c r="A266" s="1510"/>
      <c r="B266" s="1504"/>
      <c r="C266" s="1510" t="s">
        <v>86</v>
      </c>
      <c r="D266" s="1520" t="s">
        <v>47</v>
      </c>
      <c r="E266" s="1520" t="s">
        <v>45</v>
      </c>
      <c r="F266" s="1511">
        <v>7.0000000000000007E-2</v>
      </c>
      <c r="G266" s="1512">
        <f>UPAH!$F$12</f>
        <v>170000</v>
      </c>
      <c r="H266" s="1513">
        <f>F266*G266</f>
        <v>11900.000000000002</v>
      </c>
    </row>
    <row r="267" spans="1:8" hidden="1" x14ac:dyDescent="0.25">
      <c r="A267" s="1510"/>
      <c r="B267" s="1504"/>
      <c r="C267" s="1510" t="s">
        <v>48</v>
      </c>
      <c r="D267" s="1520" t="s">
        <v>49</v>
      </c>
      <c r="E267" s="1520" t="s">
        <v>45</v>
      </c>
      <c r="F267" s="1511">
        <v>7.0000000000000001E-3</v>
      </c>
      <c r="G267" s="1512">
        <f>UPAH!$F$11</f>
        <v>185000</v>
      </c>
      <c r="H267" s="1513">
        <f>F267*G267</f>
        <v>1295</v>
      </c>
    </row>
    <row r="268" spans="1:8" hidden="1" x14ac:dyDescent="0.25">
      <c r="A268" s="1510"/>
      <c r="B268" s="1504"/>
      <c r="C268" s="1510" t="s">
        <v>50</v>
      </c>
      <c r="D268" s="1520" t="s">
        <v>51</v>
      </c>
      <c r="E268" s="1520" t="s">
        <v>45</v>
      </c>
      <c r="F268" s="1511">
        <v>4.0000000000000001E-3</v>
      </c>
      <c r="G268" s="1512">
        <f>UPAH!$F$10</f>
        <v>200000</v>
      </c>
      <c r="H268" s="1513">
        <f>F268*G268</f>
        <v>800</v>
      </c>
    </row>
    <row r="269" spans="1:8" hidden="1" x14ac:dyDescent="0.25">
      <c r="A269" s="1510"/>
      <c r="B269" s="1504"/>
      <c r="C269" s="1510"/>
      <c r="D269" s="1510"/>
      <c r="E269" s="1510"/>
      <c r="F269" s="3146" t="s">
        <v>52</v>
      </c>
      <c r="G269" s="3146"/>
      <c r="H269" s="1513">
        <f>SUM(H264:H268)</f>
        <v>22045.000000000004</v>
      </c>
    </row>
    <row r="270" spans="1:8" hidden="1" x14ac:dyDescent="0.25">
      <c r="A270" s="1510"/>
      <c r="B270" s="1504" t="s">
        <v>53</v>
      </c>
      <c r="C270" s="1510" t="s">
        <v>54</v>
      </c>
      <c r="D270" s="1510"/>
      <c r="E270" s="1510"/>
      <c r="F270" s="1511"/>
      <c r="G270" s="1512"/>
      <c r="H270" s="1513"/>
    </row>
    <row r="271" spans="1:8" hidden="1" x14ac:dyDescent="0.25">
      <c r="A271" s="1510"/>
      <c r="B271" s="1504"/>
      <c r="C271" s="1527" t="s">
        <v>119</v>
      </c>
      <c r="D271" s="1510"/>
      <c r="E271" s="1520" t="s">
        <v>0</v>
      </c>
      <c r="F271" s="1511">
        <v>10.5</v>
      </c>
      <c r="G271" s="1512">
        <f>BAHAN!$G$34</f>
        <v>14700</v>
      </c>
      <c r="H271" s="1513">
        <f>F271*G271</f>
        <v>154350</v>
      </c>
    </row>
    <row r="272" spans="1:8" hidden="1" x14ac:dyDescent="0.25">
      <c r="A272" s="1510"/>
      <c r="B272" s="1504"/>
      <c r="C272" s="1527" t="s">
        <v>80</v>
      </c>
      <c r="D272" s="1510"/>
      <c r="E272" s="1520" t="s">
        <v>0</v>
      </c>
      <c r="F272" s="1511">
        <v>0.15</v>
      </c>
      <c r="G272" s="1512">
        <f>BAHAN!$G$38</f>
        <v>32700</v>
      </c>
      <c r="H272" s="1513">
        <f>F272*G272</f>
        <v>4905</v>
      </c>
    </row>
    <row r="273" spans="1:8" hidden="1" x14ac:dyDescent="0.25">
      <c r="A273" s="1510"/>
      <c r="B273" s="1504"/>
      <c r="C273" s="1510"/>
      <c r="D273" s="1510"/>
      <c r="E273" s="1510"/>
      <c r="F273" s="3146" t="s">
        <v>59</v>
      </c>
      <c r="G273" s="3146"/>
      <c r="H273" s="1513">
        <f>SUM(H271:H272)</f>
        <v>159255</v>
      </c>
    </row>
    <row r="274" spans="1:8" hidden="1" x14ac:dyDescent="0.25">
      <c r="A274" s="1510"/>
      <c r="B274" s="1504" t="s">
        <v>5</v>
      </c>
      <c r="C274" s="1510" t="s">
        <v>60</v>
      </c>
      <c r="D274" s="1510"/>
      <c r="E274" s="1510"/>
      <c r="F274" s="1511"/>
      <c r="G274" s="1512"/>
      <c r="H274" s="1513"/>
    </row>
    <row r="275" spans="1:8" hidden="1" x14ac:dyDescent="0.25">
      <c r="A275" s="1510"/>
      <c r="B275" s="1504"/>
      <c r="C275" s="1510"/>
      <c r="D275" s="1510"/>
      <c r="E275" s="1510"/>
      <c r="F275" s="1511" t="s">
        <v>61</v>
      </c>
      <c r="G275" s="1512"/>
      <c r="H275" s="1513">
        <v>0</v>
      </c>
    </row>
    <row r="276" spans="1:8" hidden="1" x14ac:dyDescent="0.25">
      <c r="A276" s="1510"/>
      <c r="B276" s="1504"/>
      <c r="C276" s="1510"/>
      <c r="D276" s="1510"/>
      <c r="E276" s="1510"/>
      <c r="F276" s="1511"/>
      <c r="G276" s="1512"/>
      <c r="H276" s="1513"/>
    </row>
    <row r="277" spans="1:8" hidden="1" x14ac:dyDescent="0.25">
      <c r="A277" s="1510"/>
      <c r="B277" s="1504" t="s">
        <v>6</v>
      </c>
      <c r="C277" s="3144" t="s">
        <v>62</v>
      </c>
      <c r="D277" s="3144"/>
      <c r="E277" s="3144"/>
      <c r="F277" s="3144"/>
      <c r="G277" s="3144"/>
      <c r="H277" s="1513">
        <f>H269+H273+H275</f>
        <v>181300</v>
      </c>
    </row>
    <row r="278" spans="1:8" hidden="1" x14ac:dyDescent="0.25">
      <c r="A278" s="1510"/>
      <c r="B278" s="1504" t="s">
        <v>7</v>
      </c>
      <c r="C278" s="3144" t="s">
        <v>100</v>
      </c>
      <c r="D278" s="3144"/>
      <c r="E278" s="3144"/>
      <c r="F278" s="3148">
        <f>$J$2</f>
        <v>0.15</v>
      </c>
      <c r="G278" s="3144"/>
      <c r="H278" s="1513">
        <f>F278*H277</f>
        <v>27195</v>
      </c>
    </row>
    <row r="279" spans="1:8" hidden="1" x14ac:dyDescent="0.25">
      <c r="A279" s="1510"/>
      <c r="B279" s="1504" t="s">
        <v>63</v>
      </c>
      <c r="C279" s="3144" t="s">
        <v>277</v>
      </c>
      <c r="D279" s="3144"/>
      <c r="E279" s="3144"/>
      <c r="F279" s="3144"/>
      <c r="G279" s="3144"/>
      <c r="H279" s="1513">
        <f>(H277+H278)/10</f>
        <v>20849.5</v>
      </c>
    </row>
    <row r="280" spans="1:8" hidden="1" x14ac:dyDescent="0.25">
      <c r="B280" s="1521"/>
      <c r="C280" s="1522" t="s">
        <v>878</v>
      </c>
      <c r="D280" s="1523"/>
      <c r="E280" s="1523"/>
      <c r="F280" s="1523"/>
      <c r="G280" s="1523"/>
      <c r="H280" s="1524">
        <f>ROUNDDOWN(H279,2)</f>
        <v>20849.5</v>
      </c>
    </row>
    <row r="281" spans="1:8" hidden="1" x14ac:dyDescent="0.25">
      <c r="A281" s="1510"/>
      <c r="B281" s="1504"/>
      <c r="C281" s="1510"/>
      <c r="D281" s="1510"/>
      <c r="E281" s="1510"/>
      <c r="F281" s="1530"/>
      <c r="G281" s="1512"/>
      <c r="H281" s="1513"/>
    </row>
    <row r="282" spans="1:8" hidden="1" x14ac:dyDescent="0.25">
      <c r="A282" s="1510"/>
      <c r="B282" s="1505" t="s">
        <v>120</v>
      </c>
      <c r="C282" s="1509" t="s">
        <v>121</v>
      </c>
      <c r="D282" s="1510"/>
      <c r="E282" s="1510"/>
      <c r="F282" s="1511"/>
      <c r="G282" s="1512"/>
      <c r="H282" s="1513"/>
    </row>
    <row r="283" spans="1:8" s="1514" customFormat="1" ht="27" hidden="1" customHeight="1" x14ac:dyDescent="0.25">
      <c r="A283" s="1528"/>
      <c r="B283" s="1515" t="s">
        <v>12</v>
      </c>
      <c r="C283" s="1516" t="s">
        <v>36</v>
      </c>
      <c r="D283" s="1516" t="s">
        <v>37</v>
      </c>
      <c r="E283" s="1516" t="s">
        <v>14</v>
      </c>
      <c r="F283" s="1517" t="s">
        <v>38</v>
      </c>
      <c r="G283" s="1518" t="s">
        <v>39</v>
      </c>
      <c r="H283" s="1519" t="s">
        <v>40</v>
      </c>
    </row>
    <row r="284" spans="1:8" hidden="1" x14ac:dyDescent="0.25">
      <c r="A284" s="1510"/>
      <c r="B284" s="1504" t="s">
        <v>41</v>
      </c>
      <c r="C284" s="1510" t="s">
        <v>42</v>
      </c>
      <c r="D284" s="1510"/>
      <c r="E284" s="1510"/>
      <c r="F284" s="1511"/>
      <c r="G284" s="1512"/>
      <c r="H284" s="1513"/>
    </row>
    <row r="285" spans="1:8" hidden="1" x14ac:dyDescent="0.25">
      <c r="A285" s="1510"/>
      <c r="B285" s="1504"/>
      <c r="C285" s="1510" t="s">
        <v>43</v>
      </c>
      <c r="D285" s="1520" t="s">
        <v>44</v>
      </c>
      <c r="E285" s="1520" t="s">
        <v>45</v>
      </c>
      <c r="F285" s="1511">
        <v>7.0000000000000007E-2</v>
      </c>
      <c r="G285" s="1512">
        <f>UPAH!$F$13</f>
        <v>115000</v>
      </c>
      <c r="H285" s="1513">
        <f>F285*G285</f>
        <v>8050.0000000000009</v>
      </c>
    </row>
    <row r="286" spans="1:8" hidden="1" x14ac:dyDescent="0.25">
      <c r="A286" s="1510"/>
      <c r="B286" s="1504"/>
      <c r="C286" s="1510" t="s">
        <v>86</v>
      </c>
      <c r="D286" s="1520" t="s">
        <v>47</v>
      </c>
      <c r="E286" s="1520" t="s">
        <v>45</v>
      </c>
      <c r="F286" s="1511">
        <v>7.0000000000000007E-2</v>
      </c>
      <c r="G286" s="1512">
        <f>UPAH!$F$12</f>
        <v>170000</v>
      </c>
      <c r="H286" s="1513">
        <f>F286*G286</f>
        <v>11900.000000000002</v>
      </c>
    </row>
    <row r="287" spans="1:8" hidden="1" x14ac:dyDescent="0.25">
      <c r="A287" s="1510"/>
      <c r="B287" s="1504"/>
      <c r="C287" s="1510" t="s">
        <v>48</v>
      </c>
      <c r="D287" s="1520" t="s">
        <v>49</v>
      </c>
      <c r="E287" s="1520" t="s">
        <v>45</v>
      </c>
      <c r="F287" s="1511">
        <v>7.0000000000000001E-3</v>
      </c>
      <c r="G287" s="1512">
        <f>UPAH!$F$11</f>
        <v>185000</v>
      </c>
      <c r="H287" s="1513">
        <f>F287*G287</f>
        <v>1295</v>
      </c>
    </row>
    <row r="288" spans="1:8" hidden="1" x14ac:dyDescent="0.25">
      <c r="A288" s="1510"/>
      <c r="B288" s="1504"/>
      <c r="C288" s="1510" t="s">
        <v>50</v>
      </c>
      <c r="D288" s="1520" t="s">
        <v>51</v>
      </c>
      <c r="E288" s="1520" t="s">
        <v>45</v>
      </c>
      <c r="F288" s="1511">
        <v>4.0000000000000001E-3</v>
      </c>
      <c r="G288" s="1512">
        <f>UPAH!$F$10</f>
        <v>200000</v>
      </c>
      <c r="H288" s="1513">
        <f>F288*G288</f>
        <v>800</v>
      </c>
    </row>
    <row r="289" spans="1:8" hidden="1" x14ac:dyDescent="0.25">
      <c r="A289" s="1510"/>
      <c r="B289" s="1504"/>
      <c r="C289" s="1510"/>
      <c r="D289" s="1510"/>
      <c r="E289" s="1510"/>
      <c r="F289" s="3146" t="s">
        <v>52</v>
      </c>
      <c r="G289" s="3146"/>
      <c r="H289" s="1513">
        <f>SUM(H284:H288)</f>
        <v>22045.000000000004</v>
      </c>
    </row>
    <row r="290" spans="1:8" hidden="1" x14ac:dyDescent="0.25">
      <c r="A290" s="1510"/>
      <c r="B290" s="1504" t="s">
        <v>53</v>
      </c>
      <c r="C290" s="1510" t="s">
        <v>54</v>
      </c>
      <c r="D290" s="1510"/>
      <c r="E290" s="1510"/>
      <c r="F290" s="1511"/>
      <c r="G290" s="1512"/>
      <c r="H290" s="1513"/>
    </row>
    <row r="291" spans="1:8" hidden="1" x14ac:dyDescent="0.25">
      <c r="A291" s="1510"/>
      <c r="B291" s="1504"/>
      <c r="C291" s="1527" t="s">
        <v>122</v>
      </c>
      <c r="D291" s="1510"/>
      <c r="E291" s="1520" t="s">
        <v>0</v>
      </c>
      <c r="F291" s="1511">
        <v>10.5</v>
      </c>
      <c r="G291" s="1512">
        <f>BAHAN!G35</f>
        <v>15200</v>
      </c>
      <c r="H291" s="1513">
        <f>F291*G291</f>
        <v>159600</v>
      </c>
    </row>
    <row r="292" spans="1:8" hidden="1" x14ac:dyDescent="0.25">
      <c r="A292" s="1510"/>
      <c r="B292" s="1504"/>
      <c r="C292" s="1527" t="s">
        <v>80</v>
      </c>
      <c r="D292" s="1510"/>
      <c r="E292" s="1520" t="s">
        <v>0</v>
      </c>
      <c r="F292" s="1511">
        <v>0.15</v>
      </c>
      <c r="G292" s="1512">
        <f>BAHAN!$G$38</f>
        <v>32700</v>
      </c>
      <c r="H292" s="1513">
        <f>F292*G292</f>
        <v>4905</v>
      </c>
    </row>
    <row r="293" spans="1:8" hidden="1" x14ac:dyDescent="0.25">
      <c r="A293" s="1510"/>
      <c r="B293" s="1504"/>
      <c r="C293" s="1510"/>
      <c r="D293" s="1510"/>
      <c r="E293" s="1510"/>
      <c r="F293" s="3146" t="s">
        <v>59</v>
      </c>
      <c r="G293" s="3146"/>
      <c r="H293" s="1513">
        <f>SUM(H291:H292)</f>
        <v>164505</v>
      </c>
    </row>
    <row r="294" spans="1:8" hidden="1" x14ac:dyDescent="0.25">
      <c r="A294" s="1510"/>
      <c r="B294" s="1504" t="s">
        <v>5</v>
      </c>
      <c r="C294" s="1510" t="s">
        <v>60</v>
      </c>
      <c r="D294" s="1510"/>
      <c r="E294" s="1510"/>
      <c r="F294" s="1511"/>
      <c r="G294" s="1512"/>
      <c r="H294" s="1513"/>
    </row>
    <row r="295" spans="1:8" hidden="1" x14ac:dyDescent="0.25">
      <c r="A295" s="1510"/>
      <c r="B295" s="1504"/>
      <c r="C295" s="1510"/>
      <c r="D295" s="1510"/>
      <c r="E295" s="1510"/>
      <c r="F295" s="1511" t="s">
        <v>61</v>
      </c>
      <c r="G295" s="1512"/>
      <c r="H295" s="1513">
        <v>0</v>
      </c>
    </row>
    <row r="296" spans="1:8" hidden="1" x14ac:dyDescent="0.25">
      <c r="A296" s="1510"/>
      <c r="B296" s="1504"/>
      <c r="C296" s="1510"/>
      <c r="D296" s="1510"/>
      <c r="E296" s="1510"/>
      <c r="F296" s="1511"/>
      <c r="G296" s="1512"/>
      <c r="H296" s="1513"/>
    </row>
    <row r="297" spans="1:8" hidden="1" x14ac:dyDescent="0.25">
      <c r="A297" s="1510"/>
      <c r="B297" s="1504" t="s">
        <v>6</v>
      </c>
      <c r="C297" s="3144" t="s">
        <v>62</v>
      </c>
      <c r="D297" s="3144"/>
      <c r="E297" s="3144"/>
      <c r="F297" s="3144"/>
      <c r="G297" s="3144"/>
      <c r="H297" s="1513">
        <f>H289+H293+H295</f>
        <v>186550</v>
      </c>
    </row>
    <row r="298" spans="1:8" hidden="1" x14ac:dyDescent="0.25">
      <c r="A298" s="1510"/>
      <c r="B298" s="1504" t="s">
        <v>7</v>
      </c>
      <c r="C298" s="3144" t="s">
        <v>100</v>
      </c>
      <c r="D298" s="3144"/>
      <c r="E298" s="3144"/>
      <c r="F298" s="3148">
        <f>$J$2</f>
        <v>0.15</v>
      </c>
      <c r="G298" s="3144"/>
      <c r="H298" s="1513">
        <f>F298*H297</f>
        <v>27982.5</v>
      </c>
    </row>
    <row r="299" spans="1:8" hidden="1" x14ac:dyDescent="0.25">
      <c r="A299" s="1510"/>
      <c r="B299" s="1504" t="s">
        <v>63</v>
      </c>
      <c r="C299" s="3144" t="s">
        <v>277</v>
      </c>
      <c r="D299" s="3144"/>
      <c r="E299" s="3144"/>
      <c r="F299" s="3144"/>
      <c r="G299" s="3144"/>
      <c r="H299" s="1513">
        <f>(H297+H298)/10</f>
        <v>21453.25</v>
      </c>
    </row>
    <row r="300" spans="1:8" hidden="1" x14ac:dyDescent="0.25">
      <c r="B300" s="1521"/>
      <c r="C300" s="1522" t="s">
        <v>878</v>
      </c>
      <c r="D300" s="1523"/>
      <c r="E300" s="1523"/>
      <c r="F300" s="1523"/>
      <c r="G300" s="1523"/>
      <c r="H300" s="1524">
        <f>ROUNDDOWN(H299,2)</f>
        <v>21453.25</v>
      </c>
    </row>
    <row r="301" spans="1:8" hidden="1" x14ac:dyDescent="0.25">
      <c r="A301" s="1510"/>
      <c r="B301" s="1504"/>
      <c r="C301" s="1525"/>
      <c r="D301" s="1525"/>
      <c r="E301" s="1525"/>
      <c r="F301" s="1526"/>
      <c r="G301" s="1525"/>
      <c r="H301" s="1513"/>
    </row>
    <row r="302" spans="1:8" hidden="1" x14ac:dyDescent="0.25">
      <c r="B302" s="1505" t="s">
        <v>1349</v>
      </c>
      <c r="C302" s="1509" t="s">
        <v>1348</v>
      </c>
      <c r="D302" s="1510"/>
      <c r="E302" s="1510"/>
      <c r="F302" s="1511"/>
      <c r="G302" s="1512"/>
      <c r="H302" s="1513"/>
    </row>
    <row r="303" spans="1:8" s="1514" customFormat="1" ht="27" hidden="1" customHeight="1" x14ac:dyDescent="0.25">
      <c r="B303" s="1515" t="s">
        <v>12</v>
      </c>
      <c r="C303" s="1516" t="s">
        <v>36</v>
      </c>
      <c r="D303" s="1516" t="s">
        <v>37</v>
      </c>
      <c r="E303" s="1516" t="s">
        <v>14</v>
      </c>
      <c r="F303" s="1517" t="s">
        <v>38</v>
      </c>
      <c r="G303" s="1518" t="s">
        <v>39</v>
      </c>
      <c r="H303" s="1519" t="s">
        <v>40</v>
      </c>
    </row>
    <row r="304" spans="1:8" hidden="1" x14ac:dyDescent="0.25">
      <c r="B304" s="1504" t="s">
        <v>41</v>
      </c>
      <c r="C304" s="1510" t="s">
        <v>42</v>
      </c>
      <c r="D304" s="1510"/>
      <c r="E304" s="1510"/>
      <c r="F304" s="1511"/>
      <c r="G304" s="1512"/>
      <c r="H304" s="1513"/>
    </row>
    <row r="305" spans="2:8" hidden="1" x14ac:dyDescent="0.25">
      <c r="B305" s="1504"/>
      <c r="C305" s="1510" t="s">
        <v>43</v>
      </c>
      <c r="D305" s="1520" t="s">
        <v>44</v>
      </c>
      <c r="E305" s="1520" t="s">
        <v>45</v>
      </c>
      <c r="F305" s="1511">
        <v>0.52</v>
      </c>
      <c r="G305" s="1512">
        <f>UPAH!$F$13</f>
        <v>115000</v>
      </c>
      <c r="H305" s="1513">
        <f>F305*G305</f>
        <v>59800</v>
      </c>
    </row>
    <row r="306" spans="2:8" hidden="1" x14ac:dyDescent="0.25">
      <c r="B306" s="1504"/>
      <c r="C306" s="1510" t="s">
        <v>46</v>
      </c>
      <c r="D306" s="1520" t="s">
        <v>47</v>
      </c>
      <c r="E306" s="1520" t="s">
        <v>45</v>
      </c>
      <c r="F306" s="1511">
        <v>0.26</v>
      </c>
      <c r="G306" s="1512">
        <f>UPAH!$F$12</f>
        <v>170000</v>
      </c>
      <c r="H306" s="1513">
        <f>F306*G306</f>
        <v>44200</v>
      </c>
    </row>
    <row r="307" spans="2:8" hidden="1" x14ac:dyDescent="0.25">
      <c r="B307" s="1504"/>
      <c r="C307" s="1510" t="s">
        <v>48</v>
      </c>
      <c r="D307" s="1520" t="s">
        <v>49</v>
      </c>
      <c r="E307" s="1520" t="s">
        <v>45</v>
      </c>
      <c r="F307" s="1511">
        <v>2.5999999999999999E-2</v>
      </c>
      <c r="G307" s="1512">
        <f>UPAH!$F$11</f>
        <v>185000</v>
      </c>
      <c r="H307" s="1513">
        <f>F307*G307</f>
        <v>4810</v>
      </c>
    </row>
    <row r="308" spans="2:8" hidden="1" x14ac:dyDescent="0.25">
      <c r="B308" s="1504"/>
      <c r="C308" s="1510" t="s">
        <v>50</v>
      </c>
      <c r="D308" s="1520" t="s">
        <v>51</v>
      </c>
      <c r="E308" s="1520" t="s">
        <v>45</v>
      </c>
      <c r="F308" s="1511">
        <v>2.5999999999999999E-2</v>
      </c>
      <c r="G308" s="1512">
        <f>UPAH!$F$10</f>
        <v>200000</v>
      </c>
      <c r="H308" s="1513">
        <f>F308*G308</f>
        <v>5200</v>
      </c>
    </row>
    <row r="309" spans="2:8" hidden="1" x14ac:dyDescent="0.25">
      <c r="B309" s="1504"/>
      <c r="C309" s="1510"/>
      <c r="D309" s="1510"/>
      <c r="E309" s="1510"/>
      <c r="F309" s="3146" t="s">
        <v>52</v>
      </c>
      <c r="G309" s="3146"/>
      <c r="H309" s="1513">
        <f>SUM(H304:H308)</f>
        <v>114010</v>
      </c>
    </row>
    <row r="310" spans="2:8" hidden="1" x14ac:dyDescent="0.25">
      <c r="B310" s="1504" t="s">
        <v>53</v>
      </c>
      <c r="C310" s="1510" t="s">
        <v>54</v>
      </c>
      <c r="D310" s="1510"/>
      <c r="E310" s="1510"/>
      <c r="F310" s="1511"/>
      <c r="G310" s="1512"/>
      <c r="H310" s="1513"/>
    </row>
    <row r="311" spans="2:8" hidden="1" x14ac:dyDescent="0.25">
      <c r="B311" s="1504"/>
      <c r="C311" s="1527" t="s">
        <v>857</v>
      </c>
      <c r="D311" s="1510"/>
      <c r="E311" s="1520" t="s">
        <v>57</v>
      </c>
      <c r="F311" s="1511">
        <v>0.04</v>
      </c>
      <c r="G311" s="1512">
        <f>BAHAN!G49</f>
        <v>2934000</v>
      </c>
      <c r="H311" s="1513">
        <f>F311*G311</f>
        <v>117360</v>
      </c>
    </row>
    <row r="312" spans="2:8" hidden="1" x14ac:dyDescent="0.25">
      <c r="B312" s="1504"/>
      <c r="C312" s="1527" t="s">
        <v>87</v>
      </c>
      <c r="D312" s="1510"/>
      <c r="E312" s="1520" t="s">
        <v>0</v>
      </c>
      <c r="F312" s="1511">
        <v>0.3</v>
      </c>
      <c r="G312" s="1512">
        <f>BAHAN!G39</f>
        <v>24150</v>
      </c>
      <c r="H312" s="1513">
        <f>F312*G312</f>
        <v>7245</v>
      </c>
    </row>
    <row r="313" spans="2:8" hidden="1" x14ac:dyDescent="0.25">
      <c r="B313" s="1504"/>
      <c r="C313" s="1527" t="s">
        <v>33</v>
      </c>
      <c r="D313" s="1510"/>
      <c r="E313" s="1520" t="s">
        <v>58</v>
      </c>
      <c r="F313" s="1511">
        <v>0.1</v>
      </c>
      <c r="G313" s="1512">
        <f>BAHAN!$G$78</f>
        <v>29000</v>
      </c>
      <c r="H313" s="1513">
        <f>F313*G313</f>
        <v>2900</v>
      </c>
    </row>
    <row r="314" spans="2:8" hidden="1" x14ac:dyDescent="0.25">
      <c r="B314" s="1504"/>
      <c r="C314" s="1510"/>
      <c r="D314" s="1510"/>
      <c r="E314" s="1510"/>
      <c r="F314" s="3146" t="s">
        <v>59</v>
      </c>
      <c r="G314" s="3146"/>
      <c r="H314" s="1513">
        <f>SUM(H311:H313)</f>
        <v>127505</v>
      </c>
    </row>
    <row r="315" spans="2:8" hidden="1" x14ac:dyDescent="0.25">
      <c r="B315" s="1504"/>
      <c r="C315" s="1510"/>
      <c r="D315" s="1510"/>
      <c r="E315" s="1510"/>
      <c r="F315" s="3147"/>
      <c r="G315" s="3147"/>
      <c r="H315" s="1513">
        <f>H314</f>
        <v>127505</v>
      </c>
    </row>
    <row r="316" spans="2:8" hidden="1" x14ac:dyDescent="0.25">
      <c r="B316" s="1504" t="s">
        <v>5</v>
      </c>
      <c r="C316" s="1510" t="s">
        <v>60</v>
      </c>
      <c r="D316" s="1510"/>
      <c r="E316" s="1510"/>
      <c r="F316" s="1511"/>
      <c r="G316" s="1512"/>
      <c r="H316" s="1513"/>
    </row>
    <row r="317" spans="2:8" hidden="1" x14ac:dyDescent="0.25">
      <c r="B317" s="1504"/>
      <c r="C317" s="1510"/>
      <c r="D317" s="1510"/>
      <c r="E317" s="1510"/>
      <c r="F317" s="1511" t="s">
        <v>61</v>
      </c>
      <c r="G317" s="1512"/>
      <c r="H317" s="1513">
        <v>0</v>
      </c>
    </row>
    <row r="318" spans="2:8" hidden="1" x14ac:dyDescent="0.25">
      <c r="B318" s="1504"/>
      <c r="C318" s="1510"/>
      <c r="D318" s="1510"/>
      <c r="E318" s="1510"/>
      <c r="F318" s="1511"/>
      <c r="G318" s="1512"/>
      <c r="H318" s="1513"/>
    </row>
    <row r="319" spans="2:8" hidden="1" x14ac:dyDescent="0.25">
      <c r="B319" s="1504" t="s">
        <v>6</v>
      </c>
      <c r="C319" s="3144" t="s">
        <v>62</v>
      </c>
      <c r="D319" s="3144"/>
      <c r="E319" s="3144"/>
      <c r="F319" s="3144"/>
      <c r="G319" s="3144"/>
      <c r="H319" s="1513">
        <f>H309+H315+H317</f>
        <v>241515</v>
      </c>
    </row>
    <row r="320" spans="2:8" hidden="1" x14ac:dyDescent="0.25">
      <c r="B320" s="1504" t="s">
        <v>7</v>
      </c>
      <c r="C320" s="3144" t="s">
        <v>100</v>
      </c>
      <c r="D320" s="3144"/>
      <c r="E320" s="3144"/>
      <c r="F320" s="3148">
        <f>$J$2</f>
        <v>0.15</v>
      </c>
      <c r="G320" s="3144"/>
      <c r="H320" s="1513">
        <f>F320*H319</f>
        <v>36227.25</v>
      </c>
    </row>
    <row r="321" spans="2:8" hidden="1" x14ac:dyDescent="0.25">
      <c r="B321" s="1504" t="s">
        <v>63</v>
      </c>
      <c r="C321" s="1531" t="s">
        <v>245</v>
      </c>
      <c r="D321" s="1531"/>
      <c r="E321" s="1531"/>
      <c r="F321" s="3147"/>
      <c r="G321" s="3147"/>
      <c r="H321" s="1513">
        <f>(H319+H320)</f>
        <v>277742.25</v>
      </c>
    </row>
    <row r="322" spans="2:8" hidden="1" x14ac:dyDescent="0.25">
      <c r="B322" s="1521"/>
      <c r="C322" s="1522" t="s">
        <v>878</v>
      </c>
      <c r="D322" s="1523"/>
      <c r="E322" s="1523"/>
      <c r="F322" s="1523"/>
      <c r="G322" s="1523"/>
      <c r="H322" s="1524">
        <f>ROUNDDOWN(H321,2)</f>
        <v>277742.25</v>
      </c>
    </row>
    <row r="323" spans="2:8" s="1510" customFormat="1" hidden="1" x14ac:dyDescent="0.25">
      <c r="B323" s="1504"/>
      <c r="F323" s="1511"/>
      <c r="G323" s="1512"/>
      <c r="H323" s="1513"/>
    </row>
    <row r="324" spans="2:8" s="1510" customFormat="1" hidden="1" x14ac:dyDescent="0.25">
      <c r="B324" s="1505" t="s">
        <v>1425</v>
      </c>
      <c r="C324" s="1509" t="s">
        <v>1422</v>
      </c>
      <c r="F324" s="1511"/>
      <c r="G324" s="1512"/>
      <c r="H324" s="1513"/>
    </row>
    <row r="325" spans="2:8" s="1510" customFormat="1" ht="27" hidden="1" x14ac:dyDescent="0.25">
      <c r="B325" s="1515" t="s">
        <v>12</v>
      </c>
      <c r="C325" s="1516" t="s">
        <v>36</v>
      </c>
      <c r="D325" s="1516" t="s">
        <v>37</v>
      </c>
      <c r="E325" s="1516" t="s">
        <v>14</v>
      </c>
      <c r="F325" s="1517" t="s">
        <v>38</v>
      </c>
      <c r="G325" s="1518" t="s">
        <v>39</v>
      </c>
      <c r="H325" s="1519" t="s">
        <v>40</v>
      </c>
    </row>
    <row r="326" spans="2:8" s="1510" customFormat="1" hidden="1" x14ac:dyDescent="0.25">
      <c r="B326" s="1504" t="s">
        <v>41</v>
      </c>
      <c r="C326" s="1510" t="s">
        <v>42</v>
      </c>
      <c r="F326" s="1511"/>
      <c r="G326" s="1512"/>
      <c r="H326" s="1513"/>
    </row>
    <row r="327" spans="2:8" s="1510" customFormat="1" hidden="1" x14ac:dyDescent="0.25">
      <c r="B327" s="1504"/>
      <c r="C327" s="1510" t="s">
        <v>43</v>
      </c>
      <c r="D327" s="2840" t="s">
        <v>44</v>
      </c>
      <c r="E327" s="2840" t="s">
        <v>45</v>
      </c>
      <c r="F327" s="1511">
        <v>0.52</v>
      </c>
      <c r="G327" s="1512">
        <f>G305</f>
        <v>115000</v>
      </c>
      <c r="H327" s="1513">
        <f>F327*G327</f>
        <v>59800</v>
      </c>
    </row>
    <row r="328" spans="2:8" s="1510" customFormat="1" hidden="1" x14ac:dyDescent="0.25">
      <c r="B328" s="1504"/>
      <c r="C328" s="1510" t="s">
        <v>46</v>
      </c>
      <c r="D328" s="2840" t="s">
        <v>47</v>
      </c>
      <c r="E328" s="2840" t="s">
        <v>45</v>
      </c>
      <c r="F328" s="1511">
        <v>0.26</v>
      </c>
      <c r="G328" s="1512">
        <f t="shared" ref="G328:G330" si="7">G306</f>
        <v>170000</v>
      </c>
      <c r="H328" s="1513">
        <f>F328*G328</f>
        <v>44200</v>
      </c>
    </row>
    <row r="329" spans="2:8" s="1510" customFormat="1" hidden="1" x14ac:dyDescent="0.25">
      <c r="B329" s="1504"/>
      <c r="C329" s="1510" t="s">
        <v>48</v>
      </c>
      <c r="D329" s="2840" t="s">
        <v>49</v>
      </c>
      <c r="E329" s="2840" t="s">
        <v>45</v>
      </c>
      <c r="F329" s="1511">
        <v>2.5999999999999999E-2</v>
      </c>
      <c r="G329" s="1512">
        <f t="shared" si="7"/>
        <v>185000</v>
      </c>
      <c r="H329" s="1513">
        <f>F329*G329</f>
        <v>4810</v>
      </c>
    </row>
    <row r="330" spans="2:8" s="1510" customFormat="1" hidden="1" x14ac:dyDescent="0.25">
      <c r="B330" s="1504"/>
      <c r="C330" s="1510" t="s">
        <v>50</v>
      </c>
      <c r="D330" s="2840" t="s">
        <v>51</v>
      </c>
      <c r="E330" s="2840" t="s">
        <v>45</v>
      </c>
      <c r="F330" s="1511">
        <v>2.5999999999999999E-2</v>
      </c>
      <c r="G330" s="1512">
        <f t="shared" si="7"/>
        <v>200000</v>
      </c>
      <c r="H330" s="1513">
        <f>F330*G330</f>
        <v>5200</v>
      </c>
    </row>
    <row r="331" spans="2:8" s="1510" customFormat="1" hidden="1" x14ac:dyDescent="0.25">
      <c r="B331" s="1504"/>
      <c r="F331" s="3146" t="s">
        <v>52</v>
      </c>
      <c r="G331" s="3146"/>
      <c r="H331" s="1513">
        <f>SUM(H326:H330)</f>
        <v>114010</v>
      </c>
    </row>
    <row r="332" spans="2:8" s="1510" customFormat="1" hidden="1" x14ac:dyDescent="0.25">
      <c r="B332" s="1504" t="s">
        <v>53</v>
      </c>
      <c r="C332" s="1510" t="s">
        <v>54</v>
      </c>
      <c r="F332" s="1511"/>
      <c r="G332" s="1512"/>
      <c r="H332" s="1513"/>
    </row>
    <row r="333" spans="2:8" s="1510" customFormat="1" hidden="1" x14ac:dyDescent="0.25">
      <c r="B333" s="1504"/>
      <c r="C333" s="1527" t="s">
        <v>857</v>
      </c>
      <c r="E333" s="2840" t="s">
        <v>57</v>
      </c>
      <c r="F333" s="1511">
        <v>4.4999999999999998E-2</v>
      </c>
      <c r="G333" s="1512">
        <f>G311</f>
        <v>2934000</v>
      </c>
      <c r="H333" s="1513">
        <f>F333*G333</f>
        <v>132030</v>
      </c>
    </row>
    <row r="334" spans="2:8" s="1510" customFormat="1" hidden="1" x14ac:dyDescent="0.25">
      <c r="B334" s="1504"/>
      <c r="C334" s="1527" t="s">
        <v>1423</v>
      </c>
      <c r="E334" s="2840" t="s">
        <v>0</v>
      </c>
      <c r="F334" s="1511">
        <v>0.3</v>
      </c>
      <c r="G334" s="1512">
        <f t="shared" ref="G334:G335" si="8">G312</f>
        <v>24150</v>
      </c>
      <c r="H334" s="1513">
        <f>F334*G334</f>
        <v>7245</v>
      </c>
    </row>
    <row r="335" spans="2:8" s="1510" customFormat="1" hidden="1" x14ac:dyDescent="0.25">
      <c r="B335" s="1504"/>
      <c r="C335" s="1527" t="s">
        <v>1424</v>
      </c>
      <c r="E335" s="2840" t="s">
        <v>58</v>
      </c>
      <c r="F335" s="1511">
        <v>0.1</v>
      </c>
      <c r="G335" s="1512">
        <f t="shared" si="8"/>
        <v>29000</v>
      </c>
      <c r="H335" s="1513">
        <f>F335*G335</f>
        <v>2900</v>
      </c>
    </row>
    <row r="336" spans="2:8" s="1510" customFormat="1" hidden="1" x14ac:dyDescent="0.25">
      <c r="B336" s="1504"/>
      <c r="F336" s="3146" t="s">
        <v>59</v>
      </c>
      <c r="G336" s="3146"/>
      <c r="H336" s="1513">
        <f>SUM(H333:H335)</f>
        <v>142175</v>
      </c>
    </row>
    <row r="337" spans="2:8" s="1510" customFormat="1" hidden="1" x14ac:dyDescent="0.25">
      <c r="B337" s="1504"/>
      <c r="F337" s="3147"/>
      <c r="G337" s="3147"/>
      <c r="H337" s="1513">
        <f>H336</f>
        <v>142175</v>
      </c>
    </row>
    <row r="338" spans="2:8" s="1510" customFormat="1" hidden="1" x14ac:dyDescent="0.25">
      <c r="B338" s="1504" t="s">
        <v>5</v>
      </c>
      <c r="C338" s="1510" t="s">
        <v>60</v>
      </c>
      <c r="F338" s="1511"/>
      <c r="G338" s="1512"/>
      <c r="H338" s="1513"/>
    </row>
    <row r="339" spans="2:8" s="1510" customFormat="1" hidden="1" x14ac:dyDescent="0.25">
      <c r="B339" s="1504"/>
      <c r="F339" s="1511" t="s">
        <v>61</v>
      </c>
      <c r="G339" s="1512"/>
      <c r="H339" s="1513">
        <v>0</v>
      </c>
    </row>
    <row r="340" spans="2:8" s="1510" customFormat="1" hidden="1" x14ac:dyDescent="0.25">
      <c r="B340" s="1504"/>
      <c r="F340" s="1511"/>
      <c r="G340" s="1512"/>
      <c r="H340" s="1513"/>
    </row>
    <row r="341" spans="2:8" s="1510" customFormat="1" hidden="1" x14ac:dyDescent="0.25">
      <c r="B341" s="1504" t="s">
        <v>6</v>
      </c>
      <c r="C341" s="3144" t="s">
        <v>62</v>
      </c>
      <c r="D341" s="3144"/>
      <c r="E341" s="3144"/>
      <c r="F341" s="3144"/>
      <c r="G341" s="3144"/>
      <c r="H341" s="1513">
        <f>H331+H337+H339</f>
        <v>256185</v>
      </c>
    </row>
    <row r="342" spans="2:8" s="1510" customFormat="1" hidden="1" x14ac:dyDescent="0.25">
      <c r="B342" s="1504" t="s">
        <v>7</v>
      </c>
      <c r="C342" s="3144" t="s">
        <v>100</v>
      </c>
      <c r="D342" s="3144"/>
      <c r="E342" s="3144"/>
      <c r="F342" s="3148">
        <f>$J$2</f>
        <v>0.15</v>
      </c>
      <c r="G342" s="3144"/>
      <c r="H342" s="1513">
        <f>F342*H341</f>
        <v>38427.75</v>
      </c>
    </row>
    <row r="343" spans="2:8" s="1510" customFormat="1" hidden="1" x14ac:dyDescent="0.25">
      <c r="B343" s="1504" t="s">
        <v>63</v>
      </c>
      <c r="C343" s="1531" t="s">
        <v>245</v>
      </c>
      <c r="D343" s="1531"/>
      <c r="E343" s="1531"/>
      <c r="F343" s="3147"/>
      <c r="G343" s="3147"/>
      <c r="H343" s="1513">
        <f>(H341+H342)</f>
        <v>294612.75</v>
      </c>
    </row>
    <row r="344" spans="2:8" s="1510" customFormat="1" hidden="1" x14ac:dyDescent="0.25">
      <c r="B344" s="1521"/>
      <c r="C344" s="1522" t="s">
        <v>878</v>
      </c>
      <c r="D344" s="1523"/>
      <c r="E344" s="1523"/>
      <c r="F344" s="1523"/>
      <c r="G344" s="1523"/>
      <c r="H344" s="1524">
        <f>ROUNDDOWN(H343,2)</f>
        <v>294612.75</v>
      </c>
    </row>
    <row r="345" spans="2:8" s="1510" customFormat="1" hidden="1" x14ac:dyDescent="0.25">
      <c r="B345" s="1504"/>
      <c r="F345" s="1511"/>
      <c r="G345" s="1512"/>
      <c r="H345" s="1513"/>
    </row>
    <row r="346" spans="2:8" s="1509" customFormat="1" ht="12.75" hidden="1" x14ac:dyDescent="0.2">
      <c r="B346" s="1505" t="s">
        <v>1450</v>
      </c>
      <c r="C346" s="1509" t="s">
        <v>1451</v>
      </c>
      <c r="F346" s="2944"/>
      <c r="G346" s="2945"/>
      <c r="H346" s="2946"/>
    </row>
    <row r="347" spans="2:8" s="1510" customFormat="1" ht="27" hidden="1" x14ac:dyDescent="0.25">
      <c r="B347" s="1515" t="s">
        <v>12</v>
      </c>
      <c r="C347" s="1516" t="s">
        <v>36</v>
      </c>
      <c r="D347" s="1516" t="s">
        <v>37</v>
      </c>
      <c r="E347" s="1516" t="s">
        <v>14</v>
      </c>
      <c r="F347" s="1517" t="s">
        <v>38</v>
      </c>
      <c r="G347" s="1518" t="s">
        <v>39</v>
      </c>
      <c r="H347" s="1519" t="s">
        <v>40</v>
      </c>
    </row>
    <row r="348" spans="2:8" s="1510" customFormat="1" hidden="1" x14ac:dyDescent="0.25">
      <c r="B348" s="1504" t="s">
        <v>41</v>
      </c>
      <c r="C348" s="1510" t="s">
        <v>42</v>
      </c>
      <c r="F348" s="1511"/>
      <c r="G348" s="1512"/>
      <c r="H348" s="1513"/>
    </row>
    <row r="349" spans="2:8" s="1510" customFormat="1" hidden="1" x14ac:dyDescent="0.25">
      <c r="B349" s="1504"/>
      <c r="C349" s="1510" t="s">
        <v>71</v>
      </c>
      <c r="D349" s="1510" t="s">
        <v>44</v>
      </c>
      <c r="E349" s="1510" t="s">
        <v>45</v>
      </c>
      <c r="F349" s="1511">
        <v>0.66</v>
      </c>
      <c r="G349" s="1512">
        <f>G327</f>
        <v>115000</v>
      </c>
      <c r="H349" s="1513">
        <f>G349*F349</f>
        <v>75900</v>
      </c>
    </row>
    <row r="350" spans="2:8" s="1510" customFormat="1" hidden="1" x14ac:dyDescent="0.25">
      <c r="B350" s="1504"/>
      <c r="C350" s="1510" t="s">
        <v>46</v>
      </c>
      <c r="D350" s="1510" t="s">
        <v>47</v>
      </c>
      <c r="E350" s="1510" t="s">
        <v>45</v>
      </c>
      <c r="F350" s="1511">
        <v>0.33</v>
      </c>
      <c r="G350" s="1512">
        <f t="shared" ref="G350:G352" si="9">G328</f>
        <v>170000</v>
      </c>
      <c r="H350" s="1513">
        <f t="shared" ref="H350:H352" si="10">G350*F350</f>
        <v>56100</v>
      </c>
    </row>
    <row r="351" spans="2:8" s="1510" customFormat="1" hidden="1" x14ac:dyDescent="0.25">
      <c r="B351" s="1504"/>
      <c r="C351" s="1510" t="s">
        <v>48</v>
      </c>
      <c r="D351" s="1510" t="s">
        <v>49</v>
      </c>
      <c r="E351" s="1510" t="s">
        <v>45</v>
      </c>
      <c r="F351" s="1511">
        <v>3.3000000000000002E-2</v>
      </c>
      <c r="G351" s="1512">
        <f t="shared" si="9"/>
        <v>185000</v>
      </c>
      <c r="H351" s="1513">
        <f t="shared" si="10"/>
        <v>6105</v>
      </c>
    </row>
    <row r="352" spans="2:8" s="1510" customFormat="1" hidden="1" x14ac:dyDescent="0.25">
      <c r="B352" s="1504"/>
      <c r="C352" s="1510" t="s">
        <v>50</v>
      </c>
      <c r="D352" s="1510" t="s">
        <v>51</v>
      </c>
      <c r="E352" s="1510" t="s">
        <v>45</v>
      </c>
      <c r="F352" s="1511">
        <v>3.3000000000000002E-2</v>
      </c>
      <c r="G352" s="1512">
        <f t="shared" si="9"/>
        <v>200000</v>
      </c>
      <c r="H352" s="1513">
        <f t="shared" si="10"/>
        <v>6600</v>
      </c>
    </row>
    <row r="353" spans="2:8" s="1510" customFormat="1" hidden="1" x14ac:dyDescent="0.25">
      <c r="B353" s="1504"/>
      <c r="F353" s="1511" t="s">
        <v>52</v>
      </c>
      <c r="G353" s="1512"/>
      <c r="H353" s="1513">
        <f>SUM(H349:H352)</f>
        <v>144705</v>
      </c>
    </row>
    <row r="354" spans="2:8" s="1510" customFormat="1" hidden="1" x14ac:dyDescent="0.25">
      <c r="B354" s="1504" t="s">
        <v>53</v>
      </c>
      <c r="C354" s="1510" t="s">
        <v>54</v>
      </c>
      <c r="F354" s="1511"/>
      <c r="G354" s="1512"/>
      <c r="H354" s="1513"/>
    </row>
    <row r="355" spans="2:8" s="1510" customFormat="1" hidden="1" x14ac:dyDescent="0.25">
      <c r="B355" s="1504"/>
      <c r="C355" s="1527" t="s">
        <v>857</v>
      </c>
      <c r="E355" s="1510" t="s">
        <v>130</v>
      </c>
      <c r="F355" s="1511">
        <v>0.04</v>
      </c>
      <c r="G355" s="1512">
        <f>G333</f>
        <v>2934000</v>
      </c>
      <c r="H355" s="1513">
        <f>G355*F355</f>
        <v>117360</v>
      </c>
    </row>
    <row r="356" spans="2:8" s="1510" customFormat="1" hidden="1" x14ac:dyDescent="0.25">
      <c r="B356" s="1504"/>
      <c r="C356" s="1510" t="s">
        <v>1452</v>
      </c>
      <c r="E356" s="1510" t="s">
        <v>89</v>
      </c>
      <c r="F356" s="1511">
        <v>0.4</v>
      </c>
      <c r="G356" s="1512">
        <f>G334</f>
        <v>24150</v>
      </c>
      <c r="H356" s="1513">
        <f t="shared" ref="H356:H360" si="11">G356*F356</f>
        <v>9660</v>
      </c>
    </row>
    <row r="357" spans="2:8" s="1510" customFormat="1" hidden="1" x14ac:dyDescent="0.25">
      <c r="B357" s="1504"/>
      <c r="C357" s="1510" t="s">
        <v>1424</v>
      </c>
      <c r="E357" s="1510" t="s">
        <v>58</v>
      </c>
      <c r="F357" s="1511">
        <v>0.2</v>
      </c>
      <c r="G357" s="1512">
        <f>G335</f>
        <v>29000</v>
      </c>
      <c r="H357" s="1513">
        <f t="shared" si="11"/>
        <v>5800</v>
      </c>
    </row>
    <row r="358" spans="2:8" s="1510" customFormat="1" hidden="1" x14ac:dyDescent="0.25">
      <c r="B358" s="1504"/>
      <c r="C358" s="1510" t="s">
        <v>246</v>
      </c>
      <c r="E358" s="1510" t="s">
        <v>130</v>
      </c>
      <c r="F358" s="1511">
        <v>1.4999999999999999E-2</v>
      </c>
      <c r="G358" s="1512">
        <f>G400</f>
        <v>4351000</v>
      </c>
      <c r="H358" s="1513">
        <f t="shared" si="11"/>
        <v>65265</v>
      </c>
    </row>
    <row r="359" spans="2:8" s="1510" customFormat="1" hidden="1" x14ac:dyDescent="0.25">
      <c r="B359" s="1504"/>
      <c r="C359" s="1510" t="s">
        <v>1453</v>
      </c>
      <c r="E359" s="1510" t="s">
        <v>23</v>
      </c>
      <c r="F359" s="1511">
        <v>0.35</v>
      </c>
      <c r="G359" s="1512">
        <f>G401</f>
        <v>143750</v>
      </c>
      <c r="H359" s="1513">
        <f t="shared" si="11"/>
        <v>50312.5</v>
      </c>
    </row>
    <row r="360" spans="2:8" s="1510" customFormat="1" hidden="1" x14ac:dyDescent="0.25">
      <c r="B360" s="1504"/>
      <c r="C360" s="1541" t="s">
        <v>123</v>
      </c>
      <c r="E360" s="1510" t="s">
        <v>28</v>
      </c>
      <c r="F360" s="1511">
        <v>2</v>
      </c>
      <c r="G360" s="1512">
        <f>G402</f>
        <v>34500</v>
      </c>
      <c r="H360" s="1513">
        <f t="shared" si="11"/>
        <v>69000</v>
      </c>
    </row>
    <row r="361" spans="2:8" s="1510" customFormat="1" hidden="1" x14ac:dyDescent="0.25">
      <c r="B361" s="1504"/>
      <c r="F361" s="1511" t="s">
        <v>59</v>
      </c>
      <c r="G361" s="1512"/>
      <c r="H361" s="1513">
        <f>SUM(H355:H360)</f>
        <v>317397.5</v>
      </c>
    </row>
    <row r="362" spans="2:8" s="1510" customFormat="1" hidden="1" x14ac:dyDescent="0.25">
      <c r="B362" s="1504"/>
      <c r="F362" s="1511" t="s">
        <v>1454</v>
      </c>
      <c r="G362" s="1512"/>
      <c r="H362" s="1513">
        <f>H361/2</f>
        <v>158698.75</v>
      </c>
    </row>
    <row r="363" spans="2:8" s="1510" customFormat="1" hidden="1" x14ac:dyDescent="0.25">
      <c r="B363" s="1504" t="s">
        <v>5</v>
      </c>
      <c r="C363" s="1510" t="s">
        <v>1438</v>
      </c>
      <c r="F363" s="1511"/>
      <c r="G363" s="1512"/>
      <c r="H363" s="1513">
        <f>H353+H362</f>
        <v>303403.75</v>
      </c>
    </row>
    <row r="364" spans="2:8" s="1510" customFormat="1" hidden="1" x14ac:dyDescent="0.25">
      <c r="B364" s="1504" t="s">
        <v>6</v>
      </c>
      <c r="C364" s="1510" t="s">
        <v>1449</v>
      </c>
      <c r="F364" s="1511" t="s">
        <v>1440</v>
      </c>
      <c r="G364" s="1512"/>
      <c r="H364" s="1513">
        <f>H363*15%</f>
        <v>45510.5625</v>
      </c>
    </row>
    <row r="365" spans="2:8" s="1510" customFormat="1" hidden="1" x14ac:dyDescent="0.25">
      <c r="B365" s="1504" t="s">
        <v>7</v>
      </c>
      <c r="C365" s="1510" t="s">
        <v>1441</v>
      </c>
      <c r="F365" s="1511"/>
      <c r="G365" s="1512"/>
      <c r="H365" s="2946">
        <f>SUM(H363:H364)</f>
        <v>348914.3125</v>
      </c>
    </row>
    <row r="366" spans="2:8" s="1510" customFormat="1" hidden="1" x14ac:dyDescent="0.25">
      <c r="B366" s="1504"/>
      <c r="F366" s="1511"/>
      <c r="G366" s="1512"/>
      <c r="H366" s="1513"/>
    </row>
    <row r="367" spans="2:8" s="1509" customFormat="1" ht="12.75" hidden="1" x14ac:dyDescent="0.2">
      <c r="B367" s="1505" t="s">
        <v>1455</v>
      </c>
      <c r="C367" s="1509" t="s">
        <v>1456</v>
      </c>
      <c r="F367" s="2944"/>
      <c r="G367" s="2945"/>
      <c r="H367" s="2946"/>
    </row>
    <row r="368" spans="2:8" s="1510" customFormat="1" ht="27" hidden="1" x14ac:dyDescent="0.25">
      <c r="B368" s="1515" t="s">
        <v>12</v>
      </c>
      <c r="C368" s="1516" t="s">
        <v>36</v>
      </c>
      <c r="D368" s="1516" t="s">
        <v>37</v>
      </c>
      <c r="E368" s="1516" t="s">
        <v>14</v>
      </c>
      <c r="F368" s="1517" t="s">
        <v>38</v>
      </c>
      <c r="G368" s="1518" t="s">
        <v>39</v>
      </c>
      <c r="H368" s="1519" t="s">
        <v>40</v>
      </c>
    </row>
    <row r="369" spans="2:8" s="1510" customFormat="1" hidden="1" x14ac:dyDescent="0.25">
      <c r="B369" s="1504" t="s">
        <v>41</v>
      </c>
      <c r="C369" s="1510" t="s">
        <v>42</v>
      </c>
      <c r="F369" s="1511"/>
      <c r="G369" s="1512"/>
      <c r="H369" s="1513"/>
    </row>
    <row r="370" spans="2:8" s="1510" customFormat="1" hidden="1" x14ac:dyDescent="0.25">
      <c r="B370" s="1504"/>
      <c r="C370" s="1510" t="s">
        <v>71</v>
      </c>
      <c r="D370" s="1510" t="s">
        <v>44</v>
      </c>
      <c r="E370" s="1510" t="s">
        <v>45</v>
      </c>
      <c r="F370" s="1511">
        <v>0.66</v>
      </c>
      <c r="G370" s="1512">
        <f>G349</f>
        <v>115000</v>
      </c>
      <c r="H370" s="1513">
        <f>G370*F370</f>
        <v>75900</v>
      </c>
    </row>
    <row r="371" spans="2:8" s="1510" customFormat="1" hidden="1" x14ac:dyDescent="0.25">
      <c r="B371" s="1504"/>
      <c r="C371" s="1510" t="s">
        <v>46</v>
      </c>
      <c r="D371" s="1510" t="s">
        <v>47</v>
      </c>
      <c r="E371" s="1510" t="s">
        <v>45</v>
      </c>
      <c r="F371" s="1511">
        <v>0.33</v>
      </c>
      <c r="G371" s="1512">
        <f t="shared" ref="G371:G373" si="12">G350</f>
        <v>170000</v>
      </c>
      <c r="H371" s="1513">
        <f t="shared" ref="H371:H373" si="13">G371*F371</f>
        <v>56100</v>
      </c>
    </row>
    <row r="372" spans="2:8" s="1510" customFormat="1" hidden="1" x14ac:dyDescent="0.25">
      <c r="B372" s="1504"/>
      <c r="C372" s="1510" t="s">
        <v>48</v>
      </c>
      <c r="D372" s="1510" t="s">
        <v>49</v>
      </c>
      <c r="E372" s="1510" t="s">
        <v>45</v>
      </c>
      <c r="F372" s="1511">
        <v>3.3000000000000002E-2</v>
      </c>
      <c r="G372" s="1512">
        <f t="shared" si="12"/>
        <v>185000</v>
      </c>
      <c r="H372" s="1513">
        <f t="shared" si="13"/>
        <v>6105</v>
      </c>
    </row>
    <row r="373" spans="2:8" s="1510" customFormat="1" hidden="1" x14ac:dyDescent="0.25">
      <c r="B373" s="1504"/>
      <c r="C373" s="1510" t="s">
        <v>50</v>
      </c>
      <c r="D373" s="1510" t="s">
        <v>51</v>
      </c>
      <c r="E373" s="1510" t="s">
        <v>45</v>
      </c>
      <c r="F373" s="1511">
        <v>3.3000000000000002E-2</v>
      </c>
      <c r="G373" s="1512">
        <f t="shared" si="12"/>
        <v>200000</v>
      </c>
      <c r="H373" s="1513">
        <f t="shared" si="13"/>
        <v>6600</v>
      </c>
    </row>
    <row r="374" spans="2:8" s="1510" customFormat="1" hidden="1" x14ac:dyDescent="0.25">
      <c r="B374" s="1504"/>
      <c r="F374" s="1511" t="s">
        <v>52</v>
      </c>
      <c r="G374" s="1512"/>
      <c r="H374" s="1513">
        <f>SUM(H370:H373)</f>
        <v>144705</v>
      </c>
    </row>
    <row r="375" spans="2:8" s="1510" customFormat="1" hidden="1" x14ac:dyDescent="0.25">
      <c r="B375" s="1504" t="s">
        <v>53</v>
      </c>
      <c r="C375" s="1510" t="s">
        <v>54</v>
      </c>
      <c r="F375" s="1511"/>
      <c r="G375" s="1512"/>
      <c r="H375" s="1513"/>
    </row>
    <row r="376" spans="2:8" s="1510" customFormat="1" hidden="1" x14ac:dyDescent="0.25">
      <c r="B376" s="1504"/>
      <c r="C376" s="1527" t="s">
        <v>857</v>
      </c>
      <c r="E376" s="1510" t="s">
        <v>130</v>
      </c>
      <c r="F376" s="1511">
        <v>0.04</v>
      </c>
      <c r="G376" s="1512">
        <f>G355</f>
        <v>2934000</v>
      </c>
      <c r="H376" s="1513">
        <f>G376*F376</f>
        <v>117360</v>
      </c>
    </row>
    <row r="377" spans="2:8" s="1510" customFormat="1" hidden="1" x14ac:dyDescent="0.25">
      <c r="B377" s="1504"/>
      <c r="C377" s="1510" t="s">
        <v>1452</v>
      </c>
      <c r="E377" s="1510" t="s">
        <v>89</v>
      </c>
      <c r="F377" s="1511">
        <v>0.4</v>
      </c>
      <c r="G377" s="1512">
        <f t="shared" ref="G377:G381" si="14">G356</f>
        <v>24150</v>
      </c>
      <c r="H377" s="1513">
        <f t="shared" ref="H377:H381" si="15">G377*F377</f>
        <v>9660</v>
      </c>
    </row>
    <row r="378" spans="2:8" s="1510" customFormat="1" hidden="1" x14ac:dyDescent="0.25">
      <c r="B378" s="1504"/>
      <c r="C378" s="1510" t="s">
        <v>1424</v>
      </c>
      <c r="E378" s="1510" t="s">
        <v>58</v>
      </c>
      <c r="F378" s="1511">
        <v>0.2</v>
      </c>
      <c r="G378" s="1512">
        <f t="shared" si="14"/>
        <v>29000</v>
      </c>
      <c r="H378" s="1513">
        <f t="shared" si="15"/>
        <v>5800</v>
      </c>
    </row>
    <row r="379" spans="2:8" s="1510" customFormat="1" hidden="1" x14ac:dyDescent="0.25">
      <c r="B379" s="1504"/>
      <c r="C379" s="1510" t="s">
        <v>246</v>
      </c>
      <c r="E379" s="1510" t="s">
        <v>130</v>
      </c>
      <c r="F379" s="1511">
        <v>1.7999999999999999E-2</v>
      </c>
      <c r="G379" s="1512">
        <f t="shared" si="14"/>
        <v>4351000</v>
      </c>
      <c r="H379" s="1513">
        <f t="shared" si="15"/>
        <v>78318</v>
      </c>
    </row>
    <row r="380" spans="2:8" s="1510" customFormat="1" hidden="1" x14ac:dyDescent="0.25">
      <c r="B380" s="1504"/>
      <c r="C380" s="1510" t="s">
        <v>1453</v>
      </c>
      <c r="E380" s="1510" t="s">
        <v>23</v>
      </c>
      <c r="F380" s="1511">
        <v>0.35</v>
      </c>
      <c r="G380" s="1512">
        <f t="shared" si="14"/>
        <v>143750</v>
      </c>
      <c r="H380" s="1513">
        <f t="shared" si="15"/>
        <v>50312.5</v>
      </c>
    </row>
    <row r="381" spans="2:8" s="1510" customFormat="1" hidden="1" x14ac:dyDescent="0.25">
      <c r="B381" s="1504"/>
      <c r="C381" s="1541" t="s">
        <v>123</v>
      </c>
      <c r="E381" s="1510" t="s">
        <v>28</v>
      </c>
      <c r="F381" s="1511">
        <v>2</v>
      </c>
      <c r="G381" s="1512">
        <f t="shared" si="14"/>
        <v>34500</v>
      </c>
      <c r="H381" s="1513">
        <f t="shared" si="15"/>
        <v>69000</v>
      </c>
    </row>
    <row r="382" spans="2:8" s="1510" customFormat="1" hidden="1" x14ac:dyDescent="0.25">
      <c r="B382" s="1504"/>
      <c r="F382" s="1511" t="s">
        <v>59</v>
      </c>
      <c r="G382" s="1512"/>
      <c r="H382" s="1513">
        <f>SUM(H376:H381)</f>
        <v>330450.5</v>
      </c>
    </row>
    <row r="383" spans="2:8" s="1510" customFormat="1" hidden="1" x14ac:dyDescent="0.25">
      <c r="B383" s="1504"/>
      <c r="F383" s="1511" t="s">
        <v>1454</v>
      </c>
      <c r="G383" s="1512"/>
      <c r="H383" s="1513">
        <f>H382/2</f>
        <v>165225.25</v>
      </c>
    </row>
    <row r="384" spans="2:8" s="1510" customFormat="1" hidden="1" x14ac:dyDescent="0.25">
      <c r="B384" s="1504" t="s">
        <v>5</v>
      </c>
      <c r="C384" s="1510" t="s">
        <v>1438</v>
      </c>
      <c r="F384" s="1511"/>
      <c r="G384" s="1512"/>
      <c r="H384" s="1513">
        <f>H383+H374</f>
        <v>309930.25</v>
      </c>
    </row>
    <row r="385" spans="2:8" s="1510" customFormat="1" hidden="1" x14ac:dyDescent="0.25">
      <c r="B385" s="1504" t="s">
        <v>6</v>
      </c>
      <c r="C385" s="1510" t="s">
        <v>1449</v>
      </c>
      <c r="F385" s="1511" t="s">
        <v>1440</v>
      </c>
      <c r="G385" s="1512"/>
      <c r="H385" s="1513">
        <f>H384*15%</f>
        <v>46489.537499999999</v>
      </c>
    </row>
    <row r="386" spans="2:8" s="1510" customFormat="1" hidden="1" x14ac:dyDescent="0.25">
      <c r="B386" s="1504" t="s">
        <v>7</v>
      </c>
      <c r="C386" s="1510" t="s">
        <v>1441</v>
      </c>
      <c r="F386" s="1511"/>
      <c r="G386" s="1512"/>
      <c r="H386" s="2946">
        <f>SUM(H384:H385)</f>
        <v>356419.78749999998</v>
      </c>
    </row>
    <row r="387" spans="2:8" s="1510" customFormat="1" hidden="1" x14ac:dyDescent="0.25">
      <c r="B387" s="1504"/>
      <c r="F387" s="1511"/>
      <c r="G387" s="1512"/>
      <c r="H387" s="1513"/>
    </row>
    <row r="388" spans="2:8" s="1504" customFormat="1" hidden="1" x14ac:dyDescent="0.25">
      <c r="B388" s="1505" t="s">
        <v>269</v>
      </c>
      <c r="C388" s="1505" t="s">
        <v>345</v>
      </c>
      <c r="F388" s="1506"/>
      <c r="G388" s="1507"/>
      <c r="H388" s="1508"/>
    </row>
    <row r="389" spans="2:8" s="1504" customFormat="1" ht="27" hidden="1" customHeight="1" x14ac:dyDescent="0.25">
      <c r="B389" s="1515" t="s">
        <v>12</v>
      </c>
      <c r="C389" s="1536" t="s">
        <v>36</v>
      </c>
      <c r="D389" s="1536" t="s">
        <v>37</v>
      </c>
      <c r="E389" s="1536" t="s">
        <v>14</v>
      </c>
      <c r="F389" s="1537" t="s">
        <v>38</v>
      </c>
      <c r="G389" s="1538" t="s">
        <v>39</v>
      </c>
      <c r="H389" s="1539" t="s">
        <v>40</v>
      </c>
    </row>
    <row r="390" spans="2:8" s="1504" customFormat="1" hidden="1" x14ac:dyDescent="0.25">
      <c r="B390" s="1504" t="s">
        <v>41</v>
      </c>
      <c r="C390" s="1504" t="s">
        <v>42</v>
      </c>
      <c r="F390" s="1506"/>
      <c r="G390" s="1507"/>
      <c r="H390" s="1508"/>
    </row>
    <row r="391" spans="2:8" s="1504" customFormat="1" hidden="1" x14ac:dyDescent="0.25">
      <c r="C391" s="1504" t="s">
        <v>43</v>
      </c>
      <c r="D391" s="1540" t="s">
        <v>44</v>
      </c>
      <c r="E391" s="1540" t="s">
        <v>45</v>
      </c>
      <c r="F391" s="1506">
        <v>0.66</v>
      </c>
      <c r="G391" s="1507">
        <f>UPAH!$F$13</f>
        <v>115000</v>
      </c>
      <c r="H391" s="1508">
        <f>F391*G391</f>
        <v>75900</v>
      </c>
    </row>
    <row r="392" spans="2:8" s="1504" customFormat="1" hidden="1" x14ac:dyDescent="0.25">
      <c r="C392" s="1504" t="s">
        <v>46</v>
      </c>
      <c r="D392" s="1540" t="s">
        <v>47</v>
      </c>
      <c r="E392" s="1540" t="s">
        <v>45</v>
      </c>
      <c r="F392" s="1506">
        <v>0.33</v>
      </c>
      <c r="G392" s="1507">
        <f>UPAH!$F$12</f>
        <v>170000</v>
      </c>
      <c r="H392" s="1508">
        <f>F392*G392</f>
        <v>56100</v>
      </c>
    </row>
    <row r="393" spans="2:8" s="1504" customFormat="1" hidden="1" x14ac:dyDescent="0.25">
      <c r="C393" s="1504" t="s">
        <v>48</v>
      </c>
      <c r="D393" s="1540" t="s">
        <v>49</v>
      </c>
      <c r="E393" s="1540" t="s">
        <v>45</v>
      </c>
      <c r="F393" s="1506">
        <v>3.3000000000000002E-2</v>
      </c>
      <c r="G393" s="1507">
        <f>UPAH!$F$11</f>
        <v>185000</v>
      </c>
      <c r="H393" s="1508">
        <f>F393*G393</f>
        <v>6105</v>
      </c>
    </row>
    <row r="394" spans="2:8" s="1504" customFormat="1" hidden="1" x14ac:dyDescent="0.25">
      <c r="C394" s="1504" t="s">
        <v>50</v>
      </c>
      <c r="D394" s="1540" t="s">
        <v>51</v>
      </c>
      <c r="E394" s="1540" t="s">
        <v>45</v>
      </c>
      <c r="F394" s="1506">
        <v>3.3000000000000002E-2</v>
      </c>
      <c r="G394" s="1507">
        <f>UPAH!$F$10</f>
        <v>200000</v>
      </c>
      <c r="H394" s="1508">
        <f>F394*G394</f>
        <v>6600</v>
      </c>
    </row>
    <row r="395" spans="2:8" s="1504" customFormat="1" hidden="1" x14ac:dyDescent="0.25">
      <c r="F395" s="3150" t="s">
        <v>52</v>
      </c>
      <c r="G395" s="3150"/>
      <c r="H395" s="1508">
        <f>SUM(H391:H394)</f>
        <v>144705</v>
      </c>
    </row>
    <row r="396" spans="2:8" s="1504" customFormat="1" hidden="1" x14ac:dyDescent="0.25">
      <c r="B396" s="1504" t="s">
        <v>53</v>
      </c>
      <c r="C396" s="1504" t="s">
        <v>54</v>
      </c>
      <c r="F396" s="1506"/>
      <c r="G396" s="1507"/>
      <c r="H396" s="1508"/>
    </row>
    <row r="397" spans="2:8" s="1504" customFormat="1" hidden="1" x14ac:dyDescent="0.25">
      <c r="C397" s="1541" t="s">
        <v>857</v>
      </c>
      <c r="E397" s="1540" t="s">
        <v>57</v>
      </c>
      <c r="F397" s="1506">
        <v>0.04</v>
      </c>
      <c r="G397" s="1507">
        <f>BAHAN!G49</f>
        <v>2934000</v>
      </c>
      <c r="H397" s="1508">
        <f t="shared" ref="H397:H402" si="16">F397*G397</f>
        <v>117360</v>
      </c>
    </row>
    <row r="398" spans="2:8" s="1504" customFormat="1" hidden="1" x14ac:dyDescent="0.25">
      <c r="C398" s="1541" t="s">
        <v>87</v>
      </c>
      <c r="E398" s="1540" t="s">
        <v>0</v>
      </c>
      <c r="F398" s="1506">
        <v>0.4</v>
      </c>
      <c r="G398" s="1507">
        <f>BAHAN!G39</f>
        <v>24150</v>
      </c>
      <c r="H398" s="1508">
        <f t="shared" si="16"/>
        <v>9660</v>
      </c>
    </row>
    <row r="399" spans="2:8" s="1504" customFormat="1" hidden="1" x14ac:dyDescent="0.25">
      <c r="C399" s="1541" t="s">
        <v>33</v>
      </c>
      <c r="E399" s="1540" t="s">
        <v>58</v>
      </c>
      <c r="F399" s="1506">
        <v>0.2</v>
      </c>
      <c r="G399" s="1507">
        <f>BAHAN!G78</f>
        <v>29000</v>
      </c>
      <c r="H399" s="1508">
        <f t="shared" si="16"/>
        <v>5800</v>
      </c>
    </row>
    <row r="400" spans="2:8" s="1504" customFormat="1" hidden="1" x14ac:dyDescent="0.25">
      <c r="C400" s="1541" t="s">
        <v>246</v>
      </c>
      <c r="E400" s="1540" t="s">
        <v>57</v>
      </c>
      <c r="F400" s="1506">
        <v>1.4999999999999999E-2</v>
      </c>
      <c r="G400" s="1507">
        <f>BAHAN!G50</f>
        <v>4351000</v>
      </c>
      <c r="H400" s="1508">
        <f t="shared" si="16"/>
        <v>65265</v>
      </c>
    </row>
    <row r="401" spans="2:8" s="1504" customFormat="1" ht="15.6" hidden="1" customHeight="1" x14ac:dyDescent="0.25">
      <c r="C401" s="1541" t="s">
        <v>861</v>
      </c>
      <c r="E401" s="1540" t="s">
        <v>23</v>
      </c>
      <c r="F401" s="1506">
        <v>0.35</v>
      </c>
      <c r="G401" s="1507">
        <f>BAHAN!G56</f>
        <v>143750</v>
      </c>
      <c r="H401" s="1508">
        <f t="shared" si="16"/>
        <v>50312.5</v>
      </c>
    </row>
    <row r="402" spans="2:8" s="1504" customFormat="1" hidden="1" x14ac:dyDescent="0.25">
      <c r="C402" s="1541" t="s">
        <v>123</v>
      </c>
      <c r="E402" s="1540" t="s">
        <v>30</v>
      </c>
      <c r="F402" s="1506">
        <v>6</v>
      </c>
      <c r="G402" s="1507">
        <f>BAHAN!G57</f>
        <v>34500</v>
      </c>
      <c r="H402" s="1508">
        <f t="shared" si="16"/>
        <v>207000</v>
      </c>
    </row>
    <row r="403" spans="2:8" s="1504" customFormat="1" hidden="1" x14ac:dyDescent="0.25">
      <c r="F403" s="3150" t="s">
        <v>59</v>
      </c>
      <c r="G403" s="3150"/>
      <c r="H403" s="1508">
        <f>SUM(H397:H402)</f>
        <v>455397.5</v>
      </c>
    </row>
    <row r="404" spans="2:8" s="1532" customFormat="1" hidden="1" x14ac:dyDescent="0.25">
      <c r="B404" s="1504"/>
      <c r="C404" s="1504"/>
      <c r="D404" s="1504"/>
      <c r="E404" s="1504"/>
      <c r="F404" s="3145" t="s">
        <v>344</v>
      </c>
      <c r="G404" s="3145"/>
      <c r="H404" s="1508">
        <f>H403/2</f>
        <v>227698.75</v>
      </c>
    </row>
    <row r="405" spans="2:8" s="1504" customFormat="1" hidden="1" x14ac:dyDescent="0.25">
      <c r="B405" s="1504" t="s">
        <v>5</v>
      </c>
      <c r="C405" s="1504" t="s">
        <v>60</v>
      </c>
      <c r="F405" s="1506"/>
      <c r="G405" s="1507"/>
      <c r="H405" s="1508"/>
    </row>
    <row r="406" spans="2:8" s="1504" customFormat="1" hidden="1" x14ac:dyDescent="0.25">
      <c r="F406" s="1506" t="s">
        <v>61</v>
      </c>
      <c r="G406" s="1507"/>
      <c r="H406" s="1508">
        <v>0</v>
      </c>
    </row>
    <row r="407" spans="2:8" s="1504" customFormat="1" hidden="1" x14ac:dyDescent="0.25">
      <c r="F407" s="1506"/>
      <c r="G407" s="1507"/>
      <c r="H407" s="1508"/>
    </row>
    <row r="408" spans="2:8" s="1504" customFormat="1" hidden="1" x14ac:dyDescent="0.25">
      <c r="B408" s="1504" t="s">
        <v>6</v>
      </c>
      <c r="C408" s="3149" t="s">
        <v>62</v>
      </c>
      <c r="D408" s="3149"/>
      <c r="E408" s="3149"/>
      <c r="F408" s="3149"/>
      <c r="G408" s="3149"/>
      <c r="H408" s="1508">
        <f>H395+H404+H406</f>
        <v>372403.75</v>
      </c>
    </row>
    <row r="409" spans="2:8" s="1504" customFormat="1" hidden="1" x14ac:dyDescent="0.25">
      <c r="B409" s="1504" t="s">
        <v>7</v>
      </c>
      <c r="C409" s="3149" t="s">
        <v>100</v>
      </c>
      <c r="D409" s="3149"/>
      <c r="E409" s="3149"/>
      <c r="F409" s="3153">
        <f>$J$2</f>
        <v>0.15</v>
      </c>
      <c r="G409" s="3149"/>
      <c r="H409" s="1508">
        <f>F409*H408</f>
        <v>55860.5625</v>
      </c>
    </row>
    <row r="410" spans="2:8" s="1504" customFormat="1" hidden="1" x14ac:dyDescent="0.25">
      <c r="B410" s="1504" t="s">
        <v>63</v>
      </c>
      <c r="C410" s="1542" t="s">
        <v>64</v>
      </c>
      <c r="D410" s="1542"/>
      <c r="E410" s="1542"/>
      <c r="F410" s="3145"/>
      <c r="G410" s="3145"/>
      <c r="H410" s="1508">
        <f>(H408+H409)</f>
        <v>428264.3125</v>
      </c>
    </row>
    <row r="411" spans="2:8" s="1532" customFormat="1" hidden="1" x14ac:dyDescent="0.25">
      <c r="B411" s="1521"/>
      <c r="C411" s="1522" t="s">
        <v>878</v>
      </c>
      <c r="D411" s="1522"/>
      <c r="E411" s="1522"/>
      <c r="F411" s="1522"/>
      <c r="G411" s="1522"/>
      <c r="H411" s="1543">
        <f>ROUNDDOWN(H410,2)</f>
        <v>428264.31</v>
      </c>
    </row>
    <row r="412" spans="2:8" hidden="1" x14ac:dyDescent="0.25">
      <c r="C412" s="1533"/>
      <c r="D412" s="1533"/>
      <c r="E412" s="1533"/>
      <c r="F412" s="1534"/>
      <c r="G412" s="1533"/>
    </row>
    <row r="413" spans="2:8" s="1509" customFormat="1" ht="12.75" x14ac:dyDescent="0.2">
      <c r="B413" s="1505" t="s">
        <v>1433</v>
      </c>
      <c r="C413" s="1509" t="s">
        <v>1434</v>
      </c>
      <c r="F413" s="2944"/>
      <c r="G413" s="2945"/>
      <c r="H413" s="2946"/>
    </row>
    <row r="414" spans="2:8" s="1509" customFormat="1" ht="12.75" x14ac:dyDescent="0.2">
      <c r="B414" s="1505" t="s">
        <v>1435</v>
      </c>
      <c r="C414" s="1509" t="s">
        <v>1436</v>
      </c>
      <c r="F414" s="2944"/>
      <c r="G414" s="2945"/>
      <c r="H414" s="2946"/>
    </row>
    <row r="415" spans="2:8" ht="27" x14ac:dyDescent="0.25">
      <c r="B415" s="1515" t="s">
        <v>12</v>
      </c>
      <c r="C415" s="1536" t="s">
        <v>36</v>
      </c>
      <c r="D415" s="1536" t="s">
        <v>37</v>
      </c>
      <c r="E415" s="1536" t="s">
        <v>14</v>
      </c>
      <c r="F415" s="1537" t="s">
        <v>38</v>
      </c>
      <c r="G415" s="1538" t="s">
        <v>39</v>
      </c>
      <c r="H415" s="1539" t="s">
        <v>40</v>
      </c>
    </row>
    <row r="416" spans="2:8" x14ac:dyDescent="0.25">
      <c r="B416" s="1504" t="s">
        <v>41</v>
      </c>
      <c r="C416" s="1510" t="s">
        <v>42</v>
      </c>
      <c r="D416" s="1510"/>
      <c r="E416" s="1510"/>
      <c r="F416" s="1511"/>
      <c r="G416" s="1512"/>
      <c r="H416" s="1513"/>
    </row>
    <row r="417" spans="2:8" x14ac:dyDescent="0.25">
      <c r="B417" s="1504"/>
      <c r="C417" s="1510" t="s">
        <v>71</v>
      </c>
      <c r="D417" s="1510" t="s">
        <v>44</v>
      </c>
      <c r="E417" s="1510" t="s">
        <v>45</v>
      </c>
      <c r="F417" s="1511">
        <v>0.06</v>
      </c>
      <c r="G417" s="1512">
        <f>G391</f>
        <v>115000</v>
      </c>
      <c r="H417" s="1513">
        <f>G417*F417</f>
        <v>6900</v>
      </c>
    </row>
    <row r="418" spans="2:8" x14ac:dyDescent="0.25">
      <c r="B418" s="1504"/>
      <c r="C418" s="1510" t="s">
        <v>1437</v>
      </c>
      <c r="D418" s="1510" t="s">
        <v>49</v>
      </c>
      <c r="E418" s="1510" t="s">
        <v>45</v>
      </c>
      <c r="F418" s="1511">
        <v>0.06</v>
      </c>
      <c r="G418" s="1512">
        <f t="shared" ref="G418:G420" si="17">G392</f>
        <v>170000</v>
      </c>
      <c r="H418" s="1513">
        <f t="shared" ref="H418:H420" si="18">G418*F418</f>
        <v>10200</v>
      </c>
    </row>
    <row r="419" spans="2:8" x14ac:dyDescent="0.25">
      <c r="B419" s="1504"/>
      <c r="C419" s="1510" t="s">
        <v>605</v>
      </c>
      <c r="D419" s="1510" t="s">
        <v>49</v>
      </c>
      <c r="E419" s="1510" t="s">
        <v>45</v>
      </c>
      <c r="F419" s="1511">
        <v>6.0000000000000001E-3</v>
      </c>
      <c r="G419" s="1512">
        <f t="shared" si="17"/>
        <v>185000</v>
      </c>
      <c r="H419" s="1513">
        <f t="shared" si="18"/>
        <v>1110</v>
      </c>
    </row>
    <row r="420" spans="2:8" x14ac:dyDescent="0.25">
      <c r="B420" s="1504"/>
      <c r="C420" s="1510" t="s">
        <v>50</v>
      </c>
      <c r="D420" s="1510" t="s">
        <v>51</v>
      </c>
      <c r="E420" s="1510" t="s">
        <v>45</v>
      </c>
      <c r="F420" s="1511">
        <v>3.0000000000000001E-3</v>
      </c>
      <c r="G420" s="1512">
        <f t="shared" si="17"/>
        <v>200000</v>
      </c>
      <c r="H420" s="1513">
        <f t="shared" si="18"/>
        <v>600</v>
      </c>
    </row>
    <row r="421" spans="2:8" x14ac:dyDescent="0.25">
      <c r="B421" s="1504"/>
      <c r="C421" s="1510"/>
      <c r="D421" s="1510"/>
      <c r="E421" s="1510"/>
      <c r="F421" s="1511" t="s">
        <v>52</v>
      </c>
      <c r="G421" s="1512"/>
      <c r="H421" s="1513">
        <f>SUM(H417:H420)</f>
        <v>18810</v>
      </c>
    </row>
    <row r="422" spans="2:8" x14ac:dyDescent="0.25">
      <c r="B422" s="1504" t="s">
        <v>53</v>
      </c>
      <c r="C422" s="1510" t="s">
        <v>54</v>
      </c>
      <c r="D422" s="1510"/>
      <c r="E422" s="1510"/>
      <c r="F422" s="1511"/>
      <c r="G422" s="1512"/>
      <c r="H422" s="1513"/>
    </row>
    <row r="423" spans="2:8" x14ac:dyDescent="0.25">
      <c r="B423" s="1504"/>
      <c r="C423" s="1510" t="s">
        <v>172</v>
      </c>
      <c r="D423" s="1510"/>
      <c r="E423" s="1510" t="s">
        <v>0</v>
      </c>
      <c r="F423" s="1511">
        <v>1.1499999999999999</v>
      </c>
      <c r="G423" s="1512">
        <f>BAHAN!G36</f>
        <v>23500</v>
      </c>
      <c r="H423" s="1513">
        <f>G423*F423</f>
        <v>27024.999999999996</v>
      </c>
    </row>
    <row r="424" spans="2:8" x14ac:dyDescent="0.25">
      <c r="B424" s="1504"/>
      <c r="C424" s="1510"/>
      <c r="D424" s="1510"/>
      <c r="E424" s="1510"/>
      <c r="F424" s="1511" t="s">
        <v>59</v>
      </c>
      <c r="G424" s="1512"/>
      <c r="H424" s="1513">
        <f>SUM(H423)</f>
        <v>27024.999999999996</v>
      </c>
    </row>
    <row r="425" spans="2:8" x14ac:dyDescent="0.25">
      <c r="B425" s="1504" t="s">
        <v>5</v>
      </c>
      <c r="C425" s="1510" t="s">
        <v>1438</v>
      </c>
      <c r="D425" s="1510"/>
      <c r="E425" s="1510"/>
      <c r="F425" s="1511"/>
      <c r="G425" s="1512"/>
      <c r="H425" s="1513">
        <f>H424+H421</f>
        <v>45835</v>
      </c>
    </row>
    <row r="426" spans="2:8" x14ac:dyDescent="0.25">
      <c r="B426" s="1504" t="s">
        <v>6</v>
      </c>
      <c r="C426" s="1510" t="s">
        <v>1439</v>
      </c>
      <c r="D426" s="1510"/>
      <c r="E426" s="1510"/>
      <c r="F426" s="1511" t="s">
        <v>1440</v>
      </c>
      <c r="G426" s="1512"/>
      <c r="H426" s="1513">
        <f>H425*15%</f>
        <v>6875.25</v>
      </c>
    </row>
    <row r="427" spans="2:8" s="2947" customFormat="1" ht="12.75" x14ac:dyDescent="0.2">
      <c r="B427" s="1505" t="s">
        <v>7</v>
      </c>
      <c r="C427" s="1509" t="s">
        <v>1441</v>
      </c>
      <c r="D427" s="1509"/>
      <c r="E427" s="1509"/>
      <c r="F427" s="2944"/>
      <c r="G427" s="2945"/>
      <c r="H427" s="2946">
        <f>SUM(H425:H426)</f>
        <v>52710.25</v>
      </c>
    </row>
    <row r="429" spans="2:8" x14ac:dyDescent="0.25">
      <c r="B429" s="1505" t="s">
        <v>1496</v>
      </c>
      <c r="C429" s="1509" t="s">
        <v>1497</v>
      </c>
      <c r="D429" s="1509"/>
      <c r="E429" s="1509"/>
      <c r="F429" s="2944"/>
      <c r="G429" s="2945"/>
      <c r="H429" s="2946"/>
    </row>
    <row r="430" spans="2:8" ht="24.95" customHeight="1" x14ac:dyDescent="0.25">
      <c r="B430" s="1515" t="s">
        <v>171</v>
      </c>
      <c r="C430" s="1536" t="s">
        <v>36</v>
      </c>
      <c r="D430" s="1536" t="s">
        <v>37</v>
      </c>
      <c r="E430" s="1536" t="s">
        <v>14</v>
      </c>
      <c r="F430" s="1537" t="s">
        <v>38</v>
      </c>
      <c r="G430" s="1538" t="s">
        <v>39</v>
      </c>
      <c r="H430" s="1539" t="s">
        <v>1486</v>
      </c>
    </row>
    <row r="431" spans="2:8" x14ac:dyDescent="0.25">
      <c r="B431" s="1504" t="s">
        <v>41</v>
      </c>
      <c r="C431" s="1510" t="s">
        <v>42</v>
      </c>
      <c r="D431" s="1510"/>
      <c r="E431" s="1510"/>
      <c r="F431" s="1511"/>
      <c r="G431" s="1512"/>
      <c r="H431" s="1513"/>
    </row>
    <row r="432" spans="2:8" x14ac:dyDescent="0.25">
      <c r="B432" s="1504"/>
      <c r="C432" s="1510" t="s">
        <v>71</v>
      </c>
      <c r="D432" s="1510" t="s">
        <v>44</v>
      </c>
      <c r="E432" s="1510" t="s">
        <v>45</v>
      </c>
      <c r="F432" s="1511">
        <v>0.15</v>
      </c>
      <c r="G432" s="1512">
        <f>G417</f>
        <v>115000</v>
      </c>
      <c r="H432" s="1513">
        <f t="shared" ref="H432:H435" si="19">G432*F432</f>
        <v>17250</v>
      </c>
    </row>
    <row r="433" spans="2:9" x14ac:dyDescent="0.25">
      <c r="B433" s="1504"/>
      <c r="C433" s="1510" t="s">
        <v>97</v>
      </c>
      <c r="D433" s="1510" t="s">
        <v>47</v>
      </c>
      <c r="E433" s="1510" t="s">
        <v>45</v>
      </c>
      <c r="F433" s="1511">
        <v>0.3</v>
      </c>
      <c r="G433" s="1512">
        <f t="shared" ref="G433:G435" si="20">G418</f>
        <v>170000</v>
      </c>
      <c r="H433" s="1513">
        <f t="shared" si="19"/>
        <v>51000</v>
      </c>
    </row>
    <row r="434" spans="2:9" x14ac:dyDescent="0.25">
      <c r="B434" s="1504"/>
      <c r="C434" s="1510" t="s">
        <v>605</v>
      </c>
      <c r="D434" s="1510" t="s">
        <v>49</v>
      </c>
      <c r="E434" s="1510" t="s">
        <v>45</v>
      </c>
      <c r="F434" s="1511">
        <v>0.03</v>
      </c>
      <c r="G434" s="1512">
        <f t="shared" si="20"/>
        <v>185000</v>
      </c>
      <c r="H434" s="1513">
        <f t="shared" si="19"/>
        <v>5550</v>
      </c>
    </row>
    <row r="435" spans="2:9" x14ac:dyDescent="0.25">
      <c r="B435" s="1504"/>
      <c r="C435" s="1510" t="s">
        <v>50</v>
      </c>
      <c r="D435" s="1510" t="s">
        <v>51</v>
      </c>
      <c r="E435" s="1510" t="s">
        <v>45</v>
      </c>
      <c r="F435" s="1511">
        <v>8.0000000000000002E-3</v>
      </c>
      <c r="G435" s="1512">
        <f t="shared" si="20"/>
        <v>200000</v>
      </c>
      <c r="H435" s="1513">
        <f t="shared" si="19"/>
        <v>1600</v>
      </c>
    </row>
    <row r="436" spans="2:9" x14ac:dyDescent="0.25">
      <c r="B436" s="1504"/>
      <c r="C436" s="1510"/>
      <c r="D436" s="1510"/>
      <c r="E436" s="1510"/>
      <c r="F436" s="1511" t="s">
        <v>52</v>
      </c>
      <c r="G436" s="1512"/>
      <c r="H436" s="1513">
        <f>SUM(H432:H435)</f>
        <v>75400</v>
      </c>
    </row>
    <row r="437" spans="2:9" x14ac:dyDescent="0.25">
      <c r="B437" s="1504" t="s">
        <v>53</v>
      </c>
      <c r="C437" s="1510" t="s">
        <v>54</v>
      </c>
      <c r="D437" s="1510"/>
      <c r="E437" s="1510"/>
      <c r="F437" s="1511"/>
      <c r="G437" s="1512"/>
      <c r="H437" s="1513"/>
    </row>
    <row r="438" spans="2:9" x14ac:dyDescent="0.25">
      <c r="B438" s="1504"/>
      <c r="C438" s="1510" t="s">
        <v>1498</v>
      </c>
      <c r="D438" s="1510"/>
      <c r="E438" s="1510" t="s">
        <v>8</v>
      </c>
      <c r="F438" s="1511">
        <v>1.05</v>
      </c>
      <c r="G438" s="1512">
        <f>BAHAN!G61</f>
        <v>88000</v>
      </c>
      <c r="H438" s="1513">
        <f t="shared" ref="H438:H440" si="21">G438*F438</f>
        <v>92400</v>
      </c>
    </row>
    <row r="439" spans="2:9" x14ac:dyDescent="0.25">
      <c r="B439" s="1504"/>
      <c r="C439" s="1510" t="s">
        <v>1499</v>
      </c>
      <c r="D439" s="1510"/>
      <c r="E439" s="1510" t="s">
        <v>89</v>
      </c>
      <c r="F439" s="1511">
        <v>0.01</v>
      </c>
      <c r="G439" s="1512">
        <f>BAHAN!G39</f>
        <v>24150</v>
      </c>
      <c r="H439" s="1513">
        <f t="shared" si="21"/>
        <v>241.5</v>
      </c>
    </row>
    <row r="440" spans="2:9" x14ac:dyDescent="0.25">
      <c r="B440" s="1504"/>
      <c r="C440" s="1510" t="s">
        <v>1500</v>
      </c>
      <c r="D440" s="1510"/>
      <c r="E440" s="1510" t="s">
        <v>89</v>
      </c>
      <c r="F440" s="1511">
        <v>0.5</v>
      </c>
      <c r="G440" s="1512">
        <f>BAHAN!G36</f>
        <v>23500</v>
      </c>
      <c r="H440" s="1513">
        <f t="shared" si="21"/>
        <v>11750</v>
      </c>
    </row>
    <row r="441" spans="2:9" x14ac:dyDescent="0.25">
      <c r="B441" s="1504"/>
      <c r="C441" s="1510"/>
      <c r="D441" s="1510"/>
      <c r="E441" s="1510"/>
      <c r="F441" s="1511" t="s">
        <v>59</v>
      </c>
      <c r="G441" s="1512"/>
      <c r="H441" s="1513">
        <f>SUM(H438:H440)</f>
        <v>104391.5</v>
      </c>
    </row>
    <row r="442" spans="2:9" x14ac:dyDescent="0.25">
      <c r="B442" s="1504" t="s">
        <v>5</v>
      </c>
      <c r="C442" s="1510" t="s">
        <v>1438</v>
      </c>
      <c r="D442" s="1510"/>
      <c r="E442" s="1510"/>
      <c r="F442" s="1511"/>
      <c r="G442" s="1512"/>
      <c r="H442" s="1513">
        <f>H436+H441</f>
        <v>179791.5</v>
      </c>
    </row>
    <row r="443" spans="2:9" x14ac:dyDescent="0.25">
      <c r="B443" s="1504" t="s">
        <v>6</v>
      </c>
      <c r="C443" s="1510" t="s">
        <v>1439</v>
      </c>
      <c r="D443" s="1510"/>
      <c r="E443" s="1510"/>
      <c r="F443" s="1511" t="s">
        <v>1440</v>
      </c>
      <c r="G443" s="1512"/>
      <c r="H443" s="1513">
        <f>H442*15%</f>
        <v>26968.724999999999</v>
      </c>
    </row>
    <row r="444" spans="2:9" x14ac:dyDescent="0.25">
      <c r="B444" s="1505" t="s">
        <v>7</v>
      </c>
      <c r="C444" s="1509" t="s">
        <v>1441</v>
      </c>
      <c r="D444" s="1509"/>
      <c r="E444" s="1509"/>
      <c r="F444" s="2944"/>
      <c r="G444" s="2945"/>
      <c r="H444" s="2946">
        <f>SUM(H442:H443)</f>
        <v>206760.22500000001</v>
      </c>
      <c r="I444" s="1489">
        <v>215532.77</v>
      </c>
    </row>
    <row r="446" spans="2:9" hidden="1" x14ac:dyDescent="0.25"/>
    <row r="447" spans="2:9" s="1509" customFormat="1" ht="12.75" hidden="1" x14ac:dyDescent="0.2">
      <c r="B447" s="1505" t="s">
        <v>1461</v>
      </c>
      <c r="C447" s="1509" t="s">
        <v>1462</v>
      </c>
      <c r="F447" s="2944"/>
      <c r="G447" s="2945"/>
      <c r="H447" s="2946"/>
    </row>
    <row r="448" spans="2:9" s="1509" customFormat="1" ht="12.75" hidden="1" x14ac:dyDescent="0.2">
      <c r="B448" s="1505" t="s">
        <v>1457</v>
      </c>
      <c r="C448" s="1509" t="s">
        <v>1458</v>
      </c>
      <c r="F448" s="2944"/>
      <c r="G448" s="2945"/>
      <c r="H448" s="2946"/>
    </row>
    <row r="449" spans="2:8" ht="27" hidden="1" x14ac:dyDescent="0.25">
      <c r="B449" s="1515" t="s">
        <v>12</v>
      </c>
      <c r="C449" s="1536" t="s">
        <v>36</v>
      </c>
      <c r="D449" s="1536" t="s">
        <v>37</v>
      </c>
      <c r="E449" s="1536" t="s">
        <v>14</v>
      </c>
      <c r="F449" s="1537" t="s">
        <v>38</v>
      </c>
      <c r="G449" s="1538" t="s">
        <v>39</v>
      </c>
      <c r="H449" s="1539" t="s">
        <v>40</v>
      </c>
    </row>
    <row r="450" spans="2:8" hidden="1" x14ac:dyDescent="0.25">
      <c r="B450" s="1504" t="s">
        <v>41</v>
      </c>
      <c r="C450" s="1510" t="s">
        <v>42</v>
      </c>
      <c r="D450" s="1510"/>
      <c r="E450" s="1510"/>
      <c r="F450" s="1511"/>
      <c r="G450" s="1512"/>
      <c r="H450" s="1513"/>
    </row>
    <row r="451" spans="2:8" hidden="1" x14ac:dyDescent="0.25">
      <c r="B451" s="1504"/>
      <c r="C451" s="1510" t="s">
        <v>71</v>
      </c>
      <c r="D451" s="1510" t="s">
        <v>44</v>
      </c>
      <c r="E451" s="1510" t="s">
        <v>45</v>
      </c>
      <c r="F451" s="1511">
        <v>0.3</v>
      </c>
      <c r="G451" s="1512">
        <f>G417</f>
        <v>115000</v>
      </c>
      <c r="H451" s="1513">
        <f>G451*F451</f>
        <v>34500</v>
      </c>
    </row>
    <row r="452" spans="2:8" hidden="1" x14ac:dyDescent="0.25">
      <c r="B452" s="1504"/>
      <c r="C452" s="1510" t="s">
        <v>68</v>
      </c>
      <c r="D452" s="1510" t="s">
        <v>47</v>
      </c>
      <c r="E452" s="1510" t="s">
        <v>45</v>
      </c>
      <c r="F452" s="1511">
        <v>0.35</v>
      </c>
      <c r="G452" s="1512">
        <f>G418</f>
        <v>170000</v>
      </c>
      <c r="H452" s="1513">
        <f t="shared" ref="H452:H454" si="22">G452*F452</f>
        <v>59499.999999999993</v>
      </c>
    </row>
    <row r="453" spans="2:8" hidden="1" x14ac:dyDescent="0.25">
      <c r="B453" s="1504"/>
      <c r="C453" s="1510" t="s">
        <v>605</v>
      </c>
      <c r="D453" s="1510" t="s">
        <v>49</v>
      </c>
      <c r="E453" s="1510" t="s">
        <v>45</v>
      </c>
      <c r="F453" s="1511">
        <v>0.05</v>
      </c>
      <c r="G453" s="1512">
        <f>G419</f>
        <v>185000</v>
      </c>
      <c r="H453" s="1513">
        <f t="shared" si="22"/>
        <v>9250</v>
      </c>
    </row>
    <row r="454" spans="2:8" hidden="1" x14ac:dyDescent="0.25">
      <c r="B454" s="1504"/>
      <c r="C454" s="1510" t="s">
        <v>50</v>
      </c>
      <c r="D454" s="1510" t="s">
        <v>51</v>
      </c>
      <c r="E454" s="1510" t="s">
        <v>45</v>
      </c>
      <c r="F454" s="1511">
        <v>1.2999999999999999E-3</v>
      </c>
      <c r="G454" s="1512">
        <f>G420</f>
        <v>200000</v>
      </c>
      <c r="H454" s="1513">
        <f t="shared" si="22"/>
        <v>260</v>
      </c>
    </row>
    <row r="455" spans="2:8" hidden="1" x14ac:dyDescent="0.25">
      <c r="B455" s="1504"/>
      <c r="C455" s="1510"/>
      <c r="D455" s="1510"/>
      <c r="E455" s="1510"/>
      <c r="F455" s="1511" t="s">
        <v>52</v>
      </c>
      <c r="G455" s="1512"/>
      <c r="H455" s="1513">
        <f>SUM(H451:H454)</f>
        <v>103510</v>
      </c>
    </row>
    <row r="456" spans="2:8" hidden="1" x14ac:dyDescent="0.25">
      <c r="B456" s="1504" t="s">
        <v>53</v>
      </c>
      <c r="C456" s="1510" t="s">
        <v>54</v>
      </c>
      <c r="D456" s="1510"/>
      <c r="E456" s="1510"/>
      <c r="F456" s="1511"/>
      <c r="G456" s="1512"/>
      <c r="H456" s="1513"/>
    </row>
    <row r="457" spans="2:8" hidden="1" x14ac:dyDescent="0.25">
      <c r="B457" s="1504"/>
      <c r="C457" s="1510" t="s">
        <v>1459</v>
      </c>
      <c r="D457" s="1510"/>
      <c r="E457" s="1510" t="s">
        <v>113</v>
      </c>
      <c r="F457" s="1511">
        <v>1.01</v>
      </c>
      <c r="G457" s="1512">
        <f>2600*44</f>
        <v>114400</v>
      </c>
      <c r="H457" s="1513">
        <f>G457*F457</f>
        <v>115544</v>
      </c>
    </row>
    <row r="458" spans="2:8" hidden="1" x14ac:dyDescent="0.25">
      <c r="B458" s="1504"/>
      <c r="C458" s="1510" t="s">
        <v>1460</v>
      </c>
      <c r="D458" s="1510"/>
      <c r="E458" s="1510" t="s">
        <v>130</v>
      </c>
      <c r="F458" s="1511">
        <v>0.05</v>
      </c>
      <c r="G458" s="1512">
        <f>BAHAN!G22</f>
        <v>208000</v>
      </c>
      <c r="H458" s="1513">
        <f>G458*F458</f>
        <v>10400</v>
      </c>
    </row>
    <row r="459" spans="2:8" hidden="1" x14ac:dyDescent="0.25">
      <c r="B459" s="1504"/>
      <c r="C459" s="1510"/>
      <c r="D459" s="1510"/>
      <c r="E459" s="1510"/>
      <c r="F459" s="1511" t="s">
        <v>59</v>
      </c>
      <c r="G459" s="1512"/>
      <c r="H459" s="1513">
        <f>SUM(H457:H458)</f>
        <v>125944</v>
      </c>
    </row>
    <row r="460" spans="2:8" hidden="1" x14ac:dyDescent="0.25">
      <c r="B460" s="1504" t="s">
        <v>5</v>
      </c>
      <c r="C460" s="1510" t="s">
        <v>1438</v>
      </c>
      <c r="D460" s="1510"/>
      <c r="E460" s="1510"/>
      <c r="F460" s="1511"/>
      <c r="G460" s="1512"/>
      <c r="H460" s="1513">
        <f>H459+H455</f>
        <v>229454</v>
      </c>
    </row>
    <row r="461" spans="2:8" hidden="1" x14ac:dyDescent="0.25">
      <c r="B461" s="1504" t="s">
        <v>6</v>
      </c>
      <c r="C461" s="1510" t="s">
        <v>1439</v>
      </c>
      <c r="D461" s="1510"/>
      <c r="E461" s="1510"/>
      <c r="F461" s="1511" t="s">
        <v>1440</v>
      </c>
      <c r="G461" s="1512"/>
      <c r="H461" s="1513">
        <f>H460*15%</f>
        <v>34418.1</v>
      </c>
    </row>
    <row r="462" spans="2:8" hidden="1" x14ac:dyDescent="0.25">
      <c r="B462" s="1504" t="s">
        <v>7</v>
      </c>
      <c r="C462" s="1510" t="s">
        <v>1441</v>
      </c>
      <c r="D462" s="1510"/>
      <c r="E462" s="1510"/>
      <c r="F462" s="1511"/>
      <c r="G462" s="1512"/>
      <c r="H462" s="2946">
        <f>SUM(H460:H461)</f>
        <v>263872.09999999998</v>
      </c>
    </row>
    <row r="463" spans="2:8" hidden="1" x14ac:dyDescent="0.25"/>
    <row r="464" spans="2:8" s="1509" customFormat="1" ht="12.75" hidden="1" x14ac:dyDescent="0.2">
      <c r="B464" s="1505" t="s">
        <v>1560</v>
      </c>
      <c r="C464" s="1509" t="s">
        <v>1561</v>
      </c>
      <c r="F464" s="2944"/>
      <c r="G464" s="2945"/>
      <c r="H464" s="2946"/>
    </row>
    <row r="465" spans="2:8" hidden="1" x14ac:dyDescent="0.25">
      <c r="B465" s="1505" t="s">
        <v>1562</v>
      </c>
      <c r="C465" s="1509" t="s">
        <v>1563</v>
      </c>
      <c r="D465" s="1509"/>
      <c r="E465" s="1509"/>
      <c r="F465" s="2944"/>
      <c r="G465" s="2945"/>
      <c r="H465" s="2946"/>
    </row>
    <row r="466" spans="2:8" ht="27" hidden="1" x14ac:dyDescent="0.25">
      <c r="B466" s="1515" t="s">
        <v>171</v>
      </c>
      <c r="C466" s="1536" t="s">
        <v>36</v>
      </c>
      <c r="D466" s="1536" t="s">
        <v>37</v>
      </c>
      <c r="E466" s="1536" t="s">
        <v>14</v>
      </c>
      <c r="F466" s="1537" t="s">
        <v>38</v>
      </c>
      <c r="G466" s="1538" t="s">
        <v>39</v>
      </c>
      <c r="H466" s="1539" t="s">
        <v>1517</v>
      </c>
    </row>
    <row r="467" spans="2:8" hidden="1" x14ac:dyDescent="0.25">
      <c r="B467" s="1504" t="s">
        <v>41</v>
      </c>
      <c r="C467" s="1510" t="s">
        <v>42</v>
      </c>
      <c r="D467" s="1510"/>
      <c r="E467" s="1510"/>
      <c r="F467" s="1511"/>
      <c r="G467" s="1512"/>
      <c r="H467" s="1513"/>
    </row>
    <row r="468" spans="2:8" hidden="1" x14ac:dyDescent="0.25">
      <c r="B468" s="1504"/>
      <c r="C468" s="1510" t="s">
        <v>71</v>
      </c>
      <c r="D468" s="1510" t="s">
        <v>44</v>
      </c>
      <c r="E468" s="1510" t="s">
        <v>45</v>
      </c>
      <c r="F468" s="1511">
        <v>0.1</v>
      </c>
      <c r="G468" s="1512">
        <f>G432</f>
        <v>115000</v>
      </c>
      <c r="H468" s="1513">
        <f>G468*F468</f>
        <v>11500</v>
      </c>
    </row>
    <row r="469" spans="2:8" hidden="1" x14ac:dyDescent="0.25">
      <c r="B469" s="1504"/>
      <c r="C469" s="1510" t="s">
        <v>46</v>
      </c>
      <c r="D469" s="1510" t="s">
        <v>47</v>
      </c>
      <c r="E469" s="1510" t="s">
        <v>45</v>
      </c>
      <c r="F469" s="1511">
        <v>0.05</v>
      </c>
      <c r="G469" s="1512">
        <f>G433</f>
        <v>170000</v>
      </c>
      <c r="H469" s="1513">
        <f t="shared" ref="H469:H471" si="23">G469*F469</f>
        <v>8500</v>
      </c>
    </row>
    <row r="470" spans="2:8" hidden="1" x14ac:dyDescent="0.25">
      <c r="B470" s="1504"/>
      <c r="C470" s="1510" t="s">
        <v>605</v>
      </c>
      <c r="D470" s="1510" t="s">
        <v>49</v>
      </c>
      <c r="E470" s="1510" t="s">
        <v>45</v>
      </c>
      <c r="F470" s="1511">
        <v>5.0000000000000001E-3</v>
      </c>
      <c r="G470" s="1512">
        <f>G434</f>
        <v>185000</v>
      </c>
      <c r="H470" s="1513">
        <f t="shared" si="23"/>
        <v>925</v>
      </c>
    </row>
    <row r="471" spans="2:8" hidden="1" x14ac:dyDescent="0.25">
      <c r="B471" s="1504"/>
      <c r="C471" s="1510" t="s">
        <v>50</v>
      </c>
      <c r="D471" s="1510" t="s">
        <v>51</v>
      </c>
      <c r="E471" s="1510" t="s">
        <v>45</v>
      </c>
      <c r="F471" s="1511">
        <v>5.0000000000000001E-3</v>
      </c>
      <c r="G471" s="1512">
        <f>G435</f>
        <v>200000</v>
      </c>
      <c r="H471" s="1513">
        <f t="shared" si="23"/>
        <v>1000</v>
      </c>
    </row>
    <row r="472" spans="2:8" hidden="1" x14ac:dyDescent="0.25">
      <c r="B472" s="1504"/>
      <c r="C472" s="1510"/>
      <c r="D472" s="1510"/>
      <c r="E472" s="1510"/>
      <c r="F472" s="1511" t="s">
        <v>52</v>
      </c>
      <c r="G472" s="1512"/>
      <c r="H472" s="1513">
        <f>SUM(H468:H471)</f>
        <v>21925</v>
      </c>
    </row>
    <row r="473" spans="2:8" hidden="1" x14ac:dyDescent="0.25">
      <c r="B473" s="1504" t="s">
        <v>53</v>
      </c>
      <c r="C473" s="1510" t="s">
        <v>54</v>
      </c>
      <c r="D473" s="1510"/>
      <c r="E473" s="1510"/>
      <c r="F473" s="1511"/>
      <c r="G473" s="1512"/>
      <c r="H473" s="1513"/>
    </row>
    <row r="474" spans="2:8" hidden="1" x14ac:dyDescent="0.25">
      <c r="B474" s="1504"/>
      <c r="C474" s="1510" t="s">
        <v>1564</v>
      </c>
      <c r="D474" s="1510"/>
      <c r="E474" s="1510" t="s">
        <v>113</v>
      </c>
      <c r="F474" s="1511">
        <v>1.1000000000000001</v>
      </c>
      <c r="G474" s="1512">
        <f>BAHAN!G67</f>
        <v>128750</v>
      </c>
      <c r="H474" s="1513">
        <f>G474*F474</f>
        <v>141625</v>
      </c>
    </row>
    <row r="475" spans="2:8" hidden="1" x14ac:dyDescent="0.25">
      <c r="B475" s="1504"/>
      <c r="C475" s="1510" t="s">
        <v>1565</v>
      </c>
      <c r="D475" s="1510"/>
      <c r="E475" s="1510" t="s">
        <v>89</v>
      </c>
      <c r="F475" s="1511">
        <v>0.11</v>
      </c>
      <c r="G475" s="1512">
        <v>33600</v>
      </c>
      <c r="H475" s="1513">
        <f>G475*F475</f>
        <v>3696</v>
      </c>
    </row>
    <row r="476" spans="2:8" hidden="1" x14ac:dyDescent="0.25">
      <c r="B476" s="1504"/>
      <c r="C476" s="1510"/>
      <c r="D476" s="1510"/>
      <c r="E476" s="1510"/>
      <c r="F476" s="1511" t="s">
        <v>59</v>
      </c>
      <c r="G476" s="1512"/>
      <c r="H476" s="1513">
        <f>SUM(H474:H475)</f>
        <v>145321</v>
      </c>
    </row>
    <row r="477" spans="2:8" hidden="1" x14ac:dyDescent="0.25">
      <c r="B477" s="1504" t="s">
        <v>5</v>
      </c>
      <c r="C477" s="1510" t="s">
        <v>1438</v>
      </c>
      <c r="D477" s="1510"/>
      <c r="E477" s="1510"/>
      <c r="F477" s="1511"/>
      <c r="G477" s="1512"/>
      <c r="H477" s="1513">
        <f>H472+H476</f>
        <v>167246</v>
      </c>
    </row>
    <row r="478" spans="2:8" hidden="1" x14ac:dyDescent="0.25">
      <c r="B478" s="1504" t="s">
        <v>6</v>
      </c>
      <c r="C478" s="1510" t="s">
        <v>1439</v>
      </c>
      <c r="D478" s="1510"/>
      <c r="E478" s="1510"/>
      <c r="F478" s="1511" t="s">
        <v>1440</v>
      </c>
      <c r="G478" s="1512"/>
      <c r="H478" s="1513">
        <f>H477*15%</f>
        <v>25086.899999999998</v>
      </c>
    </row>
    <row r="479" spans="2:8" hidden="1" x14ac:dyDescent="0.25">
      <c r="B479" s="1504" t="s">
        <v>7</v>
      </c>
      <c r="C479" s="1510" t="s">
        <v>1441</v>
      </c>
      <c r="D479" s="1510"/>
      <c r="E479" s="1510"/>
      <c r="F479" s="1511"/>
      <c r="G479" s="1512"/>
      <c r="H479" s="2946">
        <f>SUM(H477:H478)</f>
        <v>192332.9</v>
      </c>
    </row>
    <row r="480" spans="2:8" hidden="1" x14ac:dyDescent="0.25">
      <c r="B480" s="1505"/>
      <c r="C480" s="1509"/>
      <c r="D480" s="1509"/>
      <c r="E480" s="1509"/>
      <c r="F480" s="2944"/>
      <c r="G480" s="2945"/>
      <c r="H480" s="2946"/>
    </row>
    <row r="481" spans="2:8" x14ac:dyDescent="0.25">
      <c r="B481" s="1505" t="s">
        <v>1489</v>
      </c>
      <c r="C481" s="1509" t="s">
        <v>1490</v>
      </c>
      <c r="D481" s="1509"/>
      <c r="E481" s="1509"/>
      <c r="F481" s="2944"/>
      <c r="G481" s="2945"/>
      <c r="H481" s="2946"/>
    </row>
    <row r="482" spans="2:8" hidden="1" x14ac:dyDescent="0.25">
      <c r="B482" s="1505" t="s">
        <v>1514</v>
      </c>
      <c r="C482" s="1509" t="s">
        <v>1515</v>
      </c>
      <c r="D482" s="1509"/>
      <c r="E482" s="1509"/>
      <c r="F482" s="2944"/>
      <c r="G482" s="2945"/>
      <c r="H482" s="2946"/>
    </row>
    <row r="483" spans="2:8" ht="24.95" hidden="1" customHeight="1" x14ac:dyDescent="0.25">
      <c r="B483" s="1515" t="s">
        <v>171</v>
      </c>
      <c r="C483" s="1536" t="s">
        <v>36</v>
      </c>
      <c r="D483" s="1536" t="s">
        <v>37</v>
      </c>
      <c r="E483" s="1536" t="s">
        <v>14</v>
      </c>
      <c r="F483" s="1537" t="s">
        <v>38</v>
      </c>
      <c r="G483" s="1538" t="s">
        <v>39</v>
      </c>
      <c r="H483" s="1539" t="s">
        <v>1517</v>
      </c>
    </row>
    <row r="484" spans="2:8" hidden="1" x14ac:dyDescent="0.25">
      <c r="B484" s="1504" t="s">
        <v>41</v>
      </c>
      <c r="C484" s="1510" t="s">
        <v>42</v>
      </c>
      <c r="D484" s="1510"/>
      <c r="E484" s="1510"/>
      <c r="F484" s="1511"/>
      <c r="G484" s="1512"/>
      <c r="H484" s="1513"/>
    </row>
    <row r="485" spans="2:8" hidden="1" x14ac:dyDescent="0.25">
      <c r="B485" s="1504"/>
      <c r="C485" s="1510" t="s">
        <v>71</v>
      </c>
      <c r="D485" s="1510" t="s">
        <v>44</v>
      </c>
      <c r="E485" s="1510" t="s">
        <v>45</v>
      </c>
      <c r="F485" s="1511">
        <v>0.14000000000000001</v>
      </c>
      <c r="G485" s="1512">
        <f>G451</f>
        <v>115000</v>
      </c>
      <c r="H485" s="1513">
        <f>G485*F485</f>
        <v>16100.000000000002</v>
      </c>
    </row>
    <row r="486" spans="2:8" hidden="1" x14ac:dyDescent="0.25">
      <c r="B486" s="1504"/>
      <c r="C486" s="1510" t="s">
        <v>46</v>
      </c>
      <c r="D486" s="1510" t="s">
        <v>47</v>
      </c>
      <c r="E486" s="1510" t="s">
        <v>45</v>
      </c>
      <c r="F486" s="1511">
        <v>6.7000000000000004E-2</v>
      </c>
      <c r="G486" s="1512">
        <f>G452</f>
        <v>170000</v>
      </c>
      <c r="H486" s="1513">
        <f t="shared" ref="H486:H488" si="24">G486*F486</f>
        <v>11390</v>
      </c>
    </row>
    <row r="487" spans="2:8" hidden="1" x14ac:dyDescent="0.25">
      <c r="B487" s="1504"/>
      <c r="C487" s="1510" t="s">
        <v>605</v>
      </c>
      <c r="D487" s="1510" t="s">
        <v>49</v>
      </c>
      <c r="E487" s="1510" t="s">
        <v>45</v>
      </c>
      <c r="F487" s="1511">
        <v>7.0000000000000001E-3</v>
      </c>
      <c r="G487" s="1512">
        <f>G453</f>
        <v>185000</v>
      </c>
      <c r="H487" s="1513">
        <f t="shared" si="24"/>
        <v>1295</v>
      </c>
    </row>
    <row r="488" spans="2:8" hidden="1" x14ac:dyDescent="0.25">
      <c r="B488" s="1504"/>
      <c r="C488" s="1510" t="s">
        <v>50</v>
      </c>
      <c r="D488" s="1510" t="s">
        <v>51</v>
      </c>
      <c r="E488" s="1510" t="s">
        <v>45</v>
      </c>
      <c r="F488" s="1511">
        <v>7.0000000000000001E-3</v>
      </c>
      <c r="G488" s="1512">
        <f>G454</f>
        <v>200000</v>
      </c>
      <c r="H488" s="1513">
        <f t="shared" si="24"/>
        <v>1400</v>
      </c>
    </row>
    <row r="489" spans="2:8" hidden="1" x14ac:dyDescent="0.25">
      <c r="B489" s="1504"/>
      <c r="C489" s="1510"/>
      <c r="D489" s="1510"/>
      <c r="E489" s="1510"/>
      <c r="F489" s="1511" t="s">
        <v>52</v>
      </c>
      <c r="G489" s="1512"/>
      <c r="H489" s="1513">
        <f>SUM(H485:H488)</f>
        <v>30185</v>
      </c>
    </row>
    <row r="490" spans="2:8" hidden="1" x14ac:dyDescent="0.25">
      <c r="B490" s="1504" t="s">
        <v>53</v>
      </c>
      <c r="C490" s="1510" t="s">
        <v>54</v>
      </c>
      <c r="D490" s="1510"/>
      <c r="E490" s="1510"/>
      <c r="F490" s="1511"/>
      <c r="G490" s="1512"/>
      <c r="H490" s="1513"/>
    </row>
    <row r="491" spans="2:8" hidden="1" x14ac:dyDescent="0.25">
      <c r="B491" s="1504"/>
      <c r="C491" s="1510" t="s">
        <v>1513</v>
      </c>
      <c r="D491" s="1510"/>
      <c r="E491" s="1510" t="s">
        <v>113</v>
      </c>
      <c r="F491" s="1511">
        <v>1.1000000000000001</v>
      </c>
      <c r="G491" s="1512">
        <f>BAHAN!G65</f>
        <v>1650000</v>
      </c>
      <c r="H491" s="1513">
        <f>G491*F491</f>
        <v>1815000.0000000002</v>
      </c>
    </row>
    <row r="492" spans="2:8" hidden="1" x14ac:dyDescent="0.25">
      <c r="B492" s="1504"/>
      <c r="C492" s="1510" t="s">
        <v>1512</v>
      </c>
      <c r="D492" s="1510"/>
      <c r="E492" s="1510" t="s">
        <v>0</v>
      </c>
      <c r="F492" s="1511">
        <v>0.2</v>
      </c>
      <c r="G492" s="1512">
        <v>33600</v>
      </c>
      <c r="H492" s="1513">
        <f>G492*F492</f>
        <v>6720</v>
      </c>
    </row>
    <row r="493" spans="2:8" hidden="1" x14ac:dyDescent="0.25">
      <c r="B493" s="1504"/>
      <c r="C493" s="1510"/>
      <c r="D493" s="1510"/>
      <c r="E493" s="1510"/>
      <c r="F493" s="1511" t="s">
        <v>59</v>
      </c>
      <c r="G493" s="1512"/>
      <c r="H493" s="1513">
        <f>SUM(H491:H492)</f>
        <v>1821720.0000000002</v>
      </c>
    </row>
    <row r="494" spans="2:8" hidden="1" x14ac:dyDescent="0.25">
      <c r="B494" s="1504" t="s">
        <v>5</v>
      </c>
      <c r="C494" s="1510" t="s">
        <v>1438</v>
      </c>
      <c r="D494" s="1510"/>
      <c r="E494" s="1510"/>
      <c r="F494" s="1511"/>
      <c r="G494" s="1512"/>
      <c r="H494" s="1513">
        <f>H489+H493</f>
        <v>1851905.0000000002</v>
      </c>
    </row>
    <row r="495" spans="2:8" hidden="1" x14ac:dyDescent="0.25">
      <c r="B495" s="1504" t="s">
        <v>6</v>
      </c>
      <c r="C495" s="1510" t="s">
        <v>1439</v>
      </c>
      <c r="D495" s="1510"/>
      <c r="E495" s="1510"/>
      <c r="F495" s="1511" t="s">
        <v>1440</v>
      </c>
      <c r="G495" s="1512"/>
      <c r="H495" s="1513">
        <f>H494*15%</f>
        <v>277785.75</v>
      </c>
    </row>
    <row r="496" spans="2:8" hidden="1" x14ac:dyDescent="0.25">
      <c r="B496" s="1504" t="s">
        <v>7</v>
      </c>
      <c r="C496" s="1510" t="s">
        <v>1441</v>
      </c>
      <c r="D496" s="1510"/>
      <c r="E496" s="1510"/>
      <c r="F496" s="1511"/>
      <c r="G496" s="1512"/>
      <c r="H496" s="2946">
        <f>SUM(H494:H495)</f>
        <v>2129690.75</v>
      </c>
    </row>
    <row r="497" spans="2:9" hidden="1" x14ac:dyDescent="0.25">
      <c r="B497" s="1505"/>
      <c r="C497" s="1509"/>
      <c r="D497" s="1509"/>
      <c r="E497" s="1509"/>
      <c r="F497" s="2944"/>
      <c r="G497" s="2945"/>
      <c r="H497" s="2946"/>
    </row>
    <row r="498" spans="2:9" x14ac:dyDescent="0.25">
      <c r="B498" s="1505" t="s">
        <v>1485</v>
      </c>
      <c r="C498" s="1509" t="s">
        <v>1582</v>
      </c>
      <c r="D498" s="1509"/>
      <c r="E498" s="1509"/>
      <c r="F498" s="2944"/>
      <c r="G498" s="2945"/>
      <c r="H498" s="2946"/>
    </row>
    <row r="499" spans="2:9" ht="27" customHeight="1" x14ac:dyDescent="0.25">
      <c r="B499" s="1515" t="s">
        <v>171</v>
      </c>
      <c r="C499" s="1536" t="s">
        <v>36</v>
      </c>
      <c r="D499" s="1536" t="s">
        <v>37</v>
      </c>
      <c r="E499" s="1536" t="s">
        <v>14</v>
      </c>
      <c r="F499" s="1537" t="s">
        <v>38</v>
      </c>
      <c r="G499" s="1538" t="s">
        <v>39</v>
      </c>
      <c r="H499" s="1539" t="s">
        <v>1517</v>
      </c>
    </row>
    <row r="500" spans="2:9" x14ac:dyDescent="0.25">
      <c r="B500" s="1504" t="s">
        <v>41</v>
      </c>
      <c r="C500" s="1510" t="s">
        <v>42</v>
      </c>
      <c r="D500" s="1510"/>
      <c r="E500" s="1510"/>
      <c r="F500" s="1511"/>
      <c r="G500" s="1512"/>
      <c r="H500" s="1513"/>
    </row>
    <row r="501" spans="2:9" x14ac:dyDescent="0.25">
      <c r="B501" s="1504"/>
      <c r="C501" s="1510" t="s">
        <v>71</v>
      </c>
      <c r="D501" s="1510" t="s">
        <v>44</v>
      </c>
      <c r="E501" s="1510" t="s">
        <v>45</v>
      </c>
      <c r="F501" s="1511">
        <v>0.2</v>
      </c>
      <c r="G501" s="1512">
        <f>G451</f>
        <v>115000</v>
      </c>
      <c r="H501" s="1513">
        <f>G501*F501</f>
        <v>23000</v>
      </c>
    </row>
    <row r="502" spans="2:9" x14ac:dyDescent="0.25">
      <c r="B502" s="1504"/>
      <c r="C502" s="1510" t="s">
        <v>46</v>
      </c>
      <c r="D502" s="1510" t="s">
        <v>47</v>
      </c>
      <c r="E502" s="1510" t="s">
        <v>45</v>
      </c>
      <c r="F502" s="1511">
        <v>0.1</v>
      </c>
      <c r="G502" s="1512">
        <f>G452</f>
        <v>170000</v>
      </c>
      <c r="H502" s="1513">
        <f t="shared" ref="H502:H504" si="25">G502*F502</f>
        <v>17000</v>
      </c>
    </row>
    <row r="503" spans="2:9" x14ac:dyDescent="0.25">
      <c r="B503" s="1504"/>
      <c r="C503" s="1510" t="s">
        <v>605</v>
      </c>
      <c r="D503" s="1510" t="s">
        <v>49</v>
      </c>
      <c r="E503" s="1510" t="s">
        <v>45</v>
      </c>
      <c r="F503" s="1511">
        <v>0.01</v>
      </c>
      <c r="G503" s="1512">
        <f>G453</f>
        <v>185000</v>
      </c>
      <c r="H503" s="1513">
        <f t="shared" si="25"/>
        <v>1850</v>
      </c>
    </row>
    <row r="504" spans="2:9" x14ac:dyDescent="0.25">
      <c r="B504" s="1504"/>
      <c r="C504" s="1510" t="s">
        <v>50</v>
      </c>
      <c r="D504" s="1510" t="s">
        <v>51</v>
      </c>
      <c r="E504" s="1510" t="s">
        <v>45</v>
      </c>
      <c r="F504" s="1511">
        <v>1E-3</v>
      </c>
      <c r="G504" s="1512">
        <f>G454</f>
        <v>200000</v>
      </c>
      <c r="H504" s="1513">
        <f t="shared" si="25"/>
        <v>200</v>
      </c>
    </row>
    <row r="505" spans="2:9" x14ac:dyDescent="0.25">
      <c r="B505" s="1504"/>
      <c r="C505" s="1510"/>
      <c r="D505" s="1510"/>
      <c r="E505" s="1510"/>
      <c r="F505" s="1511" t="s">
        <v>52</v>
      </c>
      <c r="G505" s="1512"/>
      <c r="H505" s="1513">
        <f>SUM(H501:H504)</f>
        <v>42050</v>
      </c>
    </row>
    <row r="506" spans="2:9" x14ac:dyDescent="0.25">
      <c r="B506" s="1504" t="s">
        <v>53</v>
      </c>
      <c r="C506" s="1510" t="s">
        <v>54</v>
      </c>
      <c r="D506" s="1510"/>
      <c r="E506" s="1510"/>
      <c r="F506" s="1511"/>
      <c r="G506" s="1512"/>
      <c r="H506" s="1513"/>
    </row>
    <row r="507" spans="2:9" x14ac:dyDescent="0.25">
      <c r="B507" s="1504"/>
      <c r="C507" s="1510" t="s">
        <v>1583</v>
      </c>
      <c r="D507" s="1510"/>
      <c r="E507" s="1510" t="s">
        <v>1487</v>
      </c>
      <c r="F507" s="1511">
        <v>5.04</v>
      </c>
      <c r="G507" s="1512">
        <f>BAHAN!G63</f>
        <v>47950</v>
      </c>
      <c r="H507" s="1513">
        <f>G507*F507</f>
        <v>241668</v>
      </c>
    </row>
    <row r="508" spans="2:9" x14ac:dyDescent="0.25">
      <c r="B508" s="1504"/>
      <c r="C508" s="1510" t="s">
        <v>1488</v>
      </c>
      <c r="D508" s="1510"/>
      <c r="E508" s="1510" t="s">
        <v>0</v>
      </c>
      <c r="F508" s="1511">
        <v>0.2</v>
      </c>
      <c r="G508" s="1512">
        <v>33600</v>
      </c>
      <c r="H508" s="1513">
        <f>G508*F508</f>
        <v>6720</v>
      </c>
    </row>
    <row r="509" spans="2:9" x14ac:dyDescent="0.25">
      <c r="B509" s="1504"/>
      <c r="C509" s="1510"/>
      <c r="D509" s="1510"/>
      <c r="E509" s="1510"/>
      <c r="F509" s="1511" t="s">
        <v>59</v>
      </c>
      <c r="G509" s="1512"/>
      <c r="H509" s="1513">
        <f>SUM(H507:H508)</f>
        <v>248388</v>
      </c>
    </row>
    <row r="510" spans="2:9" x14ac:dyDescent="0.25">
      <c r="B510" s="1504" t="s">
        <v>5</v>
      </c>
      <c r="C510" s="1510" t="s">
        <v>1438</v>
      </c>
      <c r="D510" s="1510"/>
      <c r="E510" s="1510"/>
      <c r="F510" s="1511"/>
      <c r="G510" s="1512"/>
      <c r="H510" s="1513">
        <f>H505+H509</f>
        <v>290438</v>
      </c>
    </row>
    <row r="511" spans="2:9" x14ac:dyDescent="0.25">
      <c r="B511" s="1504" t="s">
        <v>6</v>
      </c>
      <c r="C511" s="1510" t="s">
        <v>1439</v>
      </c>
      <c r="D511" s="1510"/>
      <c r="E511" s="1510"/>
      <c r="F511" s="1511" t="s">
        <v>1440</v>
      </c>
      <c r="G511" s="1512"/>
      <c r="H511" s="1513">
        <f>H510*15%</f>
        <v>43565.7</v>
      </c>
    </row>
    <row r="512" spans="2:9" x14ac:dyDescent="0.25">
      <c r="B512" s="1504" t="s">
        <v>7</v>
      </c>
      <c r="C512" s="1510" t="s">
        <v>1441</v>
      </c>
      <c r="D512" s="1510"/>
      <c r="E512" s="1510"/>
      <c r="F512" s="1511"/>
      <c r="G512" s="1512"/>
      <c r="H512" s="2946">
        <f>SUM(H510:H511)</f>
        <v>334003.7</v>
      </c>
      <c r="I512" s="1535">
        <f>H512</f>
        <v>334003.7</v>
      </c>
    </row>
    <row r="514" spans="2:8" hidden="1" x14ac:dyDescent="0.25"/>
    <row r="515" spans="2:8" x14ac:dyDescent="0.25">
      <c r="B515" s="1505" t="s">
        <v>1491</v>
      </c>
      <c r="C515" s="1509" t="s">
        <v>1584</v>
      </c>
      <c r="D515" s="1509"/>
      <c r="E515" s="1509"/>
      <c r="F515" s="2944"/>
      <c r="G515" s="2945"/>
      <c r="H515" s="2946"/>
    </row>
    <row r="516" spans="2:8" ht="27" customHeight="1" x14ac:dyDescent="0.25">
      <c r="B516" s="1515" t="s">
        <v>171</v>
      </c>
      <c r="C516" s="1536" t="s">
        <v>36</v>
      </c>
      <c r="D516" s="1536" t="s">
        <v>37</v>
      </c>
      <c r="E516" s="1536" t="s">
        <v>14</v>
      </c>
      <c r="F516" s="1537" t="s">
        <v>38</v>
      </c>
      <c r="G516" s="1538" t="s">
        <v>39</v>
      </c>
      <c r="H516" s="1539" t="s">
        <v>1517</v>
      </c>
    </row>
    <row r="517" spans="2:8" x14ac:dyDescent="0.25">
      <c r="B517" s="1504" t="s">
        <v>41</v>
      </c>
      <c r="C517" s="1510" t="s">
        <v>42</v>
      </c>
      <c r="D517" s="1510"/>
      <c r="E517" s="1510"/>
      <c r="F517" s="1511"/>
      <c r="G517" s="1512"/>
      <c r="H517" s="1513"/>
    </row>
    <row r="518" spans="2:8" x14ac:dyDescent="0.25">
      <c r="B518" s="1504"/>
      <c r="C518" s="1510" t="s">
        <v>71</v>
      </c>
      <c r="D518" s="1510" t="s">
        <v>44</v>
      </c>
      <c r="E518" s="1510" t="s">
        <v>45</v>
      </c>
      <c r="F518" s="1511">
        <v>0.25</v>
      </c>
      <c r="G518" s="1512">
        <f>G501</f>
        <v>115000</v>
      </c>
      <c r="H518" s="1513">
        <f t="shared" ref="H518:H521" si="26">G518*F518</f>
        <v>28750</v>
      </c>
    </row>
    <row r="519" spans="2:8" x14ac:dyDescent="0.25">
      <c r="B519" s="1504"/>
      <c r="C519" s="1510" t="s">
        <v>46</v>
      </c>
      <c r="D519" s="1510" t="s">
        <v>47</v>
      </c>
      <c r="E519" s="1510" t="s">
        <v>45</v>
      </c>
      <c r="F519" s="1511">
        <v>0.15</v>
      </c>
      <c r="G519" s="1512">
        <f t="shared" ref="G519:G521" si="27">G502</f>
        <v>170000</v>
      </c>
      <c r="H519" s="1513">
        <f t="shared" si="26"/>
        <v>25500</v>
      </c>
    </row>
    <row r="520" spans="2:8" x14ac:dyDescent="0.25">
      <c r="B520" s="1504"/>
      <c r="C520" s="1510" t="s">
        <v>605</v>
      </c>
      <c r="D520" s="1510" t="s">
        <v>49</v>
      </c>
      <c r="E520" s="1510" t="s">
        <v>45</v>
      </c>
      <c r="F520" s="1511">
        <v>1.4999999999999999E-2</v>
      </c>
      <c r="G520" s="1512">
        <f t="shared" si="27"/>
        <v>185000</v>
      </c>
      <c r="H520" s="1513">
        <f t="shared" si="26"/>
        <v>2775</v>
      </c>
    </row>
    <row r="521" spans="2:8" x14ac:dyDescent="0.25">
      <c r="B521" s="1504"/>
      <c r="C521" s="1510" t="s">
        <v>50</v>
      </c>
      <c r="D521" s="1510" t="s">
        <v>51</v>
      </c>
      <c r="E521" s="1510" t="s">
        <v>45</v>
      </c>
      <c r="F521" s="1511">
        <v>1.2999999999999999E-2</v>
      </c>
      <c r="G521" s="1512">
        <f t="shared" si="27"/>
        <v>200000</v>
      </c>
      <c r="H521" s="1513">
        <f t="shared" si="26"/>
        <v>2600</v>
      </c>
    </row>
    <row r="522" spans="2:8" x14ac:dyDescent="0.25">
      <c r="B522" s="1504"/>
      <c r="C522" s="1510"/>
      <c r="D522" s="1510"/>
      <c r="E522" s="1510"/>
      <c r="F522" s="1511" t="s">
        <v>52</v>
      </c>
      <c r="G522" s="1512"/>
      <c r="H522" s="1513">
        <f>SUM(H518:H521)</f>
        <v>59625</v>
      </c>
    </row>
    <row r="523" spans="2:8" x14ac:dyDescent="0.25">
      <c r="B523" s="1504" t="s">
        <v>53</v>
      </c>
      <c r="C523" s="1510" t="s">
        <v>54</v>
      </c>
      <c r="D523" s="1510"/>
      <c r="E523" s="1510"/>
      <c r="F523" s="1511"/>
      <c r="G523" s="1512"/>
      <c r="H523" s="1513"/>
    </row>
    <row r="524" spans="2:8" x14ac:dyDescent="0.25">
      <c r="B524" s="1504"/>
      <c r="C524" s="1510" t="s">
        <v>1585</v>
      </c>
      <c r="D524" s="1510"/>
      <c r="E524" s="1510" t="s">
        <v>9</v>
      </c>
      <c r="F524" s="1511">
        <v>1.1000000000000001</v>
      </c>
      <c r="G524" s="1512">
        <f>BAHAN!G64</f>
        <v>35000</v>
      </c>
      <c r="H524" s="1513">
        <f t="shared" ref="H524:H525" si="28">G524*F524</f>
        <v>38500</v>
      </c>
    </row>
    <row r="525" spans="2:8" x14ac:dyDescent="0.25">
      <c r="B525" s="1504"/>
      <c r="C525" s="1510" t="s">
        <v>1488</v>
      </c>
      <c r="D525" s="1510"/>
      <c r="E525" s="1510" t="s">
        <v>0</v>
      </c>
      <c r="F525" s="1511">
        <v>0.05</v>
      </c>
      <c r="G525" s="1512">
        <f>BAHAN!G41</f>
        <v>35000</v>
      </c>
      <c r="H525" s="1513">
        <f t="shared" si="28"/>
        <v>1750</v>
      </c>
    </row>
    <row r="526" spans="2:8" x14ac:dyDescent="0.25">
      <c r="B526" s="1504"/>
      <c r="C526" s="1510"/>
      <c r="D526" s="1510"/>
      <c r="E526" s="1510"/>
      <c r="F526" s="1511" t="s">
        <v>59</v>
      </c>
      <c r="G526" s="1512"/>
      <c r="H526" s="1513">
        <f>SUM(H524:H525)</f>
        <v>40250</v>
      </c>
    </row>
    <row r="527" spans="2:8" x14ac:dyDescent="0.25">
      <c r="B527" s="1504" t="s">
        <v>5</v>
      </c>
      <c r="C527" s="1510" t="s">
        <v>1438</v>
      </c>
      <c r="D527" s="1510"/>
      <c r="E527" s="1510"/>
      <c r="F527" s="1511"/>
      <c r="G527" s="1512"/>
      <c r="H527" s="1513">
        <f>H526+H522</f>
        <v>99875</v>
      </c>
    </row>
    <row r="528" spans="2:8" x14ac:dyDescent="0.25">
      <c r="B528" s="1504" t="s">
        <v>6</v>
      </c>
      <c r="C528" s="1510" t="s">
        <v>1439</v>
      </c>
      <c r="D528" s="1510"/>
      <c r="E528" s="1510"/>
      <c r="F528" s="1511" t="s">
        <v>1440</v>
      </c>
      <c r="G528" s="1512"/>
      <c r="H528" s="1513">
        <f>H527*15%</f>
        <v>14981.25</v>
      </c>
    </row>
    <row r="529" spans="2:10" x14ac:dyDescent="0.25">
      <c r="B529" s="1504" t="s">
        <v>7</v>
      </c>
      <c r="C529" s="1510" t="s">
        <v>1441</v>
      </c>
      <c r="D529" s="1510"/>
      <c r="E529" s="1510"/>
      <c r="F529" s="1511"/>
      <c r="G529" s="1512"/>
      <c r="H529" s="2946">
        <f>SUM(H527:H528)</f>
        <v>114856.25</v>
      </c>
      <c r="I529" s="1535">
        <f>H529</f>
        <v>114856.25</v>
      </c>
    </row>
    <row r="531" spans="2:10" x14ac:dyDescent="0.25">
      <c r="B531" s="1505" t="s">
        <v>1553</v>
      </c>
      <c r="C531" s="1509" t="s">
        <v>1554</v>
      </c>
      <c r="D531" s="1509"/>
      <c r="E531" s="1509"/>
      <c r="F531" s="2944"/>
      <c r="G531" s="2945"/>
      <c r="H531" s="2946"/>
    </row>
    <row r="532" spans="2:10" ht="27" x14ac:dyDescent="0.25">
      <c r="B532" s="1515" t="s">
        <v>171</v>
      </c>
      <c r="C532" s="1536" t="s">
        <v>36</v>
      </c>
      <c r="D532" s="1536" t="s">
        <v>37</v>
      </c>
      <c r="E532" s="1536" t="s">
        <v>14</v>
      </c>
      <c r="F532" s="1537" t="s">
        <v>38</v>
      </c>
      <c r="G532" s="1538" t="s">
        <v>39</v>
      </c>
      <c r="H532" s="1539" t="s">
        <v>1517</v>
      </c>
    </row>
    <row r="533" spans="2:10" x14ac:dyDescent="0.25">
      <c r="B533" s="1504" t="s">
        <v>41</v>
      </c>
      <c r="C533" s="1510" t="s">
        <v>42</v>
      </c>
      <c r="D533" s="1510"/>
      <c r="E533" s="1510"/>
      <c r="F533" s="1511"/>
      <c r="G533" s="1512"/>
      <c r="H533" s="1513"/>
    </row>
    <row r="534" spans="2:10" x14ac:dyDescent="0.25">
      <c r="B534" s="1504"/>
      <c r="C534" s="1510" t="s">
        <v>71</v>
      </c>
      <c r="D534" s="1510" t="s">
        <v>44</v>
      </c>
      <c r="E534" s="1510" t="s">
        <v>45</v>
      </c>
      <c r="F534" s="1511">
        <v>8.4000000000000005E-2</v>
      </c>
      <c r="G534" s="1512">
        <f>G518</f>
        <v>115000</v>
      </c>
      <c r="H534" s="1513">
        <f t="shared" ref="H534:H537" si="29">G534*F534</f>
        <v>9660</v>
      </c>
    </row>
    <row r="535" spans="2:10" x14ac:dyDescent="0.25">
      <c r="B535" s="1504"/>
      <c r="C535" s="1510" t="s">
        <v>46</v>
      </c>
      <c r="D535" s="1510" t="s">
        <v>47</v>
      </c>
      <c r="E535" s="1510" t="s">
        <v>45</v>
      </c>
      <c r="F535" s="1511">
        <v>0.125</v>
      </c>
      <c r="G535" s="1512">
        <f t="shared" ref="G535:G537" si="30">G519</f>
        <v>170000</v>
      </c>
      <c r="H535" s="1513">
        <f t="shared" si="29"/>
        <v>21250</v>
      </c>
    </row>
    <row r="536" spans="2:10" x14ac:dyDescent="0.25">
      <c r="B536" s="1504"/>
      <c r="C536" s="1510" t="s">
        <v>605</v>
      </c>
      <c r="D536" s="1510" t="s">
        <v>49</v>
      </c>
      <c r="E536" s="1510" t="s">
        <v>45</v>
      </c>
      <c r="F536" s="1511">
        <v>1.2999999999999999E-2</v>
      </c>
      <c r="G536" s="1512">
        <f t="shared" si="30"/>
        <v>185000</v>
      </c>
      <c r="H536" s="1513">
        <f t="shared" si="29"/>
        <v>2405</v>
      </c>
    </row>
    <row r="537" spans="2:10" x14ac:dyDescent="0.25">
      <c r="B537" s="1504"/>
      <c r="C537" s="1510" t="s">
        <v>50</v>
      </c>
      <c r="D537" s="1510" t="s">
        <v>51</v>
      </c>
      <c r="E537" s="1510" t="s">
        <v>45</v>
      </c>
      <c r="F537" s="1511">
        <v>4.0000000000000001E-3</v>
      </c>
      <c r="G537" s="1512">
        <f t="shared" si="30"/>
        <v>200000</v>
      </c>
      <c r="H537" s="1513">
        <f t="shared" si="29"/>
        <v>800</v>
      </c>
    </row>
    <row r="538" spans="2:10" x14ac:dyDescent="0.25">
      <c r="B538" s="1504"/>
      <c r="C538" s="1510"/>
      <c r="D538" s="1510"/>
      <c r="E538" s="1510"/>
      <c r="F538" s="1511" t="s">
        <v>52</v>
      </c>
      <c r="G538" s="1512"/>
      <c r="H538" s="1513">
        <f>SUM(H534:H537)</f>
        <v>34115</v>
      </c>
    </row>
    <row r="539" spans="2:10" x14ac:dyDescent="0.25">
      <c r="B539" s="1504" t="s">
        <v>53</v>
      </c>
      <c r="C539" s="1510" t="s">
        <v>54</v>
      </c>
      <c r="D539" s="1510"/>
      <c r="E539" s="1510"/>
      <c r="F539" s="1511"/>
      <c r="G539" s="1512"/>
      <c r="H539" s="1513"/>
      <c r="J539" s="1489">
        <f>0.3*1</f>
        <v>0.3</v>
      </c>
    </row>
    <row r="540" spans="2:10" x14ac:dyDescent="0.25">
      <c r="B540" s="1504"/>
      <c r="C540" s="1510" t="s">
        <v>1555</v>
      </c>
      <c r="D540" s="1510"/>
      <c r="E540" s="1510" t="s">
        <v>27</v>
      </c>
      <c r="F540" s="1511">
        <v>1.1000000000000001</v>
      </c>
      <c r="G540" s="1512">
        <f>BAHAN!G53</f>
        <v>45000</v>
      </c>
      <c r="H540" s="1513">
        <f t="shared" ref="H540:H541" si="31">G540*F540</f>
        <v>49500.000000000007</v>
      </c>
      <c r="J540" s="1489">
        <f>1.2*2.4</f>
        <v>2.88</v>
      </c>
    </row>
    <row r="541" spans="2:10" x14ac:dyDescent="0.25">
      <c r="B541" s="1504"/>
      <c r="C541" s="1510" t="s">
        <v>1556</v>
      </c>
      <c r="D541" s="1510"/>
      <c r="E541" s="1510" t="s">
        <v>9</v>
      </c>
      <c r="F541" s="1511">
        <v>6</v>
      </c>
      <c r="G541" s="1512">
        <f>BAHAN!G42</f>
        <v>2750</v>
      </c>
      <c r="H541" s="1513">
        <f t="shared" si="31"/>
        <v>16500</v>
      </c>
      <c r="J541" s="1489">
        <f>J540/J539</f>
        <v>9.6</v>
      </c>
    </row>
    <row r="542" spans="2:10" x14ac:dyDescent="0.25">
      <c r="B542" s="1504"/>
      <c r="C542" s="1510"/>
      <c r="D542" s="1510"/>
      <c r="E542" s="1510"/>
      <c r="F542" s="1511" t="s">
        <v>59</v>
      </c>
      <c r="G542" s="1512"/>
      <c r="H542" s="1513">
        <f>SUM(H540:H541)</f>
        <v>66000</v>
      </c>
    </row>
    <row r="543" spans="2:10" x14ac:dyDescent="0.25">
      <c r="B543" s="1504" t="s">
        <v>5</v>
      </c>
      <c r="C543" s="1510" t="s">
        <v>1438</v>
      </c>
      <c r="D543" s="1510"/>
      <c r="E543" s="1510"/>
      <c r="F543" s="1511"/>
      <c r="G543" s="1512"/>
      <c r="H543" s="1513">
        <f>H542+H538</f>
        <v>100115</v>
      </c>
    </row>
    <row r="544" spans="2:10" x14ac:dyDescent="0.25">
      <c r="B544" s="1504" t="s">
        <v>6</v>
      </c>
      <c r="C544" s="1510" t="s">
        <v>1439</v>
      </c>
      <c r="D544" s="1510"/>
      <c r="E544" s="1510"/>
      <c r="F544" s="1511" t="s">
        <v>1440</v>
      </c>
      <c r="G544" s="1512"/>
      <c r="H544" s="1513">
        <f>H543*15%</f>
        <v>15017.25</v>
      </c>
    </row>
    <row r="545" spans="2:9" x14ac:dyDescent="0.25">
      <c r="B545" s="1504" t="s">
        <v>7</v>
      </c>
      <c r="C545" s="1510" t="s">
        <v>1441</v>
      </c>
      <c r="D545" s="1510"/>
      <c r="E545" s="1510"/>
      <c r="F545" s="1511"/>
      <c r="G545" s="1512"/>
      <c r="H545" s="2946">
        <f>SUM(H543:H544)</f>
        <v>115132.25</v>
      </c>
      <c r="I545" s="1535">
        <f>H545</f>
        <v>115132.25</v>
      </c>
    </row>
    <row r="547" spans="2:9" hidden="1" x14ac:dyDescent="0.25"/>
    <row r="548" spans="2:9" hidden="1" x14ac:dyDescent="0.25"/>
    <row r="549" spans="2:9" s="1509" customFormat="1" ht="12.75" x14ac:dyDescent="0.2">
      <c r="B549" s="1505" t="s">
        <v>1534</v>
      </c>
      <c r="C549" s="1509" t="s">
        <v>1535</v>
      </c>
      <c r="F549" s="2944"/>
      <c r="G549" s="2945"/>
      <c r="H549" s="2946"/>
    </row>
    <row r="550" spans="2:9" x14ac:dyDescent="0.25">
      <c r="B550" s="1505" t="s">
        <v>1536</v>
      </c>
      <c r="C550" s="1509" t="s">
        <v>1537</v>
      </c>
      <c r="D550" s="1509"/>
      <c r="E550" s="1509"/>
      <c r="F550" s="2944"/>
      <c r="G550" s="2945"/>
      <c r="H550" s="2946"/>
    </row>
    <row r="551" spans="2:9" ht="24.95" customHeight="1" x14ac:dyDescent="0.25">
      <c r="B551" s="1515" t="s">
        <v>171</v>
      </c>
      <c r="C551" s="1536" t="s">
        <v>36</v>
      </c>
      <c r="D551" s="1536" t="s">
        <v>37</v>
      </c>
      <c r="E551" s="1536" t="s">
        <v>14</v>
      </c>
      <c r="F551" s="1537" t="s">
        <v>38</v>
      </c>
      <c r="G551" s="1538" t="s">
        <v>39</v>
      </c>
      <c r="H551" s="1539" t="s">
        <v>1517</v>
      </c>
    </row>
    <row r="552" spans="2:9" x14ac:dyDescent="0.25">
      <c r="B552" s="1504" t="s">
        <v>41</v>
      </c>
      <c r="C552" s="1510" t="s">
        <v>42</v>
      </c>
      <c r="D552" s="1510"/>
      <c r="E552" s="1510"/>
      <c r="F552" s="1511"/>
      <c r="G552" s="1512"/>
      <c r="H552" s="1513"/>
    </row>
    <row r="553" spans="2:9" x14ac:dyDescent="0.25">
      <c r="B553" s="1504"/>
      <c r="C553" s="1510" t="s">
        <v>71</v>
      </c>
      <c r="D553" s="1510" t="s">
        <v>44</v>
      </c>
      <c r="E553" s="1510" t="s">
        <v>45</v>
      </c>
      <c r="F553" s="1511">
        <v>8.1000000000000003E-2</v>
      </c>
      <c r="G553" s="1512">
        <f>G518</f>
        <v>115000</v>
      </c>
      <c r="H553" s="1513">
        <f t="shared" ref="H553:H556" si="32">G553*F553</f>
        <v>9315</v>
      </c>
    </row>
    <row r="554" spans="2:9" x14ac:dyDescent="0.25">
      <c r="B554" s="1504"/>
      <c r="C554" s="1510" t="s">
        <v>1076</v>
      </c>
      <c r="D554" s="1510" t="s">
        <v>47</v>
      </c>
      <c r="E554" s="1510" t="s">
        <v>45</v>
      </c>
      <c r="F554" s="1511">
        <v>0.13500000000000001</v>
      </c>
      <c r="G554" s="1512">
        <f>G519</f>
        <v>170000</v>
      </c>
      <c r="H554" s="1513">
        <f t="shared" si="32"/>
        <v>22950</v>
      </c>
    </row>
    <row r="555" spans="2:9" x14ac:dyDescent="0.25">
      <c r="B555" s="1504"/>
      <c r="C555" s="1510" t="s">
        <v>605</v>
      </c>
      <c r="D555" s="1510" t="s">
        <v>49</v>
      </c>
      <c r="E555" s="1510" t="s">
        <v>45</v>
      </c>
      <c r="F555" s="1511">
        <v>1.35E-2</v>
      </c>
      <c r="G555" s="1512">
        <f>G520</f>
        <v>185000</v>
      </c>
      <c r="H555" s="1513">
        <f t="shared" si="32"/>
        <v>2497.5</v>
      </c>
    </row>
    <row r="556" spans="2:9" x14ac:dyDescent="0.25">
      <c r="B556" s="1504"/>
      <c r="C556" s="1510" t="s">
        <v>50</v>
      </c>
      <c r="D556" s="1510" t="s">
        <v>51</v>
      </c>
      <c r="E556" s="1510" t="s">
        <v>45</v>
      </c>
      <c r="F556" s="1511">
        <v>4.0000000000000001E-3</v>
      </c>
      <c r="G556" s="1512">
        <f>G521</f>
        <v>200000</v>
      </c>
      <c r="H556" s="1513">
        <f t="shared" si="32"/>
        <v>800</v>
      </c>
    </row>
    <row r="557" spans="2:9" x14ac:dyDescent="0.25">
      <c r="B557" s="1504"/>
      <c r="C557" s="1510"/>
      <c r="D557" s="1510"/>
      <c r="E557" s="1510"/>
      <c r="F557" s="1511" t="s">
        <v>52</v>
      </c>
      <c r="G557" s="1512"/>
      <c r="H557" s="1513">
        <f>SUM(H553:H556)</f>
        <v>35562.5</v>
      </c>
    </row>
    <row r="558" spans="2:9" x14ac:dyDescent="0.25">
      <c r="B558" s="1504" t="s">
        <v>53</v>
      </c>
      <c r="C558" s="1510" t="s">
        <v>54</v>
      </c>
      <c r="D558" s="1510"/>
      <c r="E558" s="1510"/>
      <c r="F558" s="1511"/>
      <c r="G558" s="1512"/>
      <c r="H558" s="1513"/>
    </row>
    <row r="559" spans="2:9" x14ac:dyDescent="0.25">
      <c r="B559" s="1504"/>
      <c r="C559" s="1510" t="s">
        <v>1533</v>
      </c>
      <c r="D559" s="1510"/>
      <c r="E559" s="1510" t="s">
        <v>310</v>
      </c>
      <c r="F559" s="1511">
        <v>1.2</v>
      </c>
      <c r="G559" s="1512">
        <f>BAHAN!G85</f>
        <v>127500</v>
      </c>
      <c r="H559" s="1513">
        <f t="shared" ref="H559" si="33">G559*F559</f>
        <v>153000</v>
      </c>
    </row>
    <row r="560" spans="2:9" x14ac:dyDescent="0.25">
      <c r="B560" s="1504"/>
      <c r="C560" s="1510" t="s">
        <v>90</v>
      </c>
      <c r="D560" s="1510"/>
      <c r="E560" s="1510" t="s">
        <v>91</v>
      </c>
      <c r="F560" s="1511" t="s">
        <v>1538</v>
      </c>
      <c r="G560" s="1512">
        <f>G559*35%</f>
        <v>44625</v>
      </c>
      <c r="H560" s="1513">
        <f>G560</f>
        <v>44625</v>
      </c>
    </row>
    <row r="561" spans="2:8" x14ac:dyDescent="0.25">
      <c r="B561" s="1504"/>
      <c r="C561" s="1510"/>
      <c r="D561" s="1510"/>
      <c r="E561" s="1510"/>
      <c r="F561" s="1511" t="s">
        <v>59</v>
      </c>
      <c r="G561" s="1512"/>
      <c r="H561" s="1513">
        <f>SUM(H559:H560)</f>
        <v>197625</v>
      </c>
    </row>
    <row r="562" spans="2:8" x14ac:dyDescent="0.25">
      <c r="B562" s="1504" t="s">
        <v>5</v>
      </c>
      <c r="C562" s="1510" t="s">
        <v>1438</v>
      </c>
      <c r="D562" s="1510"/>
      <c r="E562" s="1510"/>
      <c r="F562" s="1511"/>
      <c r="G562" s="1512"/>
      <c r="H562" s="1513">
        <f>H561+H557</f>
        <v>233187.5</v>
      </c>
    </row>
    <row r="563" spans="2:8" x14ac:dyDescent="0.25">
      <c r="B563" s="1504" t="s">
        <v>6</v>
      </c>
      <c r="C563" s="1510" t="s">
        <v>1439</v>
      </c>
      <c r="D563" s="1510"/>
      <c r="E563" s="1510"/>
      <c r="F563" s="1511" t="s">
        <v>1440</v>
      </c>
      <c r="G563" s="1512"/>
      <c r="H563" s="1513">
        <f>H562*15%</f>
        <v>34978.125</v>
      </c>
    </row>
    <row r="564" spans="2:8" x14ac:dyDescent="0.25">
      <c r="B564" s="1504" t="s">
        <v>7</v>
      </c>
      <c r="C564" s="1510" t="s">
        <v>1441</v>
      </c>
      <c r="D564" s="1510"/>
      <c r="E564" s="1510"/>
      <c r="F564" s="1511"/>
      <c r="G564" s="1512"/>
      <c r="H564" s="2946">
        <f>SUM(H562:H563)</f>
        <v>268165.625</v>
      </c>
    </row>
    <row r="566" spans="2:8" x14ac:dyDescent="0.25">
      <c r="B566" s="1505" t="s">
        <v>1542</v>
      </c>
      <c r="C566" s="1509" t="s">
        <v>1543</v>
      </c>
      <c r="D566" s="1509"/>
      <c r="E566" s="1509"/>
      <c r="F566" s="2944"/>
      <c r="G566" s="2945"/>
      <c r="H566" s="2946"/>
    </row>
    <row r="567" spans="2:8" ht="27" x14ac:dyDescent="0.25">
      <c r="B567" s="1515" t="s">
        <v>171</v>
      </c>
      <c r="C567" s="1536" t="s">
        <v>36</v>
      </c>
      <c r="D567" s="1536" t="s">
        <v>37</v>
      </c>
      <c r="E567" s="1536" t="s">
        <v>14</v>
      </c>
      <c r="F567" s="1537" t="s">
        <v>38</v>
      </c>
      <c r="G567" s="1538" t="s">
        <v>39</v>
      </c>
      <c r="H567" s="1539" t="s">
        <v>1517</v>
      </c>
    </row>
    <row r="568" spans="2:8" x14ac:dyDescent="0.25">
      <c r="B568" s="1504" t="s">
        <v>41</v>
      </c>
      <c r="C568" s="1510" t="s">
        <v>42</v>
      </c>
      <c r="D568" s="1510"/>
      <c r="E568" s="1510"/>
      <c r="F568" s="1511"/>
      <c r="G568" s="1512"/>
      <c r="H568" s="1513"/>
    </row>
    <row r="569" spans="2:8" x14ac:dyDescent="0.25">
      <c r="B569" s="1504"/>
      <c r="C569" s="1510" t="s">
        <v>71</v>
      </c>
      <c r="D569" s="1510" t="s">
        <v>44</v>
      </c>
      <c r="E569" s="1510" t="s">
        <v>45</v>
      </c>
      <c r="F569" s="1511">
        <v>0.01</v>
      </c>
      <c r="G569" s="1512">
        <f>G553</f>
        <v>115000</v>
      </c>
      <c r="H569" s="1513">
        <f t="shared" ref="H569:H572" si="34">G569*F569</f>
        <v>1150</v>
      </c>
    </row>
    <row r="570" spans="2:8" x14ac:dyDescent="0.25">
      <c r="B570" s="1504"/>
      <c r="C570" s="1510" t="s">
        <v>1076</v>
      </c>
      <c r="D570" s="1510" t="s">
        <v>47</v>
      </c>
      <c r="E570" s="1510" t="s">
        <v>45</v>
      </c>
      <c r="F570" s="1511">
        <v>0.1</v>
      </c>
      <c r="G570" s="1512">
        <f t="shared" ref="G570:G572" si="35">G554</f>
        <v>170000</v>
      </c>
      <c r="H570" s="1513">
        <f t="shared" si="34"/>
        <v>17000</v>
      </c>
    </row>
    <row r="571" spans="2:8" x14ac:dyDescent="0.25">
      <c r="B571" s="1504"/>
      <c r="C571" s="1510" t="s">
        <v>605</v>
      </c>
      <c r="D571" s="1510" t="s">
        <v>49</v>
      </c>
      <c r="E571" s="1510" t="s">
        <v>45</v>
      </c>
      <c r="F571" s="1511">
        <v>0.01</v>
      </c>
      <c r="G571" s="1512">
        <f t="shared" si="35"/>
        <v>185000</v>
      </c>
      <c r="H571" s="1513">
        <f t="shared" si="34"/>
        <v>1850</v>
      </c>
    </row>
    <row r="572" spans="2:8" x14ac:dyDescent="0.25">
      <c r="B572" s="1504"/>
      <c r="C572" s="1510" t="s">
        <v>50</v>
      </c>
      <c r="D572" s="1510" t="s">
        <v>51</v>
      </c>
      <c r="E572" s="1510" t="s">
        <v>45</v>
      </c>
      <c r="F572" s="1511">
        <v>5.0000000000000001E-3</v>
      </c>
      <c r="G572" s="1512">
        <f t="shared" si="35"/>
        <v>200000</v>
      </c>
      <c r="H572" s="1513">
        <f t="shared" si="34"/>
        <v>1000</v>
      </c>
    </row>
    <row r="573" spans="2:8" x14ac:dyDescent="0.25">
      <c r="B573" s="1504"/>
      <c r="C573" s="1510"/>
      <c r="D573" s="1510"/>
      <c r="E573" s="1510"/>
      <c r="F573" s="1511" t="s">
        <v>52</v>
      </c>
      <c r="G573" s="1512"/>
      <c r="H573" s="1513">
        <f>SUM(H569:H572)</f>
        <v>21000</v>
      </c>
    </row>
    <row r="574" spans="2:8" x14ac:dyDescent="0.25">
      <c r="B574" s="1504" t="s">
        <v>53</v>
      </c>
      <c r="C574" s="1510" t="s">
        <v>54</v>
      </c>
      <c r="D574" s="1510"/>
      <c r="E574" s="1510"/>
      <c r="F574" s="1511"/>
      <c r="G574" s="1512"/>
      <c r="H574" s="1513"/>
    </row>
    <row r="575" spans="2:8" x14ac:dyDescent="0.25">
      <c r="B575" s="1504"/>
      <c r="C575" s="1510" t="s">
        <v>1540</v>
      </c>
      <c r="D575" s="1510"/>
      <c r="E575" s="1510" t="s">
        <v>9</v>
      </c>
      <c r="F575" s="1511">
        <v>1</v>
      </c>
      <c r="G575" s="1512">
        <f>BAHAN!G86</f>
        <v>135000</v>
      </c>
      <c r="H575" s="1513">
        <f t="shared" ref="H575" si="36">G575*F575</f>
        <v>135000</v>
      </c>
    </row>
    <row r="576" spans="2:8" x14ac:dyDescent="0.25">
      <c r="B576" s="1504"/>
      <c r="C576" s="1510"/>
      <c r="D576" s="1510"/>
      <c r="E576" s="1510"/>
      <c r="F576" s="1511" t="s">
        <v>59</v>
      </c>
      <c r="G576" s="1512"/>
      <c r="H576" s="1513">
        <f>SUM(H575:H575)</f>
        <v>135000</v>
      </c>
    </row>
    <row r="577" spans="2:8" x14ac:dyDescent="0.25">
      <c r="B577" s="1504" t="s">
        <v>5</v>
      </c>
      <c r="C577" s="1510" t="s">
        <v>1438</v>
      </c>
      <c r="D577" s="1510"/>
      <c r="E577" s="1510"/>
      <c r="F577" s="1511"/>
      <c r="G577" s="1512"/>
      <c r="H577" s="1513">
        <f>H576+H573</f>
        <v>156000</v>
      </c>
    </row>
    <row r="578" spans="2:8" x14ac:dyDescent="0.25">
      <c r="B578" s="1504" t="s">
        <v>6</v>
      </c>
      <c r="C578" s="1510" t="s">
        <v>1439</v>
      </c>
      <c r="D578" s="1510"/>
      <c r="E578" s="1510"/>
      <c r="F578" s="1511" t="s">
        <v>1440</v>
      </c>
      <c r="G578" s="1512"/>
      <c r="H578" s="1513">
        <f>H577*15%</f>
        <v>23400</v>
      </c>
    </row>
    <row r="579" spans="2:8" x14ac:dyDescent="0.25">
      <c r="B579" s="1504" t="s">
        <v>7</v>
      </c>
      <c r="C579" s="1510" t="s">
        <v>1441</v>
      </c>
      <c r="D579" s="1510"/>
      <c r="E579" s="1510"/>
      <c r="F579" s="1511"/>
      <c r="G579" s="1512"/>
      <c r="H579" s="2946">
        <f>SUM(H577:H578)</f>
        <v>179400</v>
      </c>
    </row>
  </sheetData>
  <mergeCells count="101">
    <mergeCell ref="B1:H2"/>
    <mergeCell ref="B3:H3"/>
    <mergeCell ref="F409:G409"/>
    <mergeCell ref="F157:G157"/>
    <mergeCell ref="C129:E129"/>
    <mergeCell ref="C28:G28"/>
    <mergeCell ref="F320:G320"/>
    <mergeCell ref="F309:G309"/>
    <mergeCell ref="F17:G17"/>
    <mergeCell ref="F22:G22"/>
    <mergeCell ref="F138:G138"/>
    <mergeCell ref="F140:G140"/>
    <mergeCell ref="C144:G144"/>
    <mergeCell ref="F81:G81"/>
    <mergeCell ref="C85:G85"/>
    <mergeCell ref="C86:E86"/>
    <mergeCell ref="C130:G130"/>
    <mergeCell ref="F154:G154"/>
    <mergeCell ref="F172:G172"/>
    <mergeCell ref="F175:G175"/>
    <mergeCell ref="C214:E214"/>
    <mergeCell ref="C163:E163"/>
    <mergeCell ref="F163:G163"/>
    <mergeCell ref="C164:G164"/>
    <mergeCell ref="C26:G26"/>
    <mergeCell ref="C112:E112"/>
    <mergeCell ref="F112:G112"/>
    <mergeCell ref="F122:G122"/>
    <mergeCell ref="F39:G39"/>
    <mergeCell ref="F55:G55"/>
    <mergeCell ref="C59:G59"/>
    <mergeCell ref="C60:E60"/>
    <mergeCell ref="F129:G129"/>
    <mergeCell ref="C27:E27"/>
    <mergeCell ref="F27:G27"/>
    <mergeCell ref="F124:G124"/>
    <mergeCell ref="C128:G128"/>
    <mergeCell ref="F60:G60"/>
    <mergeCell ref="C61:G61"/>
    <mergeCell ref="F71:G71"/>
    <mergeCell ref="C113:G113"/>
    <mergeCell ref="C87:G87"/>
    <mergeCell ref="F97:G97"/>
    <mergeCell ref="F107:G107"/>
    <mergeCell ref="C111:G111"/>
    <mergeCell ref="F86:G86"/>
    <mergeCell ref="F189:G189"/>
    <mergeCell ref="F192:G192"/>
    <mergeCell ref="F206:G206"/>
    <mergeCell ref="C181:G181"/>
    <mergeCell ref="C179:G179"/>
    <mergeCell ref="C162:G162"/>
    <mergeCell ref="C180:E180"/>
    <mergeCell ref="F180:G180"/>
    <mergeCell ref="C145:E145"/>
    <mergeCell ref="F145:G145"/>
    <mergeCell ref="C146:G146"/>
    <mergeCell ref="F298:G298"/>
    <mergeCell ref="C278:E278"/>
    <mergeCell ref="F278:G278"/>
    <mergeCell ref="C279:G279"/>
    <mergeCell ref="C297:G297"/>
    <mergeCell ref="F289:G289"/>
    <mergeCell ref="F293:G293"/>
    <mergeCell ref="F269:G269"/>
    <mergeCell ref="C298:E298"/>
    <mergeCell ref="C213:G213"/>
    <mergeCell ref="F214:G214"/>
    <mergeCell ref="F209:G209"/>
    <mergeCell ref="C196:G196"/>
    <mergeCell ref="F410:G410"/>
    <mergeCell ref="C277:G277"/>
    <mergeCell ref="C197:E197"/>
    <mergeCell ref="F197:G197"/>
    <mergeCell ref="C198:G198"/>
    <mergeCell ref="C215:G215"/>
    <mergeCell ref="C256:G256"/>
    <mergeCell ref="F244:G244"/>
    <mergeCell ref="F250:G250"/>
    <mergeCell ref="C254:G254"/>
    <mergeCell ref="C255:E255"/>
    <mergeCell ref="F255:G255"/>
    <mergeCell ref="F273:G273"/>
    <mergeCell ref="F314:G314"/>
    <mergeCell ref="C409:E409"/>
    <mergeCell ref="F315:G315"/>
    <mergeCell ref="C320:E320"/>
    <mergeCell ref="F403:G403"/>
    <mergeCell ref="F395:G395"/>
    <mergeCell ref="C408:G408"/>
    <mergeCell ref="C299:G299"/>
    <mergeCell ref="C319:G319"/>
    <mergeCell ref="F404:G404"/>
    <mergeCell ref="F331:G331"/>
    <mergeCell ref="F336:G336"/>
    <mergeCell ref="F337:G337"/>
    <mergeCell ref="C341:G341"/>
    <mergeCell ref="C342:E342"/>
    <mergeCell ref="F342:G342"/>
    <mergeCell ref="F343:G343"/>
    <mergeCell ref="F321:G321"/>
  </mergeCells>
  <printOptions horizontalCentered="1"/>
  <pageMargins left="0.31" right="0.2" top="0.5" bottom="0" header="0" footer="0"/>
  <pageSetup paperSize="10002" scale="80" fitToWidth="0" fitToHeight="0" orientation="portrait" horizontalDpi="4294967293" r:id="rId1"/>
  <rowBreaks count="2" manualBreakCount="2">
    <brk id="512" min="1" max="7" man="1"/>
    <brk id="565" min="1" max="7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N378"/>
  <sheetViews>
    <sheetView showGridLines="0" view="pageBreakPreview" zoomScale="90" zoomScaleNormal="85" zoomScaleSheetLayoutView="90" workbookViewId="0">
      <selection activeCell="J10" sqref="J10"/>
    </sheetView>
  </sheetViews>
  <sheetFormatPr defaultColWidth="9.28515625" defaultRowHeight="13.5" x14ac:dyDescent="0.25"/>
  <cols>
    <col min="1" max="1" width="9.28515625" style="1546"/>
    <col min="2" max="2" width="12.5703125" style="1572" bestFit="1" customWidth="1"/>
    <col min="3" max="3" width="32.7109375" style="1546" customWidth="1"/>
    <col min="4" max="4" width="9.28515625" style="1546"/>
    <col min="5" max="5" width="9.5703125" style="1546" customWidth="1"/>
    <col min="6" max="6" width="13.28515625" style="1564" bestFit="1" customWidth="1"/>
    <col min="7" max="7" width="17.28515625" style="1565" customWidth="1"/>
    <col min="8" max="8" width="18" style="1566" customWidth="1"/>
    <col min="9" max="9" width="10.28515625" style="1546" bestFit="1" customWidth="1"/>
    <col min="10" max="10" width="33.42578125" style="1546" customWidth="1"/>
    <col min="11" max="11" width="5.5703125" style="1546" customWidth="1"/>
    <col min="12" max="12" width="9.140625" style="1546" customWidth="1"/>
    <col min="13" max="13" width="11.7109375" style="1546" customWidth="1"/>
    <col min="14" max="14" width="9.28515625" style="1546"/>
    <col min="15" max="15" width="13" style="1546" customWidth="1"/>
    <col min="16" max="16384" width="9.28515625" style="1546"/>
  </cols>
  <sheetData>
    <row r="1" spans="1:10" ht="15.75" customHeight="1" x14ac:dyDescent="0.25">
      <c r="B1" s="3159" t="s">
        <v>603</v>
      </c>
      <c r="C1" s="3159"/>
      <c r="D1" s="3159"/>
      <c r="E1" s="3159"/>
      <c r="F1" s="3159"/>
      <c r="G1" s="3159"/>
      <c r="H1" s="3159"/>
      <c r="I1" s="1558"/>
    </row>
    <row r="2" spans="1:10" ht="15.75" customHeight="1" x14ac:dyDescent="0.25">
      <c r="B2" s="3159"/>
      <c r="C2" s="3159"/>
      <c r="D2" s="3159"/>
      <c r="E2" s="3159"/>
      <c r="F2" s="3159"/>
      <c r="G2" s="3159"/>
      <c r="H2" s="3159"/>
      <c r="I2" s="1558"/>
      <c r="J2" s="1559">
        <v>0.15</v>
      </c>
    </row>
    <row r="3" spans="1:10" ht="8.25" customHeight="1" x14ac:dyDescent="0.25">
      <c r="B3" s="1560"/>
      <c r="C3" s="1560"/>
      <c r="D3" s="1560"/>
      <c r="E3" s="1560"/>
      <c r="F3" s="1560"/>
      <c r="G3" s="1560"/>
      <c r="H3" s="1560"/>
      <c r="I3" s="1558"/>
    </row>
    <row r="4" spans="1:10" ht="15.75" customHeight="1" x14ac:dyDescent="0.25">
      <c r="A4" s="1495"/>
      <c r="B4" s="1603" t="s">
        <v>198</v>
      </c>
      <c r="C4" s="1496" t="str">
        <f>'RAB (2)'!E3</f>
        <v>: Renovasi Atap Gedung Paripurna DPRD Provsu</v>
      </c>
      <c r="D4" s="1560"/>
      <c r="E4" s="1560"/>
      <c r="F4" s="1560"/>
      <c r="G4" s="1560"/>
      <c r="H4" s="1560"/>
      <c r="I4" s="1558"/>
    </row>
    <row r="5" spans="1:10" ht="15.75" customHeight="1" x14ac:dyDescent="0.25">
      <c r="A5" s="1495"/>
      <c r="B5" s="1603" t="s">
        <v>199</v>
      </c>
      <c r="C5" s="1496" t="str">
        <f>'RAB (2)'!E4</f>
        <v>: Jalan Imam Bonjol No. 5 Medan</v>
      </c>
      <c r="D5" s="1560"/>
      <c r="E5" s="1560"/>
      <c r="F5" s="1560"/>
      <c r="G5" s="1560"/>
      <c r="H5" s="1560"/>
      <c r="I5" s="1558"/>
    </row>
    <row r="6" spans="1:10" ht="15.75" customHeight="1" thickBot="1" x14ac:dyDescent="0.3">
      <c r="A6" s="1495"/>
      <c r="B6" s="1604" t="s">
        <v>230</v>
      </c>
      <c r="C6" s="1498" t="str">
        <f>ANL!C7</f>
        <v>: 2022</v>
      </c>
      <c r="D6" s="1561"/>
      <c r="E6" s="1561"/>
      <c r="F6" s="1561"/>
      <c r="G6" s="1561"/>
      <c r="H6" s="1561"/>
      <c r="I6" s="1558"/>
    </row>
    <row r="7" spans="1:10" ht="15.75" customHeight="1" thickTop="1" x14ac:dyDescent="0.25">
      <c r="B7" s="1562"/>
      <c r="C7" s="1562"/>
      <c r="D7" s="1562"/>
      <c r="E7" s="1562"/>
      <c r="F7" s="1562"/>
      <c r="G7" s="1562"/>
      <c r="H7" s="1562"/>
      <c r="I7" s="1558"/>
    </row>
    <row r="8" spans="1:10" x14ac:dyDescent="0.25">
      <c r="B8" s="1563" t="s">
        <v>622</v>
      </c>
      <c r="C8" s="1544" t="s">
        <v>607</v>
      </c>
    </row>
    <row r="9" spans="1:10" s="1567" customFormat="1" ht="25.5" customHeight="1" x14ac:dyDescent="0.25">
      <c r="B9" s="1568" t="s">
        <v>12</v>
      </c>
      <c r="C9" s="1568" t="s">
        <v>36</v>
      </c>
      <c r="D9" s="1568" t="s">
        <v>37</v>
      </c>
      <c r="E9" s="1568" t="s">
        <v>14</v>
      </c>
      <c r="F9" s="1569" t="s">
        <v>38</v>
      </c>
      <c r="G9" s="1570" t="s">
        <v>39</v>
      </c>
      <c r="H9" s="1571" t="s">
        <v>40</v>
      </c>
    </row>
    <row r="10" spans="1:10" x14ac:dyDescent="0.25">
      <c r="B10" s="1572" t="s">
        <v>41</v>
      </c>
      <c r="C10" s="1546" t="s">
        <v>42</v>
      </c>
    </row>
    <row r="11" spans="1:10" x14ac:dyDescent="0.25">
      <c r="C11" s="1546" t="s">
        <v>71</v>
      </c>
      <c r="D11" s="1572"/>
      <c r="E11" s="1572" t="s">
        <v>45</v>
      </c>
      <c r="F11" s="1573">
        <f>0.12</f>
        <v>0.12</v>
      </c>
      <c r="G11" s="1565">
        <f>UPAH!$F$13</f>
        <v>115000</v>
      </c>
      <c r="H11" s="1566">
        <f>F11*G11</f>
        <v>13800</v>
      </c>
    </row>
    <row r="12" spans="1:10" x14ac:dyDescent="0.25">
      <c r="C12" s="1546" t="s">
        <v>97</v>
      </c>
      <c r="D12" s="1572"/>
      <c r="E12" s="1572" t="s">
        <v>45</v>
      </c>
      <c r="F12" s="1573">
        <f>0.12</f>
        <v>0.12</v>
      </c>
      <c r="G12" s="1565">
        <f>UPAH!$F$12</f>
        <v>170000</v>
      </c>
      <c r="H12" s="1566">
        <f>F12*G12</f>
        <v>20400</v>
      </c>
    </row>
    <row r="13" spans="1:10" x14ac:dyDescent="0.25">
      <c r="C13" s="1546" t="s">
        <v>605</v>
      </c>
      <c r="D13" s="1572"/>
      <c r="E13" s="1572" t="s">
        <v>45</v>
      </c>
      <c r="F13" s="1573">
        <v>1.2E-2</v>
      </c>
      <c r="G13" s="1565">
        <f>UPAH!$F$11</f>
        <v>185000</v>
      </c>
      <c r="H13" s="1566">
        <f>F13*G13</f>
        <v>2220</v>
      </c>
    </row>
    <row r="14" spans="1:10" x14ac:dyDescent="0.25">
      <c r="C14" s="1546" t="s">
        <v>50</v>
      </c>
      <c r="D14" s="1572"/>
      <c r="E14" s="1572" t="s">
        <v>45</v>
      </c>
      <c r="F14" s="1573">
        <v>6.0000000000000001E-3</v>
      </c>
      <c r="G14" s="1565">
        <f>UPAH!$F$10</f>
        <v>200000</v>
      </c>
      <c r="H14" s="1566">
        <f>F14*G14</f>
        <v>1200</v>
      </c>
    </row>
    <row r="15" spans="1:10" x14ac:dyDescent="0.25">
      <c r="F15" s="3156" t="s">
        <v>52</v>
      </c>
      <c r="G15" s="3156"/>
      <c r="H15" s="1566">
        <f>SUM(H11:H14)</f>
        <v>37620</v>
      </c>
    </row>
    <row r="16" spans="1:10" x14ac:dyDescent="0.25">
      <c r="B16" s="1572" t="s">
        <v>53</v>
      </c>
      <c r="C16" s="1546" t="s">
        <v>54</v>
      </c>
    </row>
    <row r="17" spans="2:10" ht="13.5" customHeight="1" x14ac:dyDescent="0.25">
      <c r="C17" s="1545" t="s">
        <v>606</v>
      </c>
      <c r="D17" s="1545"/>
      <c r="E17" s="1574" t="s">
        <v>0</v>
      </c>
      <c r="F17" s="1575">
        <v>4</v>
      </c>
      <c r="G17" s="1576">
        <v>5200</v>
      </c>
      <c r="H17" s="1577">
        <f>G17*F17</f>
        <v>20800</v>
      </c>
    </row>
    <row r="18" spans="2:10" x14ac:dyDescent="0.25">
      <c r="C18" s="1547" t="s">
        <v>604</v>
      </c>
      <c r="D18" s="1547"/>
      <c r="E18" s="1574" t="s">
        <v>1</v>
      </c>
      <c r="F18" s="1575">
        <v>1</v>
      </c>
      <c r="G18" s="1576">
        <f>BAHAN!G91</f>
        <v>5000</v>
      </c>
      <c r="H18" s="1577">
        <f>G18*F18</f>
        <v>5000</v>
      </c>
    </row>
    <row r="19" spans="2:10" x14ac:dyDescent="0.25">
      <c r="E19" s="1572"/>
    </row>
    <row r="20" spans="2:10" x14ac:dyDescent="0.25">
      <c r="F20" s="3156" t="s">
        <v>59</v>
      </c>
      <c r="G20" s="3156"/>
      <c r="H20" s="1566">
        <f>SUM(H17:H18)</f>
        <v>25800</v>
      </c>
    </row>
    <row r="21" spans="2:10" x14ac:dyDescent="0.25">
      <c r="B21" s="1572" t="s">
        <v>5</v>
      </c>
      <c r="C21" s="1546" t="s">
        <v>60</v>
      </c>
    </row>
    <row r="22" spans="2:10" x14ac:dyDescent="0.25">
      <c r="F22" s="1564" t="s">
        <v>61</v>
      </c>
      <c r="H22" s="1566">
        <f>H21</f>
        <v>0</v>
      </c>
    </row>
    <row r="24" spans="2:10" x14ac:dyDescent="0.25">
      <c r="B24" s="1572" t="s">
        <v>6</v>
      </c>
      <c r="C24" s="3158" t="s">
        <v>62</v>
      </c>
      <c r="D24" s="3158"/>
      <c r="E24" s="3158"/>
      <c r="F24" s="3158"/>
      <c r="G24" s="3158"/>
      <c r="H24" s="1566">
        <f>H15+H20+H22</f>
        <v>63420</v>
      </c>
    </row>
    <row r="25" spans="2:10" x14ac:dyDescent="0.25">
      <c r="B25" s="1572" t="s">
        <v>7</v>
      </c>
      <c r="C25" s="3158" t="s">
        <v>100</v>
      </c>
      <c r="D25" s="3158"/>
      <c r="E25" s="3158"/>
      <c r="F25" s="3157">
        <f>$J$2</f>
        <v>0.15</v>
      </c>
      <c r="G25" s="3158"/>
      <c r="H25" s="1566">
        <f>F25*H24</f>
        <v>9513</v>
      </c>
    </row>
    <row r="26" spans="2:10" x14ac:dyDescent="0.25">
      <c r="B26" s="1572" t="s">
        <v>63</v>
      </c>
      <c r="C26" s="3158" t="s">
        <v>64</v>
      </c>
      <c r="D26" s="3158"/>
      <c r="E26" s="3158"/>
      <c r="F26" s="3158"/>
      <c r="G26" s="3158"/>
      <c r="H26" s="1566">
        <f>H24+H25</f>
        <v>72933</v>
      </c>
    </row>
    <row r="27" spans="2:10" s="1489" customFormat="1" x14ac:dyDescent="0.25">
      <c r="B27" s="1578"/>
      <c r="C27" s="1522" t="s">
        <v>878</v>
      </c>
      <c r="D27" s="1523"/>
      <c r="E27" s="1523"/>
      <c r="F27" s="1523"/>
      <c r="G27" s="1523"/>
      <c r="H27" s="1524">
        <f>ROUNDDOWN(H26,2)</f>
        <v>72933</v>
      </c>
    </row>
    <row r="28" spans="2:10" x14ac:dyDescent="0.25">
      <c r="C28" s="1579"/>
      <c r="D28" s="1579"/>
      <c r="E28" s="1579"/>
      <c r="F28" s="1579"/>
      <c r="G28" s="1579"/>
    </row>
    <row r="29" spans="2:10" x14ac:dyDescent="0.25">
      <c r="B29" s="1563" t="s">
        <v>1237</v>
      </c>
      <c r="C29" s="1544" t="s">
        <v>1503</v>
      </c>
    </row>
    <row r="30" spans="2:10" s="1567" customFormat="1" ht="26.25" customHeight="1" x14ac:dyDescent="0.25">
      <c r="B30" s="1568" t="s">
        <v>12</v>
      </c>
      <c r="C30" s="1568" t="s">
        <v>36</v>
      </c>
      <c r="D30" s="1568" t="s">
        <v>37</v>
      </c>
      <c r="E30" s="1568" t="s">
        <v>14</v>
      </c>
      <c r="F30" s="1569" t="s">
        <v>38</v>
      </c>
      <c r="G30" s="1570" t="s">
        <v>39</v>
      </c>
      <c r="H30" s="1571" t="s">
        <v>40</v>
      </c>
    </row>
    <row r="31" spans="2:10" x14ac:dyDescent="0.25">
      <c r="B31" s="1572" t="s">
        <v>41</v>
      </c>
      <c r="C31" s="1546" t="s">
        <v>42</v>
      </c>
    </row>
    <row r="32" spans="2:10" x14ac:dyDescent="0.25">
      <c r="C32" s="1546" t="s">
        <v>71</v>
      </c>
      <c r="D32" s="1572"/>
      <c r="E32" s="1572" t="s">
        <v>45</v>
      </c>
      <c r="F32" s="1573">
        <f>2/3*0.3</f>
        <v>0.19999999999999998</v>
      </c>
      <c r="G32" s="1565">
        <f>UPAH!$F$13</f>
        <v>115000</v>
      </c>
      <c r="H32" s="1566">
        <f>F32*G32</f>
        <v>22999.999999999996</v>
      </c>
      <c r="J32" s="1565"/>
    </row>
    <row r="33" spans="2:8" x14ac:dyDescent="0.25">
      <c r="C33" s="1546" t="s">
        <v>97</v>
      </c>
      <c r="D33" s="1572"/>
      <c r="E33" s="1572" t="s">
        <v>45</v>
      </c>
      <c r="F33" s="1573">
        <f>2/3*0.15</f>
        <v>9.9999999999999992E-2</v>
      </c>
      <c r="G33" s="1565">
        <f>UPAH!$F$12</f>
        <v>170000</v>
      </c>
      <c r="H33" s="1566">
        <f>F33*G33</f>
        <v>17000</v>
      </c>
    </row>
    <row r="34" spans="2:8" x14ac:dyDescent="0.25">
      <c r="C34" s="1546" t="s">
        <v>605</v>
      </c>
      <c r="D34" s="1572"/>
      <c r="E34" s="1572" t="s">
        <v>45</v>
      </c>
      <c r="F34" s="1573">
        <f>2/3*0.015</f>
        <v>9.9999999999999985E-3</v>
      </c>
      <c r="G34" s="1565">
        <f>UPAH!$F$11</f>
        <v>185000</v>
      </c>
      <c r="H34" s="1566">
        <f>F34*G34</f>
        <v>1849.9999999999998</v>
      </c>
    </row>
    <row r="35" spans="2:8" x14ac:dyDescent="0.25">
      <c r="C35" s="1546" t="s">
        <v>50</v>
      </c>
      <c r="D35" s="1572"/>
      <c r="E35" s="1572" t="s">
        <v>45</v>
      </c>
      <c r="F35" s="1573">
        <f>2/3*0.015</f>
        <v>9.9999999999999985E-3</v>
      </c>
      <c r="G35" s="1565">
        <f>UPAH!$F$10</f>
        <v>200000</v>
      </c>
      <c r="H35" s="1566">
        <f>F35*G35</f>
        <v>1999.9999999999998</v>
      </c>
    </row>
    <row r="36" spans="2:8" x14ac:dyDescent="0.25">
      <c r="F36" s="3156" t="s">
        <v>52</v>
      </c>
      <c r="G36" s="3156"/>
      <c r="H36" s="1566">
        <f>SUM(H32:H35)</f>
        <v>43850</v>
      </c>
    </row>
    <row r="37" spans="2:8" x14ac:dyDescent="0.25">
      <c r="B37" s="1572" t="s">
        <v>53</v>
      </c>
      <c r="C37" s="1546" t="s">
        <v>54</v>
      </c>
    </row>
    <row r="38" spans="2:8" x14ac:dyDescent="0.25">
      <c r="C38" s="1545" t="s">
        <v>608</v>
      </c>
      <c r="D38" s="1545"/>
      <c r="E38" s="1574" t="s">
        <v>0</v>
      </c>
      <c r="F38" s="1575">
        <f>10.224*4/1.5</f>
        <v>27.263999999999999</v>
      </c>
      <c r="G38" s="1576">
        <f>BAHAN!$G$45</f>
        <v>2000</v>
      </c>
      <c r="H38" s="1577">
        <f>G38*F38</f>
        <v>54528</v>
      </c>
    </row>
    <row r="39" spans="2:8" x14ac:dyDescent="0.25">
      <c r="C39" s="1547" t="s">
        <v>70</v>
      </c>
      <c r="D39" s="1547"/>
      <c r="E39" s="1574" t="s">
        <v>3</v>
      </c>
      <c r="F39" s="1575">
        <f>0.02*4/1.5</f>
        <v>5.3333333333333337E-2</v>
      </c>
      <c r="G39" s="1576">
        <f>BAHAN!$G$22</f>
        <v>208000</v>
      </c>
      <c r="H39" s="1577">
        <f>G39*F39</f>
        <v>11093.333333333334</v>
      </c>
    </row>
    <row r="40" spans="2:8" x14ac:dyDescent="0.25">
      <c r="E40" s="1572"/>
    </row>
    <row r="41" spans="2:8" x14ac:dyDescent="0.25">
      <c r="F41" s="3156" t="s">
        <v>59</v>
      </c>
      <c r="G41" s="3156"/>
      <c r="H41" s="1566">
        <f>SUM(H38:H39)</f>
        <v>65621.333333333328</v>
      </c>
    </row>
    <row r="42" spans="2:8" x14ac:dyDescent="0.25">
      <c r="B42" s="1572" t="s">
        <v>5</v>
      </c>
      <c r="C42" s="1546" t="s">
        <v>60</v>
      </c>
    </row>
    <row r="43" spans="2:8" x14ac:dyDescent="0.25">
      <c r="F43" s="1564" t="s">
        <v>61</v>
      </c>
      <c r="H43" s="1566">
        <v>0</v>
      </c>
    </row>
    <row r="45" spans="2:8" x14ac:dyDescent="0.25">
      <c r="B45" s="1572" t="s">
        <v>6</v>
      </c>
      <c r="C45" s="3158" t="s">
        <v>62</v>
      </c>
      <c r="D45" s="3158"/>
      <c r="E45" s="3158"/>
      <c r="F45" s="3158"/>
      <c r="G45" s="3158"/>
      <c r="H45" s="1566">
        <f>H36+H41+H43</f>
        <v>109471.33333333333</v>
      </c>
    </row>
    <row r="46" spans="2:8" x14ac:dyDescent="0.25">
      <c r="B46" s="1572" t="s">
        <v>7</v>
      </c>
      <c r="C46" s="3158" t="s">
        <v>100</v>
      </c>
      <c r="D46" s="3158"/>
      <c r="E46" s="3158"/>
      <c r="F46" s="3157">
        <f>$J$2</f>
        <v>0.15</v>
      </c>
      <c r="G46" s="3158"/>
      <c r="H46" s="1566">
        <f>F46*H45</f>
        <v>16420.699999999997</v>
      </c>
    </row>
    <row r="47" spans="2:8" x14ac:dyDescent="0.25">
      <c r="B47" s="1572" t="s">
        <v>63</v>
      </c>
      <c r="C47" s="3158" t="s">
        <v>64</v>
      </c>
      <c r="D47" s="3158"/>
      <c r="E47" s="3158"/>
      <c r="F47" s="3158"/>
      <c r="G47" s="3158"/>
      <c r="H47" s="1566">
        <f>H45+H46</f>
        <v>125892.03333333333</v>
      </c>
    </row>
    <row r="48" spans="2:8" s="1489" customFormat="1" x14ac:dyDescent="0.25">
      <c r="B48" s="1578"/>
      <c r="C48" s="1522" t="s">
        <v>878</v>
      </c>
      <c r="D48" s="1523"/>
      <c r="E48" s="1523"/>
      <c r="F48" s="1523"/>
      <c r="G48" s="1523"/>
      <c r="H48" s="1524">
        <f>ROUNDDOWN(H47,2)</f>
        <v>125892.03</v>
      </c>
    </row>
    <row r="49" spans="2:8" x14ac:dyDescent="0.25">
      <c r="C49" s="1579"/>
      <c r="D49" s="1579"/>
      <c r="E49" s="1579"/>
      <c r="F49" s="1579"/>
      <c r="G49" s="1579"/>
    </row>
    <row r="50" spans="2:8" x14ac:dyDescent="0.25">
      <c r="B50" s="1563" t="s">
        <v>609</v>
      </c>
      <c r="C50" s="1544" t="s">
        <v>1529</v>
      </c>
    </row>
    <row r="51" spans="2:8" ht="27" x14ac:dyDescent="0.25">
      <c r="B51" s="1568" t="s">
        <v>12</v>
      </c>
      <c r="C51" s="1568" t="s">
        <v>36</v>
      </c>
      <c r="D51" s="1568" t="s">
        <v>37</v>
      </c>
      <c r="E51" s="1568" t="s">
        <v>14</v>
      </c>
      <c r="F51" s="1569" t="s">
        <v>38</v>
      </c>
      <c r="G51" s="1570" t="s">
        <v>39</v>
      </c>
      <c r="H51" s="1571" t="s">
        <v>40</v>
      </c>
    </row>
    <row r="52" spans="2:8" x14ac:dyDescent="0.25">
      <c r="B52" s="2978" t="s">
        <v>41</v>
      </c>
      <c r="C52" s="1546" t="s">
        <v>42</v>
      </c>
    </row>
    <row r="53" spans="2:8" x14ac:dyDescent="0.25">
      <c r="B53" s="2978"/>
      <c r="C53" s="1546" t="s">
        <v>1521</v>
      </c>
      <c r="D53" s="2978"/>
      <c r="E53" s="2978" t="s">
        <v>1522</v>
      </c>
      <c r="F53" s="1573">
        <v>1</v>
      </c>
      <c r="G53" s="1565">
        <v>155000</v>
      </c>
      <c r="H53" s="1566">
        <f>F53*G53</f>
        <v>155000</v>
      </c>
    </row>
    <row r="54" spans="2:8" x14ac:dyDescent="0.25">
      <c r="B54" s="2978"/>
      <c r="F54" s="3156" t="s">
        <v>52</v>
      </c>
      <c r="G54" s="3156"/>
      <c r="H54" s="1566">
        <f>SUM(H53:H53)</f>
        <v>155000</v>
      </c>
    </row>
    <row r="55" spans="2:8" x14ac:dyDescent="0.25">
      <c r="B55" s="2978" t="s">
        <v>53</v>
      </c>
      <c r="C55" s="1546" t="s">
        <v>54</v>
      </c>
    </row>
    <row r="56" spans="2:8" x14ac:dyDescent="0.25">
      <c r="B56" s="2978"/>
      <c r="C56" s="1547" t="s">
        <v>1519</v>
      </c>
      <c r="D56" s="1547"/>
      <c r="E56" s="1574" t="s">
        <v>161</v>
      </c>
      <c r="F56" s="1575">
        <v>8</v>
      </c>
      <c r="G56" s="1576">
        <f>G74</f>
        <v>2750</v>
      </c>
      <c r="H56" s="1577">
        <f>G56*F56</f>
        <v>22000</v>
      </c>
    </row>
    <row r="57" spans="2:8" x14ac:dyDescent="0.25">
      <c r="B57" s="2978"/>
      <c r="C57" s="1546" t="s">
        <v>1520</v>
      </c>
      <c r="E57" s="2978" t="s">
        <v>161</v>
      </c>
      <c r="F57" s="1564">
        <v>2.4</v>
      </c>
      <c r="G57" s="1576">
        <f>G75</f>
        <v>32000</v>
      </c>
      <c r="H57" s="1577">
        <f>G57*F57</f>
        <v>76800</v>
      </c>
    </row>
    <row r="58" spans="2:8" x14ac:dyDescent="0.25">
      <c r="B58" s="2978"/>
      <c r="F58" s="3156" t="s">
        <v>59</v>
      </c>
      <c r="G58" s="3156"/>
      <c r="H58" s="1566">
        <f>SUM(H56:H56)</f>
        <v>22000</v>
      </c>
    </row>
    <row r="59" spans="2:8" x14ac:dyDescent="0.25">
      <c r="B59" s="2978" t="s">
        <v>5</v>
      </c>
      <c r="C59" s="1546" t="s">
        <v>60</v>
      </c>
    </row>
    <row r="60" spans="2:8" x14ac:dyDescent="0.25">
      <c r="B60" s="2978"/>
      <c r="F60" s="1564" t="s">
        <v>61</v>
      </c>
      <c r="H60" s="1566">
        <v>0</v>
      </c>
    </row>
    <row r="61" spans="2:8" x14ac:dyDescent="0.25">
      <c r="B61" s="2978"/>
    </row>
    <row r="62" spans="2:8" x14ac:dyDescent="0.25">
      <c r="B62" s="2978" t="s">
        <v>6</v>
      </c>
      <c r="C62" s="3158" t="s">
        <v>62</v>
      </c>
      <c r="D62" s="3158"/>
      <c r="E62" s="3158"/>
      <c r="F62" s="3158"/>
      <c r="G62" s="3158"/>
      <c r="H62" s="1566">
        <f>H54+H58+H60</f>
        <v>177000</v>
      </c>
    </row>
    <row r="63" spans="2:8" x14ac:dyDescent="0.25">
      <c r="B63" s="2978" t="s">
        <v>7</v>
      </c>
      <c r="C63" s="3158" t="s">
        <v>100</v>
      </c>
      <c r="D63" s="3158"/>
      <c r="E63" s="3158"/>
      <c r="F63" s="3157">
        <f>$J$2</f>
        <v>0.15</v>
      </c>
      <c r="G63" s="3158"/>
      <c r="H63" s="1566">
        <f>F63*H62</f>
        <v>26550</v>
      </c>
    </row>
    <row r="64" spans="2:8" x14ac:dyDescent="0.25">
      <c r="B64" s="2978" t="s">
        <v>63</v>
      </c>
      <c r="C64" s="3158" t="s">
        <v>64</v>
      </c>
      <c r="D64" s="3158"/>
      <c r="E64" s="3158"/>
      <c r="F64" s="3158"/>
      <c r="G64" s="3158"/>
      <c r="H64" s="1566">
        <f>H62+H63</f>
        <v>203550</v>
      </c>
    </row>
    <row r="65" spans="2:8" x14ac:dyDescent="0.25">
      <c r="B65" s="1578"/>
      <c r="C65" s="1522" t="s">
        <v>878</v>
      </c>
      <c r="D65" s="1523"/>
      <c r="E65" s="1523"/>
      <c r="F65" s="1523"/>
      <c r="G65" s="1523"/>
      <c r="H65" s="1524">
        <f>ROUNDDOWN(H64,2)</f>
        <v>203550</v>
      </c>
    </row>
    <row r="66" spans="2:8" x14ac:dyDescent="0.25">
      <c r="B66" s="2978"/>
      <c r="C66" s="2979"/>
      <c r="D66" s="2979"/>
      <c r="E66" s="2979"/>
      <c r="F66" s="2979"/>
      <c r="G66" s="2979"/>
    </row>
    <row r="67" spans="2:8" x14ac:dyDescent="0.25">
      <c r="B67" s="1563" t="s">
        <v>610</v>
      </c>
      <c r="C67" s="1544" t="s">
        <v>1526</v>
      </c>
    </row>
    <row r="68" spans="2:8" ht="27" x14ac:dyDescent="0.25">
      <c r="B68" s="1568" t="s">
        <v>12</v>
      </c>
      <c r="C68" s="1568" t="s">
        <v>36</v>
      </c>
      <c r="D68" s="1568" t="s">
        <v>37</v>
      </c>
      <c r="E68" s="1568" t="s">
        <v>14</v>
      </c>
      <c r="F68" s="1569" t="s">
        <v>38</v>
      </c>
      <c r="G68" s="1570" t="s">
        <v>39</v>
      </c>
      <c r="H68" s="1571" t="s">
        <v>40</v>
      </c>
    </row>
    <row r="69" spans="2:8" x14ac:dyDescent="0.25">
      <c r="B69" s="2978" t="s">
        <v>41</v>
      </c>
      <c r="C69" s="1546" t="s">
        <v>42</v>
      </c>
    </row>
    <row r="70" spans="2:8" x14ac:dyDescent="0.25">
      <c r="B70" s="2978"/>
      <c r="C70" s="1546" t="s">
        <v>1521</v>
      </c>
      <c r="D70" s="2978"/>
      <c r="E70" s="2978" t="s">
        <v>1522</v>
      </c>
      <c r="F70" s="1573">
        <v>1</v>
      </c>
      <c r="G70" s="1565">
        <v>485000</v>
      </c>
      <c r="H70" s="1566">
        <f>F70*G70</f>
        <v>485000</v>
      </c>
    </row>
    <row r="71" spans="2:8" x14ac:dyDescent="0.25">
      <c r="B71" s="2978"/>
      <c r="F71" s="3156" t="s">
        <v>52</v>
      </c>
      <c r="G71" s="3156"/>
      <c r="H71" s="1566">
        <f>SUM(H70:H70)</f>
        <v>485000</v>
      </c>
    </row>
    <row r="72" spans="2:8" x14ac:dyDescent="0.25">
      <c r="B72" s="2978" t="s">
        <v>53</v>
      </c>
      <c r="C72" s="1546" t="s">
        <v>54</v>
      </c>
    </row>
    <row r="73" spans="2:8" ht="13.5" customHeight="1" x14ac:dyDescent="0.25">
      <c r="B73" s="2978"/>
      <c r="C73" s="1545" t="s">
        <v>1518</v>
      </c>
      <c r="D73" s="1545"/>
      <c r="E73" s="1574" t="s">
        <v>2</v>
      </c>
      <c r="F73" s="1575">
        <v>1.1000000000000001</v>
      </c>
      <c r="G73" s="1576">
        <f>BAHAN!G66</f>
        <v>335200</v>
      </c>
      <c r="H73" s="1577">
        <f>G73*F73</f>
        <v>368720.00000000006</v>
      </c>
    </row>
    <row r="74" spans="2:8" ht="13.5" customHeight="1" x14ac:dyDescent="0.25">
      <c r="B74" s="2978"/>
      <c r="C74" s="1547" t="s">
        <v>1519</v>
      </c>
      <c r="D74" s="1547"/>
      <c r="E74" s="1574" t="s">
        <v>161</v>
      </c>
      <c r="F74" s="1575">
        <v>8</v>
      </c>
      <c r="G74" s="1576">
        <f>BAHAN!G42</f>
        <v>2750</v>
      </c>
      <c r="H74" s="1577">
        <f>G74*F74</f>
        <v>22000</v>
      </c>
    </row>
    <row r="75" spans="2:8" ht="13.5" customHeight="1" x14ac:dyDescent="0.25">
      <c r="B75" s="2978"/>
      <c r="C75" s="1546" t="s">
        <v>1520</v>
      </c>
      <c r="E75" s="2978" t="s">
        <v>161</v>
      </c>
      <c r="F75" s="1564">
        <v>2.4</v>
      </c>
      <c r="G75" s="1576">
        <f>BAHAN!G73</f>
        <v>32000</v>
      </c>
      <c r="H75" s="1577">
        <f>G75*F75</f>
        <v>76800</v>
      </c>
    </row>
    <row r="76" spans="2:8" x14ac:dyDescent="0.25">
      <c r="B76" s="2978"/>
      <c r="F76" s="3156" t="s">
        <v>59</v>
      </c>
      <c r="G76" s="3156"/>
      <c r="H76" s="1566">
        <f>SUM(H73:H74)</f>
        <v>390720.00000000006</v>
      </c>
    </row>
    <row r="77" spans="2:8" x14ac:dyDescent="0.25">
      <c r="B77" s="2978" t="s">
        <v>5</v>
      </c>
      <c r="C77" s="1546" t="s">
        <v>60</v>
      </c>
    </row>
    <row r="78" spans="2:8" x14ac:dyDescent="0.25">
      <c r="B78" s="2978"/>
      <c r="F78" s="1564" t="s">
        <v>61</v>
      </c>
      <c r="H78" s="1566">
        <v>0</v>
      </c>
    </row>
    <row r="79" spans="2:8" x14ac:dyDescent="0.25">
      <c r="B79" s="2978"/>
    </row>
    <row r="80" spans="2:8" x14ac:dyDescent="0.25">
      <c r="B80" s="2978" t="s">
        <v>6</v>
      </c>
      <c r="C80" s="3158" t="s">
        <v>62</v>
      </c>
      <c r="D80" s="3158"/>
      <c r="E80" s="3158"/>
      <c r="F80" s="3158"/>
      <c r="G80" s="3158"/>
      <c r="H80" s="1566">
        <f>H71+H76+H78</f>
        <v>875720</v>
      </c>
    </row>
    <row r="81" spans="2:8" x14ac:dyDescent="0.25">
      <c r="B81" s="2978" t="s">
        <v>7</v>
      </c>
      <c r="C81" s="3158" t="s">
        <v>100</v>
      </c>
      <c r="D81" s="3158"/>
      <c r="E81" s="3158"/>
      <c r="F81" s="3157">
        <f>$J$2</f>
        <v>0.15</v>
      </c>
      <c r="G81" s="3158"/>
      <c r="H81" s="1566">
        <f>F81*H80</f>
        <v>131358</v>
      </c>
    </row>
    <row r="82" spans="2:8" x14ac:dyDescent="0.25">
      <c r="B82" s="2978" t="s">
        <v>63</v>
      </c>
      <c r="C82" s="3158" t="s">
        <v>64</v>
      </c>
      <c r="D82" s="3158"/>
      <c r="E82" s="3158"/>
      <c r="F82" s="3158"/>
      <c r="G82" s="3158"/>
      <c r="H82" s="1566">
        <f>H80+H81</f>
        <v>1007078</v>
      </c>
    </row>
    <row r="83" spans="2:8" x14ac:dyDescent="0.25">
      <c r="B83" s="1578"/>
      <c r="C83" s="1522" t="s">
        <v>878</v>
      </c>
      <c r="D83" s="1523"/>
      <c r="E83" s="1523"/>
      <c r="F83" s="1523"/>
      <c r="G83" s="1523"/>
      <c r="H83" s="1524">
        <f>ROUNDDOWN(H82,2)</f>
        <v>1007078</v>
      </c>
    </row>
    <row r="84" spans="2:8" x14ac:dyDescent="0.25">
      <c r="B84" s="2978"/>
      <c r="C84" s="2979"/>
      <c r="D84" s="2979"/>
      <c r="E84" s="2979"/>
      <c r="F84" s="2979"/>
      <c r="G84" s="2979"/>
    </row>
    <row r="85" spans="2:8" x14ac:dyDescent="0.25">
      <c r="B85" s="1563" t="s">
        <v>1238</v>
      </c>
      <c r="C85" s="1594" t="s">
        <v>854</v>
      </c>
      <c r="D85" s="1581"/>
      <c r="E85" s="1582"/>
      <c r="F85" s="1583"/>
      <c r="G85" s="1584"/>
      <c r="H85" s="1585"/>
    </row>
    <row r="86" spans="2:8" s="1550" customFormat="1" ht="25.5" customHeight="1" x14ac:dyDescent="0.25">
      <c r="B86" s="1590" t="s">
        <v>12</v>
      </c>
      <c r="C86" s="1590" t="s">
        <v>36</v>
      </c>
      <c r="D86" s="1590" t="s">
        <v>37</v>
      </c>
      <c r="E86" s="1590" t="s">
        <v>14</v>
      </c>
      <c r="F86" s="1591" t="s">
        <v>38</v>
      </c>
      <c r="G86" s="1592" t="s">
        <v>39</v>
      </c>
      <c r="H86" s="1593" t="s">
        <v>40</v>
      </c>
    </row>
    <row r="87" spans="2:8" x14ac:dyDescent="0.25">
      <c r="B87" s="1574" t="s">
        <v>41</v>
      </c>
      <c r="C87" s="1547" t="s">
        <v>42</v>
      </c>
      <c r="D87" s="1547"/>
      <c r="E87" s="1574"/>
      <c r="F87" s="1573"/>
      <c r="G87" s="1576"/>
      <c r="H87" s="1577"/>
    </row>
    <row r="88" spans="2:8" x14ac:dyDescent="0.25">
      <c r="B88" s="1574"/>
      <c r="C88" s="1588" t="s">
        <v>43</v>
      </c>
      <c r="D88" s="1595" t="s">
        <v>44</v>
      </c>
      <c r="E88" s="1595" t="s">
        <v>45</v>
      </c>
      <c r="F88" s="1596">
        <v>0.15</v>
      </c>
      <c r="G88" s="1565">
        <f>UPAH!$F$13</f>
        <v>115000</v>
      </c>
      <c r="H88" s="1597">
        <f>F88*G88</f>
        <v>17250</v>
      </c>
    </row>
    <row r="89" spans="2:8" x14ac:dyDescent="0.25">
      <c r="B89" s="1574"/>
      <c r="C89" s="1588" t="s">
        <v>97</v>
      </c>
      <c r="D89" s="1595" t="s">
        <v>47</v>
      </c>
      <c r="E89" s="1595" t="s">
        <v>45</v>
      </c>
      <c r="F89" s="1596">
        <v>0.15</v>
      </c>
      <c r="G89" s="1565">
        <f>UPAH!$F$12</f>
        <v>170000</v>
      </c>
      <c r="H89" s="1597">
        <f>F89*G89</f>
        <v>25500</v>
      </c>
    </row>
    <row r="90" spans="2:8" x14ac:dyDescent="0.25">
      <c r="B90" s="1574"/>
      <c r="C90" s="1588" t="s">
        <v>48</v>
      </c>
      <c r="D90" s="1595" t="s">
        <v>49</v>
      </c>
      <c r="E90" s="1595" t="s">
        <v>45</v>
      </c>
      <c r="F90" s="1596">
        <v>1.2E-2</v>
      </c>
      <c r="G90" s="1565">
        <f>UPAH!$F$11</f>
        <v>185000</v>
      </c>
      <c r="H90" s="1597">
        <f>F90*G90</f>
        <v>2220</v>
      </c>
    </row>
    <row r="91" spans="2:8" x14ac:dyDescent="0.25">
      <c r="B91" s="1574"/>
      <c r="C91" s="1588" t="s">
        <v>50</v>
      </c>
      <c r="D91" s="1595" t="s">
        <v>51</v>
      </c>
      <c r="E91" s="1595" t="s">
        <v>45</v>
      </c>
      <c r="F91" s="1596">
        <v>1E-3</v>
      </c>
      <c r="G91" s="1565">
        <f>UPAH!$F$10</f>
        <v>200000</v>
      </c>
      <c r="H91" s="1597">
        <f>F91*G91</f>
        <v>200</v>
      </c>
    </row>
    <row r="92" spans="2:8" x14ac:dyDescent="0.25">
      <c r="B92" s="1574"/>
      <c r="C92" s="1547"/>
      <c r="D92" s="1558"/>
      <c r="E92" s="1562"/>
      <c r="F92" s="3154" t="s">
        <v>52</v>
      </c>
      <c r="G92" s="3154"/>
      <c r="H92" s="1587">
        <f>SUM(H88:H91)</f>
        <v>45170</v>
      </c>
    </row>
    <row r="93" spans="2:8" x14ac:dyDescent="0.25">
      <c r="B93" s="1574" t="s">
        <v>53</v>
      </c>
      <c r="C93" s="1547" t="s">
        <v>54</v>
      </c>
      <c r="D93" s="1547"/>
      <c r="E93" s="1574"/>
      <c r="F93" s="1573"/>
      <c r="G93" s="1576"/>
      <c r="H93" s="1577"/>
    </row>
    <row r="94" spans="2:8" s="1504" customFormat="1" x14ac:dyDescent="0.25">
      <c r="B94" s="1540"/>
      <c r="C94" s="1541" t="s">
        <v>855</v>
      </c>
      <c r="E94" s="1540" t="s">
        <v>113</v>
      </c>
      <c r="F94" s="1589">
        <v>1.1000000000000001</v>
      </c>
      <c r="G94" s="1507">
        <f>BAHAN!G83</f>
        <v>87500</v>
      </c>
      <c r="H94" s="1508">
        <f>F94*G94</f>
        <v>96250.000000000015</v>
      </c>
    </row>
    <row r="95" spans="2:8" s="1504" customFormat="1" x14ac:dyDescent="0.25">
      <c r="B95" s="1540"/>
      <c r="C95" s="1541" t="s">
        <v>1506</v>
      </c>
      <c r="E95" s="1540" t="s">
        <v>89</v>
      </c>
      <c r="F95" s="1589">
        <v>1.1000000000000001</v>
      </c>
      <c r="G95" s="1507">
        <f>BAHAN!G84</f>
        <v>35000</v>
      </c>
      <c r="H95" s="1508">
        <f>F95*G95</f>
        <v>38500</v>
      </c>
    </row>
    <row r="96" spans="2:8" x14ac:dyDescent="0.25">
      <c r="B96" s="1574"/>
      <c r="C96" s="1547"/>
      <c r="D96" s="1558"/>
      <c r="E96" s="1562"/>
      <c r="F96" s="3154" t="s">
        <v>59</v>
      </c>
      <c r="G96" s="3154"/>
      <c r="H96" s="1577">
        <f>SUM(H94:H95)</f>
        <v>134750</v>
      </c>
    </row>
    <row r="97" spans="2:8" x14ac:dyDescent="0.25">
      <c r="B97" s="1574" t="s">
        <v>5</v>
      </c>
      <c r="C97" s="1547" t="s">
        <v>60</v>
      </c>
      <c r="D97" s="1547"/>
      <c r="E97" s="1574"/>
      <c r="F97" s="1573"/>
      <c r="G97" s="1576"/>
      <c r="H97" s="1577"/>
    </row>
    <row r="98" spans="2:8" x14ac:dyDescent="0.25">
      <c r="B98" s="1562"/>
      <c r="C98" s="1558"/>
      <c r="D98" s="1558"/>
      <c r="E98" s="1562"/>
      <c r="F98" s="3154" t="s">
        <v>61</v>
      </c>
      <c r="G98" s="3154"/>
      <c r="H98" s="1577">
        <v>0</v>
      </c>
    </row>
    <row r="99" spans="2:8" x14ac:dyDescent="0.25">
      <c r="B99" s="1574"/>
      <c r="C99" s="1547"/>
      <c r="D99" s="1547"/>
      <c r="E99" s="1574"/>
      <c r="F99" s="1573"/>
      <c r="G99" s="1576"/>
      <c r="H99" s="1577"/>
    </row>
    <row r="100" spans="2:8" x14ac:dyDescent="0.25">
      <c r="B100" s="1574" t="s">
        <v>6</v>
      </c>
      <c r="C100" s="3154" t="s">
        <v>62</v>
      </c>
      <c r="D100" s="3154"/>
      <c r="E100" s="3154"/>
      <c r="F100" s="3154"/>
      <c r="G100" s="3154"/>
      <c r="H100" s="1598">
        <f>H92+H96+H98</f>
        <v>179920</v>
      </c>
    </row>
    <row r="101" spans="2:8" x14ac:dyDescent="0.25">
      <c r="B101" s="1574" t="s">
        <v>7</v>
      </c>
      <c r="C101" s="1547" t="s">
        <v>100</v>
      </c>
      <c r="D101" s="1547"/>
      <c r="E101" s="1579"/>
      <c r="F101" s="1599" t="s">
        <v>100</v>
      </c>
      <c r="G101" s="1600">
        <f>$J$2</f>
        <v>0.15</v>
      </c>
      <c r="H101" s="1598">
        <f>G101*H100</f>
        <v>26988</v>
      </c>
    </row>
    <row r="102" spans="2:8" x14ac:dyDescent="0.25">
      <c r="B102" s="1574" t="s">
        <v>63</v>
      </c>
      <c r="C102" s="3154" t="s">
        <v>64</v>
      </c>
      <c r="D102" s="3154"/>
      <c r="E102" s="3154"/>
      <c r="F102" s="3154"/>
      <c r="G102" s="3154"/>
      <c r="H102" s="1598">
        <f>H101+H100</f>
        <v>206908</v>
      </c>
    </row>
    <row r="103" spans="2:8" x14ac:dyDescent="0.25">
      <c r="C103" s="1522" t="s">
        <v>878</v>
      </c>
      <c r="D103" s="1523"/>
      <c r="E103" s="1523"/>
      <c r="F103" s="1523"/>
      <c r="G103" s="1523"/>
      <c r="H103" s="1524">
        <f>ROUNDDOWN(H102,2)</f>
        <v>206908</v>
      </c>
    </row>
    <row r="104" spans="2:8" x14ac:dyDescent="0.25">
      <c r="B104" s="2978"/>
      <c r="C104" s="1522"/>
      <c r="D104" s="1523"/>
      <c r="E104" s="1523"/>
      <c r="F104" s="1523"/>
      <c r="G104" s="1523"/>
      <c r="H104" s="1524"/>
    </row>
    <row r="105" spans="2:8" x14ac:dyDescent="0.25">
      <c r="B105" s="1563" t="s">
        <v>623</v>
      </c>
      <c r="C105" s="1594" t="s">
        <v>1511</v>
      </c>
      <c r="D105" s="1581"/>
      <c r="E105" s="1582"/>
      <c r="F105" s="1583"/>
      <c r="G105" s="1584"/>
      <c r="H105" s="1585"/>
    </row>
    <row r="106" spans="2:8" ht="27" x14ac:dyDescent="0.25">
      <c r="B106" s="1590" t="s">
        <v>12</v>
      </c>
      <c r="C106" s="1590" t="s">
        <v>36</v>
      </c>
      <c r="D106" s="1590" t="s">
        <v>37</v>
      </c>
      <c r="E106" s="1590" t="s">
        <v>14</v>
      </c>
      <c r="F106" s="1591" t="s">
        <v>38</v>
      </c>
      <c r="G106" s="1592" t="s">
        <v>39</v>
      </c>
      <c r="H106" s="1593" t="s">
        <v>40</v>
      </c>
    </row>
    <row r="107" spans="2:8" x14ac:dyDescent="0.25">
      <c r="B107" s="1574" t="s">
        <v>41</v>
      </c>
      <c r="C107" s="1547" t="s">
        <v>42</v>
      </c>
      <c r="D107" s="1547"/>
      <c r="E107" s="1574"/>
      <c r="F107" s="1573"/>
      <c r="G107" s="1576"/>
      <c r="H107" s="1577"/>
    </row>
    <row r="108" spans="2:8" x14ac:dyDescent="0.25">
      <c r="B108" s="1574"/>
      <c r="C108" s="1588"/>
      <c r="D108" s="1595"/>
      <c r="E108" s="1595"/>
      <c r="F108" s="1596"/>
      <c r="H108" s="1597"/>
    </row>
    <row r="109" spans="2:8" x14ac:dyDescent="0.25">
      <c r="B109" s="1574"/>
      <c r="C109" s="1547"/>
      <c r="D109" s="1558"/>
      <c r="E109" s="1562"/>
      <c r="F109" s="3154" t="s">
        <v>52</v>
      </c>
      <c r="G109" s="3154"/>
      <c r="H109" s="1587">
        <f>SUM(H108:H108)</f>
        <v>0</v>
      </c>
    </row>
    <row r="110" spans="2:8" x14ac:dyDescent="0.25">
      <c r="B110" s="1574" t="s">
        <v>53</v>
      </c>
      <c r="C110" s="1547" t="s">
        <v>54</v>
      </c>
      <c r="D110" s="1547"/>
      <c r="E110" s="1574"/>
      <c r="F110" s="1573"/>
      <c r="G110" s="1576"/>
      <c r="H110" s="1577"/>
    </row>
    <row r="111" spans="2:8" x14ac:dyDescent="0.25">
      <c r="B111" s="2977"/>
      <c r="C111" s="1541" t="s">
        <v>1507</v>
      </c>
      <c r="D111" s="1504"/>
      <c r="E111" s="2977" t="s">
        <v>1509</v>
      </c>
      <c r="F111" s="1589">
        <f>30*30</f>
        <v>900</v>
      </c>
      <c r="G111" s="1507">
        <f>BAHAN!G97</f>
        <v>17000</v>
      </c>
      <c r="H111" s="1508">
        <f>F111*G111</f>
        <v>15300000</v>
      </c>
    </row>
    <row r="112" spans="2:8" x14ac:dyDescent="0.25">
      <c r="B112" s="2977"/>
      <c r="C112" s="1541" t="s">
        <v>1508</v>
      </c>
      <c r="D112" s="1504"/>
      <c r="E112" s="2977" t="s">
        <v>1</v>
      </c>
      <c r="F112" s="1589">
        <v>1</v>
      </c>
      <c r="G112" s="1507">
        <v>100000</v>
      </c>
      <c r="H112" s="1508">
        <f>F112*G112</f>
        <v>100000</v>
      </c>
    </row>
    <row r="113" spans="2:8" x14ac:dyDescent="0.25">
      <c r="B113" s="1574"/>
      <c r="C113" s="1547"/>
      <c r="D113" s="1558"/>
      <c r="E113" s="1562"/>
      <c r="F113" s="3154" t="s">
        <v>59</v>
      </c>
      <c r="G113" s="3154"/>
      <c r="H113" s="1577">
        <f>SUM(H111:H112)</f>
        <v>15400000</v>
      </c>
    </row>
    <row r="114" spans="2:8" x14ac:dyDescent="0.25">
      <c r="B114" s="1574" t="s">
        <v>5</v>
      </c>
      <c r="C114" s="1547" t="s">
        <v>60</v>
      </c>
      <c r="D114" s="1547"/>
      <c r="E114" s="1574"/>
      <c r="F114" s="1573"/>
      <c r="G114" s="1576"/>
      <c r="H114" s="1577"/>
    </row>
    <row r="115" spans="2:8" x14ac:dyDescent="0.25">
      <c r="B115" s="1562"/>
      <c r="C115" s="1558"/>
      <c r="D115" s="1558"/>
      <c r="E115" s="1562"/>
      <c r="F115" s="3154" t="s">
        <v>61</v>
      </c>
      <c r="G115" s="3154"/>
      <c r="H115" s="1577">
        <v>0</v>
      </c>
    </row>
    <row r="116" spans="2:8" x14ac:dyDescent="0.25">
      <c r="B116" s="1574"/>
      <c r="C116" s="1547"/>
      <c r="D116" s="1547"/>
      <c r="E116" s="1574"/>
      <c r="F116" s="1573"/>
      <c r="G116" s="1576"/>
      <c r="H116" s="1577"/>
    </row>
    <row r="117" spans="2:8" x14ac:dyDescent="0.25">
      <c r="B117" s="1574" t="s">
        <v>6</v>
      </c>
      <c r="C117" s="3154" t="s">
        <v>62</v>
      </c>
      <c r="D117" s="3154"/>
      <c r="E117" s="3154"/>
      <c r="F117" s="3154"/>
      <c r="G117" s="3154"/>
      <c r="H117" s="1598">
        <f>H109+H113+H115</f>
        <v>15400000</v>
      </c>
    </row>
    <row r="118" spans="2:8" x14ac:dyDescent="0.25">
      <c r="B118" s="1574" t="s">
        <v>7</v>
      </c>
      <c r="C118" s="1547" t="s">
        <v>100</v>
      </c>
      <c r="D118" s="1547"/>
      <c r="E118" s="2979"/>
      <c r="F118" s="1599" t="s">
        <v>100</v>
      </c>
      <c r="G118" s="1600">
        <f>$J$2</f>
        <v>0.15</v>
      </c>
      <c r="H118" s="1598">
        <f>G118*H117</f>
        <v>2310000</v>
      </c>
    </row>
    <row r="119" spans="2:8" s="1544" customFormat="1" ht="12.75" x14ac:dyDescent="0.2">
      <c r="B119" s="1562" t="s">
        <v>63</v>
      </c>
      <c r="C119" s="3155" t="s">
        <v>64</v>
      </c>
      <c r="D119" s="3155"/>
      <c r="E119" s="3155"/>
      <c r="F119" s="3155"/>
      <c r="G119" s="3155"/>
      <c r="H119" s="2986">
        <f>H118+H117</f>
        <v>17710000</v>
      </c>
    </row>
    <row r="120" spans="2:8" hidden="1" x14ac:dyDescent="0.25">
      <c r="B120" s="2978"/>
      <c r="C120" s="1522" t="s">
        <v>878</v>
      </c>
      <c r="D120" s="1523"/>
      <c r="E120" s="1523"/>
      <c r="F120" s="1523"/>
      <c r="G120" s="1523"/>
      <c r="H120" s="1524">
        <f>ROUNDDOWN(H119,2)</f>
        <v>17710000</v>
      </c>
    </row>
    <row r="121" spans="2:8" s="1550" customFormat="1" ht="24.75" hidden="1" customHeight="1" x14ac:dyDescent="0.25">
      <c r="B121" s="1590" t="s">
        <v>12</v>
      </c>
      <c r="C121" s="1590" t="s">
        <v>36</v>
      </c>
      <c r="D121" s="1590" t="s">
        <v>37</v>
      </c>
      <c r="E121" s="1590" t="s">
        <v>14</v>
      </c>
      <c r="F121" s="1591" t="s">
        <v>38</v>
      </c>
      <c r="G121" s="1592" t="s">
        <v>39</v>
      </c>
      <c r="H121" s="1593" t="s">
        <v>40</v>
      </c>
    </row>
    <row r="122" spans="2:8" hidden="1" x14ac:dyDescent="0.25">
      <c r="B122" s="1574" t="s">
        <v>41</v>
      </c>
      <c r="C122" s="1547" t="s">
        <v>42</v>
      </c>
      <c r="D122" s="1547"/>
      <c r="E122" s="1574"/>
      <c r="F122" s="1573"/>
      <c r="G122" s="1576"/>
      <c r="H122" s="1577"/>
    </row>
    <row r="123" spans="2:8" hidden="1" x14ac:dyDescent="0.25">
      <c r="B123" s="1574"/>
      <c r="C123" s="1588" t="s">
        <v>43</v>
      </c>
      <c r="D123" s="1595" t="s">
        <v>44</v>
      </c>
      <c r="E123" s="1595" t="s">
        <v>45</v>
      </c>
      <c r="F123" s="1596">
        <v>6</v>
      </c>
      <c r="G123" s="1565">
        <f>UPAH!$F$13</f>
        <v>115000</v>
      </c>
      <c r="H123" s="1597">
        <f>F123*G123</f>
        <v>690000</v>
      </c>
    </row>
    <row r="124" spans="2:8" hidden="1" x14ac:dyDescent="0.25">
      <c r="B124" s="1574"/>
      <c r="C124" s="1588" t="s">
        <v>97</v>
      </c>
      <c r="D124" s="1595" t="s">
        <v>47</v>
      </c>
      <c r="E124" s="1595" t="s">
        <v>45</v>
      </c>
      <c r="F124" s="1596">
        <v>4</v>
      </c>
      <c r="G124" s="1565">
        <f>UPAH!$F$12</f>
        <v>170000</v>
      </c>
      <c r="H124" s="1597">
        <f>F124*G124</f>
        <v>680000</v>
      </c>
    </row>
    <row r="125" spans="2:8" hidden="1" x14ac:dyDescent="0.25">
      <c r="B125" s="1574"/>
      <c r="C125" s="1588" t="s">
        <v>48</v>
      </c>
      <c r="D125" s="1595" t="s">
        <v>49</v>
      </c>
      <c r="E125" s="1595" t="s">
        <v>45</v>
      </c>
      <c r="F125" s="1596">
        <v>1</v>
      </c>
      <c r="G125" s="1565">
        <f>UPAH!$F$11</f>
        <v>185000</v>
      </c>
      <c r="H125" s="1597">
        <f>F125*G125</f>
        <v>185000</v>
      </c>
    </row>
    <row r="126" spans="2:8" hidden="1" x14ac:dyDescent="0.25">
      <c r="B126" s="1574"/>
      <c r="C126" s="1588" t="s">
        <v>50</v>
      </c>
      <c r="D126" s="1595" t="s">
        <v>51</v>
      </c>
      <c r="E126" s="1595" t="s">
        <v>45</v>
      </c>
      <c r="F126" s="1596">
        <v>1</v>
      </c>
      <c r="G126" s="1565">
        <f>UPAH!$F$10</f>
        <v>200000</v>
      </c>
      <c r="H126" s="1597">
        <f>F126*G126</f>
        <v>200000</v>
      </c>
    </row>
    <row r="127" spans="2:8" hidden="1" x14ac:dyDescent="0.25">
      <c r="B127" s="1574"/>
      <c r="C127" s="1547"/>
      <c r="D127" s="1558"/>
      <c r="E127" s="1562"/>
      <c r="F127" s="3154" t="s">
        <v>52</v>
      </c>
      <c r="G127" s="3154"/>
      <c r="H127" s="1587">
        <f>SUM(H123:H126)</f>
        <v>1755000</v>
      </c>
    </row>
    <row r="128" spans="2:8" hidden="1" x14ac:dyDescent="0.25">
      <c r="B128" s="1574" t="s">
        <v>53</v>
      </c>
      <c r="C128" s="1547" t="s">
        <v>54</v>
      </c>
      <c r="D128" s="1547"/>
      <c r="E128" s="1574"/>
      <c r="F128" s="1573"/>
      <c r="G128" s="1576"/>
      <c r="H128" s="1577"/>
    </row>
    <row r="129" spans="2:8" hidden="1" x14ac:dyDescent="0.25">
      <c r="B129" s="1574"/>
      <c r="C129" s="1546" t="s">
        <v>1249</v>
      </c>
      <c r="D129" s="1547"/>
      <c r="E129" s="1574" t="s">
        <v>32</v>
      </c>
      <c r="F129" s="1573">
        <v>1</v>
      </c>
      <c r="G129" s="1576">
        <f>'UB mep'!J69</f>
        <v>1000000</v>
      </c>
      <c r="H129" s="1597">
        <f>F129*G129</f>
        <v>1000000</v>
      </c>
    </row>
    <row r="130" spans="2:8" hidden="1" x14ac:dyDescent="0.25">
      <c r="B130" s="1574"/>
      <c r="C130" s="1546" t="s">
        <v>1250</v>
      </c>
      <c r="D130" s="1547"/>
      <c r="E130" s="1574" t="s">
        <v>9</v>
      </c>
      <c r="F130" s="1573">
        <v>1</v>
      </c>
      <c r="G130" s="1576">
        <f>'UB mep'!J72</f>
        <v>750000</v>
      </c>
      <c r="H130" s="1597">
        <f t="shared" ref="H130:H147" si="0">F130*G130</f>
        <v>750000</v>
      </c>
    </row>
    <row r="131" spans="2:8" hidden="1" x14ac:dyDescent="0.25">
      <c r="B131" s="1574"/>
      <c r="C131" s="1546" t="s">
        <v>1251</v>
      </c>
      <c r="D131" s="1547"/>
      <c r="E131" s="1574" t="s">
        <v>9</v>
      </c>
      <c r="F131" s="1573">
        <v>3</v>
      </c>
      <c r="G131" s="1576">
        <f>'UB mep'!J73</f>
        <v>650000</v>
      </c>
      <c r="H131" s="1597">
        <f t="shared" si="0"/>
        <v>1950000</v>
      </c>
    </row>
    <row r="132" spans="2:8" hidden="1" x14ac:dyDescent="0.25">
      <c r="B132" s="1574"/>
      <c r="C132" s="1546" t="s">
        <v>1252</v>
      </c>
      <c r="D132" s="1547"/>
      <c r="E132" s="1574" t="s">
        <v>9</v>
      </c>
      <c r="F132" s="1573">
        <v>1</v>
      </c>
      <c r="G132" s="1576">
        <f>'UB mep'!J74</f>
        <v>650000</v>
      </c>
      <c r="H132" s="1597">
        <f t="shared" si="0"/>
        <v>650000</v>
      </c>
    </row>
    <row r="133" spans="2:8" hidden="1" x14ac:dyDescent="0.25">
      <c r="B133" s="1574"/>
      <c r="C133" s="1546" t="s">
        <v>1253</v>
      </c>
      <c r="D133" s="1547"/>
      <c r="E133" s="1574" t="s">
        <v>9</v>
      </c>
      <c r="F133" s="1573">
        <v>1</v>
      </c>
      <c r="G133" s="1576">
        <f>'UB mep'!J75</f>
        <v>650000</v>
      </c>
      <c r="H133" s="1597">
        <f t="shared" si="0"/>
        <v>650000</v>
      </c>
    </row>
    <row r="134" spans="2:8" hidden="1" x14ac:dyDescent="0.25">
      <c r="B134" s="1574"/>
      <c r="C134" s="1546" t="s">
        <v>1254</v>
      </c>
      <c r="D134" s="1547"/>
      <c r="E134" s="1574" t="s">
        <v>9</v>
      </c>
      <c r="F134" s="1573">
        <v>4</v>
      </c>
      <c r="G134" s="1576">
        <f>'UB mep'!J76</f>
        <v>62500</v>
      </c>
      <c r="H134" s="1597">
        <f t="shared" si="0"/>
        <v>250000</v>
      </c>
    </row>
    <row r="135" spans="2:8" hidden="1" x14ac:dyDescent="0.25">
      <c r="B135" s="1574"/>
      <c r="C135" s="1546" t="s">
        <v>1255</v>
      </c>
      <c r="D135" s="1547"/>
      <c r="E135" s="1574" t="s">
        <v>9</v>
      </c>
      <c r="F135" s="1573">
        <v>1</v>
      </c>
      <c r="G135" s="1576">
        <f>'UB mep'!J78</f>
        <v>1800000</v>
      </c>
      <c r="H135" s="1597">
        <f t="shared" si="0"/>
        <v>1800000</v>
      </c>
    </row>
    <row r="136" spans="2:8" hidden="1" x14ac:dyDescent="0.25">
      <c r="B136" s="1574"/>
      <c r="C136" s="1546" t="s">
        <v>1256</v>
      </c>
      <c r="D136" s="1547"/>
      <c r="E136" s="1574" t="s">
        <v>9</v>
      </c>
      <c r="F136" s="1573">
        <v>1</v>
      </c>
      <c r="G136" s="1576">
        <f>'UB mep'!J79</f>
        <v>250000</v>
      </c>
      <c r="H136" s="1597">
        <f t="shared" si="0"/>
        <v>250000</v>
      </c>
    </row>
    <row r="137" spans="2:8" hidden="1" x14ac:dyDescent="0.25">
      <c r="B137" s="1574"/>
      <c r="C137" s="1546" t="s">
        <v>1239</v>
      </c>
      <c r="D137" s="1547"/>
      <c r="E137" s="1574" t="s">
        <v>9</v>
      </c>
      <c r="F137" s="1573">
        <v>3</v>
      </c>
      <c r="G137" s="1576">
        <f>'UB mep'!J80</f>
        <v>89000</v>
      </c>
      <c r="H137" s="1597">
        <f t="shared" si="0"/>
        <v>267000</v>
      </c>
    </row>
    <row r="138" spans="2:8" hidden="1" x14ac:dyDescent="0.25">
      <c r="B138" s="1574"/>
      <c r="C138" s="1546" t="s">
        <v>1257</v>
      </c>
      <c r="D138" s="1547"/>
      <c r="E138" s="1574" t="s">
        <v>30</v>
      </c>
      <c r="F138" s="1573">
        <v>2</v>
      </c>
      <c r="G138" s="1576">
        <f>'UB mep'!J81</f>
        <v>60000</v>
      </c>
      <c r="H138" s="1597">
        <f t="shared" si="0"/>
        <v>120000</v>
      </c>
    </row>
    <row r="139" spans="2:8" s="1504" customFormat="1" hidden="1" x14ac:dyDescent="0.25">
      <c r="B139" s="1540"/>
      <c r="C139" s="1504" t="s">
        <v>1258</v>
      </c>
      <c r="E139" s="1540" t="s">
        <v>30</v>
      </c>
      <c r="F139" s="1589">
        <v>2</v>
      </c>
      <c r="G139" s="1576">
        <f>'UB mep'!J82</f>
        <v>75000</v>
      </c>
      <c r="H139" s="1597">
        <f t="shared" si="0"/>
        <v>150000</v>
      </c>
    </row>
    <row r="140" spans="2:8" s="1504" customFormat="1" hidden="1" x14ac:dyDescent="0.25">
      <c r="B140" s="1540"/>
      <c r="C140" s="1504" t="s">
        <v>1259</v>
      </c>
      <c r="E140" s="1540" t="s">
        <v>30</v>
      </c>
      <c r="F140" s="1589">
        <v>4</v>
      </c>
      <c r="G140" s="1576">
        <f>'UB mep'!J83</f>
        <v>20000</v>
      </c>
      <c r="H140" s="1597">
        <f t="shared" si="0"/>
        <v>80000</v>
      </c>
    </row>
    <row r="141" spans="2:8" s="1504" customFormat="1" hidden="1" x14ac:dyDescent="0.25">
      <c r="B141" s="1540"/>
      <c r="C141" s="1546" t="s">
        <v>1260</v>
      </c>
      <c r="E141" s="1540" t="s">
        <v>9</v>
      </c>
      <c r="F141" s="1589">
        <v>12</v>
      </c>
      <c r="G141" s="1576">
        <f>'UB mep'!J84</f>
        <v>7500</v>
      </c>
      <c r="H141" s="1597">
        <f t="shared" si="0"/>
        <v>90000</v>
      </c>
    </row>
    <row r="142" spans="2:8" s="1504" customFormat="1" hidden="1" x14ac:dyDescent="0.25">
      <c r="B142" s="1540"/>
      <c r="C142" s="1546" t="s">
        <v>1261</v>
      </c>
      <c r="E142" s="1540" t="s">
        <v>9</v>
      </c>
      <c r="F142" s="1589">
        <v>3</v>
      </c>
      <c r="G142" s="1576">
        <f>'UB mep'!J85</f>
        <v>35000</v>
      </c>
      <c r="H142" s="1597">
        <f t="shared" si="0"/>
        <v>105000</v>
      </c>
    </row>
    <row r="143" spans="2:8" s="1504" customFormat="1" hidden="1" x14ac:dyDescent="0.25">
      <c r="B143" s="1540"/>
      <c r="C143" s="1546" t="s">
        <v>1262</v>
      </c>
      <c r="E143" s="1540" t="s">
        <v>9</v>
      </c>
      <c r="F143" s="1589">
        <v>1</v>
      </c>
      <c r="G143" s="1576">
        <f>'UB mep'!J86</f>
        <v>800000</v>
      </c>
      <c r="H143" s="1597">
        <f t="shared" si="0"/>
        <v>800000</v>
      </c>
    </row>
    <row r="144" spans="2:8" s="1504" customFormat="1" hidden="1" x14ac:dyDescent="0.25">
      <c r="B144" s="1540"/>
      <c r="C144" s="1546" t="s">
        <v>1263</v>
      </c>
      <c r="E144" s="1540" t="s">
        <v>9</v>
      </c>
      <c r="F144" s="1589">
        <v>2</v>
      </c>
      <c r="G144" s="1576">
        <f>'UB mep'!J87</f>
        <v>125000</v>
      </c>
      <c r="H144" s="1597">
        <f t="shared" si="0"/>
        <v>250000</v>
      </c>
    </row>
    <row r="145" spans="2:8" s="1504" customFormat="1" hidden="1" x14ac:dyDescent="0.25">
      <c r="B145" s="1540"/>
      <c r="C145" s="1546" t="s">
        <v>1269</v>
      </c>
      <c r="E145" s="1540" t="s">
        <v>1240</v>
      </c>
      <c r="F145" s="1589">
        <v>0.5</v>
      </c>
      <c r="G145" s="1507">
        <f>'UB mep'!J116</f>
        <v>220000</v>
      </c>
      <c r="H145" s="1597">
        <f t="shared" si="0"/>
        <v>110000</v>
      </c>
    </row>
    <row r="146" spans="2:8" s="1504" customFormat="1" hidden="1" x14ac:dyDescent="0.25">
      <c r="B146" s="1540"/>
      <c r="C146" s="1546" t="s">
        <v>1267</v>
      </c>
      <c r="E146" s="1540" t="s">
        <v>310</v>
      </c>
      <c r="F146" s="1589">
        <v>2</v>
      </c>
      <c r="G146" s="1507">
        <f>'UB mep'!J117</f>
        <v>9000</v>
      </c>
      <c r="H146" s="1597">
        <f t="shared" si="0"/>
        <v>18000</v>
      </c>
    </row>
    <row r="147" spans="2:8" s="1504" customFormat="1" hidden="1" x14ac:dyDescent="0.25">
      <c r="B147" s="1540"/>
      <c r="C147" s="1546" t="s">
        <v>1268</v>
      </c>
      <c r="E147" s="1540" t="s">
        <v>1247</v>
      </c>
      <c r="F147" s="1589">
        <v>1</v>
      </c>
      <c r="G147" s="1507">
        <f>'UB mep'!J88</f>
        <v>70000</v>
      </c>
      <c r="H147" s="1597">
        <f t="shared" si="0"/>
        <v>70000</v>
      </c>
    </row>
    <row r="148" spans="2:8" hidden="1" x14ac:dyDescent="0.25">
      <c r="B148" s="1574"/>
      <c r="C148" s="1547"/>
      <c r="D148" s="1558"/>
      <c r="E148" s="1562"/>
      <c r="F148" s="3154" t="s">
        <v>59</v>
      </c>
      <c r="G148" s="3154"/>
      <c r="H148" s="1577">
        <f>SUM(H129:H147)</f>
        <v>9360000</v>
      </c>
    </row>
    <row r="149" spans="2:8" hidden="1" x14ac:dyDescent="0.25">
      <c r="B149" s="1574" t="s">
        <v>5</v>
      </c>
      <c r="C149" s="1547" t="s">
        <v>60</v>
      </c>
      <c r="D149" s="1547"/>
      <c r="E149" s="1574"/>
      <c r="F149" s="1573"/>
      <c r="G149" s="1576"/>
      <c r="H149" s="1577"/>
    </row>
    <row r="150" spans="2:8" hidden="1" x14ac:dyDescent="0.25">
      <c r="B150" s="1562"/>
      <c r="C150" s="1558"/>
      <c r="D150" s="1558"/>
      <c r="E150" s="1562"/>
      <c r="F150" s="3154" t="s">
        <v>61</v>
      </c>
      <c r="G150" s="3154"/>
      <c r="H150" s="1577">
        <v>0</v>
      </c>
    </row>
    <row r="151" spans="2:8" hidden="1" x14ac:dyDescent="0.25">
      <c r="B151" s="1574"/>
      <c r="C151" s="1547"/>
      <c r="D151" s="1547"/>
      <c r="E151" s="1574"/>
      <c r="F151" s="1573"/>
      <c r="G151" s="1576"/>
      <c r="H151" s="1577"/>
    </row>
    <row r="152" spans="2:8" hidden="1" x14ac:dyDescent="0.25">
      <c r="B152" s="1574" t="s">
        <v>6</v>
      </c>
      <c r="C152" s="3154" t="s">
        <v>62</v>
      </c>
      <c r="D152" s="3154"/>
      <c r="E152" s="3154"/>
      <c r="F152" s="3154"/>
      <c r="G152" s="3154"/>
      <c r="H152" s="1598">
        <f>H127+H148+H150</f>
        <v>11115000</v>
      </c>
    </row>
    <row r="153" spans="2:8" hidden="1" x14ac:dyDescent="0.25">
      <c r="B153" s="1574" t="s">
        <v>7</v>
      </c>
      <c r="C153" s="1547" t="s">
        <v>100</v>
      </c>
      <c r="D153" s="1547"/>
      <c r="E153" s="1579"/>
      <c r="F153" s="1599" t="s">
        <v>100</v>
      </c>
      <c r="G153" s="1600">
        <f>$J$2</f>
        <v>0.15</v>
      </c>
      <c r="H153" s="1598">
        <f>G153*H152</f>
        <v>1667250</v>
      </c>
    </row>
    <row r="154" spans="2:8" hidden="1" x14ac:dyDescent="0.25">
      <c r="B154" s="1574" t="s">
        <v>63</v>
      </c>
      <c r="C154" s="3154" t="s">
        <v>64</v>
      </c>
      <c r="D154" s="3154"/>
      <c r="E154" s="3154"/>
      <c r="F154" s="3154"/>
      <c r="G154" s="3154"/>
      <c r="H154" s="1598">
        <f>H153+H152</f>
        <v>12782250</v>
      </c>
    </row>
    <row r="155" spans="2:8" hidden="1" x14ac:dyDescent="0.25">
      <c r="C155" s="1522" t="s">
        <v>878</v>
      </c>
      <c r="D155" s="1523"/>
      <c r="E155" s="1523"/>
      <c r="F155" s="1523"/>
      <c r="G155" s="1523"/>
      <c r="H155" s="1524">
        <f>ROUNDDOWN(H154,2)</f>
        <v>12782250</v>
      </c>
    </row>
    <row r="156" spans="2:8" hidden="1" x14ac:dyDescent="0.25"/>
    <row r="157" spans="2:8" hidden="1" x14ac:dyDescent="0.25">
      <c r="B157" s="1563" t="s">
        <v>624</v>
      </c>
      <c r="C157" s="1594" t="s">
        <v>800</v>
      </c>
      <c r="D157" s="1581"/>
      <c r="E157" s="1582"/>
      <c r="F157" s="1583"/>
      <c r="G157" s="1584"/>
      <c r="H157" s="1585"/>
    </row>
    <row r="158" spans="2:8" s="1550" customFormat="1" ht="25.5" hidden="1" customHeight="1" x14ac:dyDescent="0.25">
      <c r="B158" s="1590" t="s">
        <v>12</v>
      </c>
      <c r="C158" s="1590" t="s">
        <v>36</v>
      </c>
      <c r="D158" s="1590" t="s">
        <v>37</v>
      </c>
      <c r="E158" s="1590" t="s">
        <v>14</v>
      </c>
      <c r="F158" s="1591" t="s">
        <v>38</v>
      </c>
      <c r="G158" s="1592" t="s">
        <v>39</v>
      </c>
      <c r="H158" s="1593" t="s">
        <v>40</v>
      </c>
    </row>
    <row r="159" spans="2:8" hidden="1" x14ac:dyDescent="0.25">
      <c r="B159" s="1574" t="s">
        <v>41</v>
      </c>
      <c r="C159" s="1547" t="s">
        <v>42</v>
      </c>
      <c r="D159" s="1547"/>
      <c r="E159" s="1574"/>
      <c r="F159" s="1573"/>
      <c r="G159" s="1576"/>
      <c r="H159" s="1577"/>
    </row>
    <row r="160" spans="2:8" hidden="1" x14ac:dyDescent="0.25">
      <c r="B160" s="1574"/>
      <c r="C160" s="1588" t="s">
        <v>43</v>
      </c>
      <c r="D160" s="1595" t="s">
        <v>44</v>
      </c>
      <c r="E160" s="1595" t="s">
        <v>45</v>
      </c>
      <c r="F160" s="1596">
        <v>3</v>
      </c>
      <c r="G160" s="1565">
        <f>UPAH!$F$13</f>
        <v>115000</v>
      </c>
      <c r="H160" s="1597">
        <f>F160*G160</f>
        <v>345000</v>
      </c>
    </row>
    <row r="161" spans="2:8" hidden="1" x14ac:dyDescent="0.25">
      <c r="B161" s="1574"/>
      <c r="C161" s="1588" t="s">
        <v>97</v>
      </c>
      <c r="D161" s="1595" t="s">
        <v>47</v>
      </c>
      <c r="E161" s="1595" t="s">
        <v>45</v>
      </c>
      <c r="F161" s="1596">
        <v>3</v>
      </c>
      <c r="G161" s="1565">
        <f>UPAH!$F$12</f>
        <v>170000</v>
      </c>
      <c r="H161" s="1597">
        <f>F161*G161</f>
        <v>510000</v>
      </c>
    </row>
    <row r="162" spans="2:8" hidden="1" x14ac:dyDescent="0.25">
      <c r="B162" s="1574"/>
      <c r="C162" s="1588" t="s">
        <v>48</v>
      </c>
      <c r="D162" s="1595" t="s">
        <v>49</v>
      </c>
      <c r="E162" s="1595" t="s">
        <v>45</v>
      </c>
      <c r="F162" s="1596">
        <v>1</v>
      </c>
      <c r="G162" s="1565">
        <f>UPAH!$F$11</f>
        <v>185000</v>
      </c>
      <c r="H162" s="1597">
        <f>F162*G162</f>
        <v>185000</v>
      </c>
    </row>
    <row r="163" spans="2:8" hidden="1" x14ac:dyDescent="0.25">
      <c r="B163" s="1574"/>
      <c r="C163" s="1588" t="s">
        <v>50</v>
      </c>
      <c r="D163" s="1595" t="s">
        <v>51</v>
      </c>
      <c r="E163" s="1595" t="s">
        <v>45</v>
      </c>
      <c r="F163" s="1596">
        <v>0.5</v>
      </c>
      <c r="G163" s="1565">
        <f>UPAH!$F$10</f>
        <v>200000</v>
      </c>
      <c r="H163" s="1597">
        <f>F163*G163</f>
        <v>100000</v>
      </c>
    </row>
    <row r="164" spans="2:8" hidden="1" x14ac:dyDescent="0.25">
      <c r="B164" s="1574"/>
      <c r="C164" s="1547"/>
      <c r="D164" s="1558"/>
      <c r="E164" s="1562"/>
      <c r="F164" s="3154" t="s">
        <v>52</v>
      </c>
      <c r="G164" s="3154"/>
      <c r="H164" s="1587">
        <f>SUM(H160:H163)</f>
        <v>1140000</v>
      </c>
    </row>
    <row r="165" spans="2:8" hidden="1" x14ac:dyDescent="0.25">
      <c r="B165" s="1574" t="s">
        <v>53</v>
      </c>
      <c r="C165" s="1547" t="s">
        <v>54</v>
      </c>
      <c r="D165" s="1547"/>
      <c r="E165" s="1574"/>
      <c r="F165" s="1573"/>
      <c r="G165" s="1576"/>
      <c r="H165" s="1577"/>
    </row>
    <row r="166" spans="2:8" hidden="1" x14ac:dyDescent="0.25">
      <c r="B166" s="1574"/>
      <c r="C166" s="1546" t="s">
        <v>1270</v>
      </c>
      <c r="D166" s="1547"/>
      <c r="E166" s="1574" t="s">
        <v>32</v>
      </c>
      <c r="F166" s="1573">
        <v>1</v>
      </c>
      <c r="G166" s="1576">
        <f>'UB mep'!J70</f>
        <v>850000</v>
      </c>
      <c r="H166" s="1597">
        <f>F166*G166</f>
        <v>850000</v>
      </c>
    </row>
    <row r="167" spans="2:8" hidden="1" x14ac:dyDescent="0.25">
      <c r="B167" s="1574"/>
      <c r="C167" s="1546" t="s">
        <v>1251</v>
      </c>
      <c r="D167" s="1547"/>
      <c r="E167" s="1574" t="s">
        <v>9</v>
      </c>
      <c r="F167" s="1573">
        <v>1</v>
      </c>
      <c r="G167" s="1576">
        <f>G131</f>
        <v>650000</v>
      </c>
      <c r="H167" s="1597">
        <f t="shared" ref="H167:H179" si="1">F167*G167</f>
        <v>650000</v>
      </c>
    </row>
    <row r="168" spans="2:8" hidden="1" x14ac:dyDescent="0.25">
      <c r="B168" s="1574"/>
      <c r="C168" s="1546" t="s">
        <v>1271</v>
      </c>
      <c r="D168" s="1547"/>
      <c r="E168" s="1574" t="s">
        <v>9</v>
      </c>
      <c r="F168" s="1573">
        <v>18</v>
      </c>
      <c r="G168" s="1576">
        <f>'UB mep'!J77</f>
        <v>62500</v>
      </c>
      <c r="H168" s="1597">
        <f t="shared" si="1"/>
        <v>1125000</v>
      </c>
    </row>
    <row r="169" spans="2:8" hidden="1" x14ac:dyDescent="0.25">
      <c r="B169" s="1574"/>
      <c r="C169" s="1546" t="s">
        <v>1256</v>
      </c>
      <c r="D169" s="1547"/>
      <c r="E169" s="1574" t="s">
        <v>9</v>
      </c>
      <c r="F169" s="1573">
        <v>1</v>
      </c>
      <c r="G169" s="1576">
        <f t="shared" ref="G169:G179" si="2">G136</f>
        <v>250000</v>
      </c>
      <c r="H169" s="1597">
        <f t="shared" si="1"/>
        <v>250000</v>
      </c>
    </row>
    <row r="170" spans="2:8" hidden="1" x14ac:dyDescent="0.25">
      <c r="B170" s="1574"/>
      <c r="C170" s="1546" t="s">
        <v>1239</v>
      </c>
      <c r="D170" s="1547"/>
      <c r="E170" s="1574" t="s">
        <v>9</v>
      </c>
      <c r="F170" s="1573">
        <v>3</v>
      </c>
      <c r="G170" s="1576">
        <f t="shared" si="2"/>
        <v>89000</v>
      </c>
      <c r="H170" s="1597">
        <f t="shared" si="1"/>
        <v>267000</v>
      </c>
    </row>
    <row r="171" spans="2:8" hidden="1" x14ac:dyDescent="0.25">
      <c r="B171" s="1574"/>
      <c r="C171" s="1546" t="s">
        <v>1257</v>
      </c>
      <c r="D171" s="1547"/>
      <c r="E171" s="1574" t="s">
        <v>30</v>
      </c>
      <c r="F171" s="1573">
        <v>2</v>
      </c>
      <c r="G171" s="1576">
        <f t="shared" si="2"/>
        <v>60000</v>
      </c>
      <c r="H171" s="1597">
        <f t="shared" si="1"/>
        <v>120000</v>
      </c>
    </row>
    <row r="172" spans="2:8" hidden="1" x14ac:dyDescent="0.25">
      <c r="B172" s="1574"/>
      <c r="C172" s="1546" t="s">
        <v>1258</v>
      </c>
      <c r="D172" s="1547"/>
      <c r="E172" s="1574" t="s">
        <v>30</v>
      </c>
      <c r="F172" s="1573">
        <v>1</v>
      </c>
      <c r="G172" s="1576">
        <f t="shared" si="2"/>
        <v>75000</v>
      </c>
      <c r="H172" s="1597">
        <f t="shared" si="1"/>
        <v>75000</v>
      </c>
    </row>
    <row r="173" spans="2:8" hidden="1" x14ac:dyDescent="0.25">
      <c r="B173" s="1574"/>
      <c r="C173" s="1546" t="s">
        <v>1259</v>
      </c>
      <c r="D173" s="1547"/>
      <c r="E173" s="1574" t="s">
        <v>30</v>
      </c>
      <c r="F173" s="1573">
        <v>3</v>
      </c>
      <c r="G173" s="1576">
        <f t="shared" si="2"/>
        <v>20000</v>
      </c>
      <c r="H173" s="1597">
        <f t="shared" si="1"/>
        <v>60000</v>
      </c>
    </row>
    <row r="174" spans="2:8" hidden="1" x14ac:dyDescent="0.25">
      <c r="B174" s="1574"/>
      <c r="C174" s="1546" t="s">
        <v>1260</v>
      </c>
      <c r="D174" s="1547"/>
      <c r="E174" s="1574" t="s">
        <v>9</v>
      </c>
      <c r="F174" s="1573">
        <v>12</v>
      </c>
      <c r="G174" s="1576">
        <f t="shared" si="2"/>
        <v>7500</v>
      </c>
      <c r="H174" s="1597">
        <f t="shared" si="1"/>
        <v>90000</v>
      </c>
    </row>
    <row r="175" spans="2:8" hidden="1" x14ac:dyDescent="0.25">
      <c r="B175" s="1574"/>
      <c r="C175" s="1546" t="s">
        <v>1261</v>
      </c>
      <c r="D175" s="1547"/>
      <c r="E175" s="1574" t="s">
        <v>9</v>
      </c>
      <c r="F175" s="1573">
        <v>3</v>
      </c>
      <c r="G175" s="1576">
        <f t="shared" si="2"/>
        <v>35000</v>
      </c>
      <c r="H175" s="1597">
        <f t="shared" si="1"/>
        <v>105000</v>
      </c>
    </row>
    <row r="176" spans="2:8" s="1504" customFormat="1" hidden="1" x14ac:dyDescent="0.25">
      <c r="B176" s="1540"/>
      <c r="C176" s="1504" t="s">
        <v>1262</v>
      </c>
      <c r="E176" s="1540" t="s">
        <v>9</v>
      </c>
      <c r="F176" s="1589">
        <v>1</v>
      </c>
      <c r="G176" s="1576">
        <f t="shared" si="2"/>
        <v>800000</v>
      </c>
      <c r="H176" s="1597">
        <f t="shared" si="1"/>
        <v>800000</v>
      </c>
    </row>
    <row r="177" spans="2:12" s="1504" customFormat="1" hidden="1" x14ac:dyDescent="0.25">
      <c r="B177" s="1540"/>
      <c r="C177" s="1504" t="s">
        <v>1263</v>
      </c>
      <c r="E177" s="1540" t="s">
        <v>9</v>
      </c>
      <c r="F177" s="1589">
        <v>1</v>
      </c>
      <c r="G177" s="1576">
        <f t="shared" si="2"/>
        <v>125000</v>
      </c>
      <c r="H177" s="1597">
        <f t="shared" si="1"/>
        <v>125000</v>
      </c>
    </row>
    <row r="178" spans="2:12" s="1504" customFormat="1" hidden="1" x14ac:dyDescent="0.25">
      <c r="B178" s="1540"/>
      <c r="C178" s="1546" t="s">
        <v>1269</v>
      </c>
      <c r="E178" s="1540" t="s">
        <v>1240</v>
      </c>
      <c r="F178" s="1589">
        <v>1</v>
      </c>
      <c r="G178" s="1576">
        <f t="shared" si="2"/>
        <v>220000</v>
      </c>
      <c r="H178" s="1597">
        <f t="shared" si="1"/>
        <v>220000</v>
      </c>
    </row>
    <row r="179" spans="2:12" s="1504" customFormat="1" hidden="1" x14ac:dyDescent="0.25">
      <c r="B179" s="1540"/>
      <c r="C179" s="1546" t="s">
        <v>1267</v>
      </c>
      <c r="E179" s="1540" t="s">
        <v>310</v>
      </c>
      <c r="F179" s="1589">
        <v>1</v>
      </c>
      <c r="G179" s="1576">
        <f t="shared" si="2"/>
        <v>9000</v>
      </c>
      <c r="H179" s="1597">
        <f t="shared" si="1"/>
        <v>9000</v>
      </c>
    </row>
    <row r="180" spans="2:12" hidden="1" x14ac:dyDescent="0.25">
      <c r="B180" s="1574"/>
      <c r="C180" s="1547"/>
      <c r="D180" s="1558"/>
      <c r="E180" s="1562"/>
      <c r="F180" s="3154" t="s">
        <v>59</v>
      </c>
      <c r="G180" s="3154"/>
      <c r="H180" s="1577">
        <f>SUM(H166:H179)</f>
        <v>4746000</v>
      </c>
    </row>
    <row r="181" spans="2:12" hidden="1" x14ac:dyDescent="0.25">
      <c r="B181" s="1574" t="s">
        <v>5</v>
      </c>
      <c r="C181" s="1547" t="s">
        <v>60</v>
      </c>
      <c r="D181" s="1547"/>
      <c r="E181" s="1574"/>
      <c r="F181" s="1573"/>
      <c r="G181" s="1576"/>
      <c r="H181" s="1577"/>
      <c r="J181" s="1551"/>
      <c r="K181" s="1504"/>
      <c r="L181" s="1504"/>
    </row>
    <row r="182" spans="2:12" hidden="1" x14ac:dyDescent="0.25">
      <c r="B182" s="1562"/>
      <c r="C182" s="1558"/>
      <c r="D182" s="1558"/>
      <c r="E182" s="1562"/>
      <c r="F182" s="3154" t="s">
        <v>61</v>
      </c>
      <c r="G182" s="3154"/>
      <c r="H182" s="1577">
        <v>0</v>
      </c>
      <c r="J182" s="1551"/>
      <c r="K182" s="1504"/>
      <c r="L182" s="1504"/>
    </row>
    <row r="183" spans="2:12" hidden="1" x14ac:dyDescent="0.25">
      <c r="B183" s="1574"/>
      <c r="C183" s="1547"/>
      <c r="D183" s="1547"/>
      <c r="E183" s="1574"/>
      <c r="F183" s="1573"/>
      <c r="G183" s="1576"/>
      <c r="H183" s="1577"/>
      <c r="J183" s="1551"/>
      <c r="K183" s="1504"/>
      <c r="L183" s="1504"/>
    </row>
    <row r="184" spans="2:12" hidden="1" x14ac:dyDescent="0.25">
      <c r="B184" s="1574" t="s">
        <v>6</v>
      </c>
      <c r="C184" s="3154" t="s">
        <v>62</v>
      </c>
      <c r="D184" s="3154"/>
      <c r="E184" s="3154"/>
      <c r="F184" s="3154"/>
      <c r="G184" s="3154"/>
      <c r="H184" s="1598">
        <f>H164+H180+H182</f>
        <v>5886000</v>
      </c>
      <c r="J184" s="1551"/>
      <c r="K184" s="1504"/>
      <c r="L184" s="1504"/>
    </row>
    <row r="185" spans="2:12" hidden="1" x14ac:dyDescent="0.25">
      <c r="B185" s="1574" t="s">
        <v>7</v>
      </c>
      <c r="C185" s="1547" t="s">
        <v>100</v>
      </c>
      <c r="D185" s="1547"/>
      <c r="E185" s="1579"/>
      <c r="F185" s="1599" t="s">
        <v>100</v>
      </c>
      <c r="G185" s="1600">
        <f>$J$2</f>
        <v>0.15</v>
      </c>
      <c r="H185" s="1598">
        <f>G185*H184</f>
        <v>882900</v>
      </c>
      <c r="J185" s="1551"/>
      <c r="K185" s="1504"/>
      <c r="L185" s="1504"/>
    </row>
    <row r="186" spans="2:12" hidden="1" x14ac:dyDescent="0.25">
      <c r="B186" s="1574" t="s">
        <v>63</v>
      </c>
      <c r="C186" s="3154" t="s">
        <v>64</v>
      </c>
      <c r="D186" s="3154"/>
      <c r="E186" s="3154"/>
      <c r="F186" s="3154"/>
      <c r="G186" s="3154"/>
      <c r="H186" s="1598">
        <f>H185+H184</f>
        <v>6768900</v>
      </c>
      <c r="J186" s="1551"/>
      <c r="K186" s="1504"/>
      <c r="L186" s="1504"/>
    </row>
    <row r="187" spans="2:12" hidden="1" x14ac:dyDescent="0.25">
      <c r="C187" s="1522" t="s">
        <v>878</v>
      </c>
      <c r="D187" s="1523"/>
      <c r="E187" s="1523"/>
      <c r="F187" s="1523"/>
      <c r="G187" s="1523"/>
      <c r="H187" s="1524">
        <f>ROUNDDOWN(H186,2)</f>
        <v>6768900</v>
      </c>
      <c r="J187" s="1551"/>
      <c r="K187" s="1504"/>
      <c r="L187" s="1504"/>
    </row>
    <row r="188" spans="2:12" hidden="1" x14ac:dyDescent="0.25">
      <c r="J188" s="1551"/>
      <c r="K188" s="1504"/>
      <c r="L188" s="1504"/>
    </row>
    <row r="189" spans="2:12" hidden="1" x14ac:dyDescent="0.25">
      <c r="B189" s="1563" t="s">
        <v>625</v>
      </c>
      <c r="C189" s="1594" t="s">
        <v>1274</v>
      </c>
      <c r="D189" s="1581"/>
      <c r="E189" s="1582"/>
      <c r="F189" s="1583"/>
      <c r="G189" s="1584"/>
      <c r="H189" s="1585"/>
    </row>
    <row r="190" spans="2:12" s="1550" customFormat="1" ht="25.5" hidden="1" customHeight="1" x14ac:dyDescent="0.25">
      <c r="B190" s="1590" t="s">
        <v>12</v>
      </c>
      <c r="C190" s="1590" t="s">
        <v>36</v>
      </c>
      <c r="D190" s="1590" t="s">
        <v>37</v>
      </c>
      <c r="E190" s="1590" t="s">
        <v>14</v>
      </c>
      <c r="F190" s="1591" t="s">
        <v>38</v>
      </c>
      <c r="G190" s="1592" t="s">
        <v>39</v>
      </c>
      <c r="H190" s="1593" t="s">
        <v>40</v>
      </c>
    </row>
    <row r="191" spans="2:12" hidden="1" x14ac:dyDescent="0.25">
      <c r="B191" s="1574" t="s">
        <v>41</v>
      </c>
      <c r="C191" s="1547" t="s">
        <v>42</v>
      </c>
      <c r="D191" s="1547"/>
      <c r="E191" s="1574"/>
      <c r="F191" s="1573"/>
      <c r="G191" s="1576"/>
      <c r="H191" s="1577"/>
    </row>
    <row r="192" spans="2:12" hidden="1" x14ac:dyDescent="0.25">
      <c r="B192" s="1574"/>
      <c r="C192" s="1588" t="s">
        <v>43</v>
      </c>
      <c r="D192" s="1595" t="s">
        <v>44</v>
      </c>
      <c r="E192" s="1595" t="s">
        <v>45</v>
      </c>
      <c r="F192" s="1596">
        <v>3</v>
      </c>
      <c r="G192" s="1565">
        <f>UPAH!$F$13</f>
        <v>115000</v>
      </c>
      <c r="H192" s="1597">
        <f>F192*G192</f>
        <v>345000</v>
      </c>
    </row>
    <row r="193" spans="2:14" hidden="1" x14ac:dyDescent="0.25">
      <c r="B193" s="1574"/>
      <c r="C193" s="1588" t="s">
        <v>97</v>
      </c>
      <c r="D193" s="1595" t="s">
        <v>47</v>
      </c>
      <c r="E193" s="1595" t="s">
        <v>45</v>
      </c>
      <c r="F193" s="1596">
        <v>3</v>
      </c>
      <c r="G193" s="1565">
        <f>UPAH!$F$12</f>
        <v>170000</v>
      </c>
      <c r="H193" s="1597">
        <f>F193*G193</f>
        <v>510000</v>
      </c>
    </row>
    <row r="194" spans="2:14" hidden="1" x14ac:dyDescent="0.25">
      <c r="B194" s="1574"/>
      <c r="C194" s="1588" t="s">
        <v>48</v>
      </c>
      <c r="D194" s="1595" t="s">
        <v>49</v>
      </c>
      <c r="E194" s="1595" t="s">
        <v>45</v>
      </c>
      <c r="F194" s="1596">
        <v>1</v>
      </c>
      <c r="G194" s="1565">
        <f>UPAH!$F$11</f>
        <v>185000</v>
      </c>
      <c r="H194" s="1597">
        <f>F194*G194</f>
        <v>185000</v>
      </c>
    </row>
    <row r="195" spans="2:14" hidden="1" x14ac:dyDescent="0.25">
      <c r="B195" s="1574"/>
      <c r="C195" s="1588" t="s">
        <v>50</v>
      </c>
      <c r="D195" s="1595" t="s">
        <v>51</v>
      </c>
      <c r="E195" s="1595" t="s">
        <v>45</v>
      </c>
      <c r="F195" s="1596">
        <v>0.5</v>
      </c>
      <c r="G195" s="1565">
        <f>UPAH!$F$10</f>
        <v>200000</v>
      </c>
      <c r="H195" s="1597">
        <f>F195*G195</f>
        <v>100000</v>
      </c>
    </row>
    <row r="196" spans="2:14" hidden="1" x14ac:dyDescent="0.25">
      <c r="B196" s="1574"/>
      <c r="C196" s="1547"/>
      <c r="D196" s="1558"/>
      <c r="E196" s="1562"/>
      <c r="F196" s="3154" t="s">
        <v>52</v>
      </c>
      <c r="G196" s="3154"/>
      <c r="H196" s="1587">
        <f>SUM(H192:H195)</f>
        <v>1140000</v>
      </c>
    </row>
    <row r="197" spans="2:14" hidden="1" x14ac:dyDescent="0.25">
      <c r="B197" s="1574" t="s">
        <v>53</v>
      </c>
      <c r="C197" s="1547" t="s">
        <v>54</v>
      </c>
      <c r="D197" s="1547"/>
      <c r="E197" s="1574"/>
      <c r="F197" s="1573"/>
      <c r="G197" s="1576"/>
      <c r="H197" s="1577"/>
    </row>
    <row r="198" spans="2:14" hidden="1" x14ac:dyDescent="0.25">
      <c r="B198" s="1574"/>
      <c r="C198" s="1546" t="s">
        <v>1281</v>
      </c>
      <c r="D198" s="1547"/>
      <c r="E198" s="1574" t="s">
        <v>32</v>
      </c>
      <c r="F198" s="1573">
        <v>1</v>
      </c>
      <c r="G198" s="1576">
        <f>'UB mep'!J71</f>
        <v>750000</v>
      </c>
      <c r="H198" s="1597">
        <f>F198*G198</f>
        <v>750000</v>
      </c>
      <c r="I198" s="1504"/>
      <c r="J198" s="1551" t="s">
        <v>1275</v>
      </c>
      <c r="K198" s="1504">
        <v>1</v>
      </c>
      <c r="L198" s="1504" t="s">
        <v>32</v>
      </c>
      <c r="M198" s="1546" t="s">
        <v>1248</v>
      </c>
      <c r="N198" s="1546">
        <v>750000</v>
      </c>
    </row>
    <row r="199" spans="2:14" hidden="1" x14ac:dyDescent="0.25">
      <c r="B199" s="1574"/>
      <c r="C199" s="1546" t="s">
        <v>1282</v>
      </c>
      <c r="D199" s="1547"/>
      <c r="E199" s="1574" t="s">
        <v>9</v>
      </c>
      <c r="F199" s="1573">
        <v>2</v>
      </c>
      <c r="G199" s="1576">
        <f>G132</f>
        <v>650000</v>
      </c>
      <c r="H199" s="1597">
        <f t="shared" ref="H199:H209" si="3">F199*G199</f>
        <v>1300000</v>
      </c>
      <c r="I199" s="1504"/>
      <c r="J199" s="1551" t="s">
        <v>1276</v>
      </c>
      <c r="K199" s="1504">
        <v>2</v>
      </c>
      <c r="L199" s="1504" t="s">
        <v>9</v>
      </c>
      <c r="M199" s="1546" t="s">
        <v>1248</v>
      </c>
      <c r="N199" s="1546">
        <v>500000</v>
      </c>
    </row>
    <row r="200" spans="2:14" hidden="1" x14ac:dyDescent="0.25">
      <c r="B200" s="1574"/>
      <c r="C200" s="1546" t="s">
        <v>1254</v>
      </c>
      <c r="D200" s="1547"/>
      <c r="E200" s="1574" t="s">
        <v>9</v>
      </c>
      <c r="F200" s="1573">
        <v>3</v>
      </c>
      <c r="G200" s="1576">
        <f>G134</f>
        <v>62500</v>
      </c>
      <c r="H200" s="1597">
        <f t="shared" si="3"/>
        <v>187500</v>
      </c>
      <c r="I200" s="1504"/>
      <c r="J200" s="1551" t="s">
        <v>1241</v>
      </c>
      <c r="K200" s="1504">
        <v>3</v>
      </c>
      <c r="L200" s="1504" t="s">
        <v>9</v>
      </c>
      <c r="M200" s="1546" t="s">
        <v>1248</v>
      </c>
      <c r="N200" s="1546">
        <v>62500</v>
      </c>
    </row>
    <row r="201" spans="2:14" hidden="1" x14ac:dyDescent="0.25">
      <c r="B201" s="1574"/>
      <c r="C201" s="1546" t="s">
        <v>1283</v>
      </c>
      <c r="D201" s="1547"/>
      <c r="E201" s="1574" t="s">
        <v>9</v>
      </c>
      <c r="F201" s="1573">
        <v>2</v>
      </c>
      <c r="G201" s="1576">
        <f>'UB mep'!J89</f>
        <v>905000</v>
      </c>
      <c r="H201" s="1597">
        <f t="shared" si="3"/>
        <v>1810000</v>
      </c>
      <c r="I201" s="1504"/>
      <c r="J201" s="1551" t="s">
        <v>1277</v>
      </c>
      <c r="K201" s="1504">
        <v>2</v>
      </c>
      <c r="L201" s="1504" t="s">
        <v>9</v>
      </c>
      <c r="M201" s="1546" t="s">
        <v>1248</v>
      </c>
      <c r="N201" s="1546">
        <v>905000</v>
      </c>
    </row>
    <row r="202" spans="2:14" hidden="1" x14ac:dyDescent="0.25">
      <c r="B202" s="1574"/>
      <c r="C202" s="1546" t="s">
        <v>1284</v>
      </c>
      <c r="D202" s="1547"/>
      <c r="E202" s="1574" t="s">
        <v>9</v>
      </c>
      <c r="F202" s="1573">
        <v>2</v>
      </c>
      <c r="G202" s="1576">
        <f>'UB mep'!J90</f>
        <v>450000</v>
      </c>
      <c r="H202" s="1597">
        <f t="shared" si="3"/>
        <v>900000</v>
      </c>
      <c r="I202" s="1504"/>
      <c r="J202" s="1551" t="s">
        <v>1278</v>
      </c>
      <c r="K202" s="1504">
        <v>2</v>
      </c>
      <c r="L202" s="1504" t="s">
        <v>9</v>
      </c>
      <c r="M202" s="1546" t="s">
        <v>1248</v>
      </c>
      <c r="N202" s="1546">
        <v>450000</v>
      </c>
    </row>
    <row r="203" spans="2:14" hidden="1" x14ac:dyDescent="0.25">
      <c r="B203" s="1574"/>
      <c r="C203" s="1546" t="s">
        <v>1258</v>
      </c>
      <c r="D203" s="1547"/>
      <c r="E203" s="1574" t="s">
        <v>30</v>
      </c>
      <c r="F203" s="1573">
        <v>1</v>
      </c>
      <c r="G203" s="1576">
        <f>G172</f>
        <v>75000</v>
      </c>
      <c r="H203" s="1597">
        <f t="shared" si="3"/>
        <v>75000</v>
      </c>
      <c r="I203" s="1504"/>
      <c r="J203" s="1551" t="s">
        <v>1243</v>
      </c>
      <c r="K203" s="1504">
        <v>1</v>
      </c>
      <c r="L203" s="1504" t="s">
        <v>30</v>
      </c>
      <c r="M203" s="1546" t="s">
        <v>1248</v>
      </c>
      <c r="N203" s="1546">
        <v>75000</v>
      </c>
    </row>
    <row r="204" spans="2:14" hidden="1" x14ac:dyDescent="0.25">
      <c r="B204" s="1574"/>
      <c r="C204" s="1546" t="s">
        <v>1285</v>
      </c>
      <c r="D204" s="1547"/>
      <c r="E204" s="1574" t="s">
        <v>9</v>
      </c>
      <c r="F204" s="1573">
        <v>2</v>
      </c>
      <c r="G204" s="1576">
        <f>'UB mep'!J91</f>
        <v>900000</v>
      </c>
      <c r="H204" s="1597">
        <f t="shared" si="3"/>
        <v>1800000</v>
      </c>
      <c r="I204" s="1504"/>
      <c r="J204" s="1551" t="s">
        <v>1279</v>
      </c>
      <c r="K204" s="1504">
        <v>2</v>
      </c>
      <c r="L204" s="1504" t="s">
        <v>9</v>
      </c>
      <c r="M204" s="1546" t="s">
        <v>1248</v>
      </c>
      <c r="N204" s="1546">
        <v>900000</v>
      </c>
    </row>
    <row r="205" spans="2:14" hidden="1" x14ac:dyDescent="0.25">
      <c r="B205" s="1574"/>
      <c r="C205" s="1546" t="s">
        <v>1257</v>
      </c>
      <c r="D205" s="1547"/>
      <c r="E205" s="1574" t="s">
        <v>30</v>
      </c>
      <c r="F205" s="1573">
        <v>3</v>
      </c>
      <c r="G205" s="1576">
        <f>G171</f>
        <v>60000</v>
      </c>
      <c r="H205" s="1597">
        <f t="shared" si="3"/>
        <v>180000</v>
      </c>
      <c r="I205" s="1504"/>
      <c r="J205" s="1551" t="s">
        <v>1242</v>
      </c>
      <c r="K205" s="1504">
        <v>3</v>
      </c>
      <c r="L205" s="1504" t="s">
        <v>30</v>
      </c>
      <c r="M205" s="1546" t="s">
        <v>1248</v>
      </c>
      <c r="N205" s="1546">
        <v>60000</v>
      </c>
    </row>
    <row r="206" spans="2:14" hidden="1" x14ac:dyDescent="0.25">
      <c r="B206" s="1574"/>
      <c r="C206" s="1546" t="s">
        <v>1261</v>
      </c>
      <c r="D206" s="1547"/>
      <c r="E206" s="1574" t="s">
        <v>9</v>
      </c>
      <c r="F206" s="1573">
        <v>2</v>
      </c>
      <c r="G206" s="1576">
        <f>G175</f>
        <v>35000</v>
      </c>
      <c r="H206" s="1597">
        <f t="shared" si="3"/>
        <v>70000</v>
      </c>
      <c r="I206" s="1504"/>
      <c r="J206" s="1551" t="s">
        <v>1245</v>
      </c>
      <c r="K206" s="1504">
        <v>2</v>
      </c>
      <c r="L206" s="1504" t="s">
        <v>9</v>
      </c>
      <c r="M206" s="1546" t="s">
        <v>1248</v>
      </c>
      <c r="N206" s="1546">
        <v>35000</v>
      </c>
    </row>
    <row r="207" spans="2:14" hidden="1" x14ac:dyDescent="0.25">
      <c r="B207" s="1574"/>
      <c r="C207" s="1546" t="s">
        <v>1269</v>
      </c>
      <c r="D207" s="1547"/>
      <c r="E207" s="1574" t="s">
        <v>1240</v>
      </c>
      <c r="F207" s="1573">
        <v>0.4</v>
      </c>
      <c r="G207" s="1576">
        <f>G178</f>
        <v>220000</v>
      </c>
      <c r="H207" s="1597">
        <f t="shared" si="3"/>
        <v>88000</v>
      </c>
      <c r="I207" s="1504"/>
      <c r="J207" s="1551" t="s">
        <v>1246</v>
      </c>
      <c r="K207" s="1504">
        <v>0.4</v>
      </c>
      <c r="L207" s="1504" t="s">
        <v>1240</v>
      </c>
      <c r="M207" s="1546" t="s">
        <v>1248</v>
      </c>
      <c r="N207" s="1546">
        <v>70000</v>
      </c>
    </row>
    <row r="208" spans="2:14" s="1504" customFormat="1" hidden="1" x14ac:dyDescent="0.25">
      <c r="B208" s="1540"/>
      <c r="C208" s="1504" t="s">
        <v>1286</v>
      </c>
      <c r="E208" s="1540" t="s">
        <v>27</v>
      </c>
      <c r="F208" s="1589">
        <v>2</v>
      </c>
      <c r="G208" s="1576">
        <f>G179</f>
        <v>9000</v>
      </c>
      <c r="H208" s="1597">
        <f t="shared" si="3"/>
        <v>18000</v>
      </c>
      <c r="J208" s="1551" t="s">
        <v>1280</v>
      </c>
      <c r="K208" s="1504">
        <v>2</v>
      </c>
      <c r="L208" s="1504" t="s">
        <v>27</v>
      </c>
      <c r="M208" s="1504" t="s">
        <v>1248</v>
      </c>
      <c r="N208" s="1504">
        <v>10500</v>
      </c>
    </row>
    <row r="209" spans="2:14" s="1504" customFormat="1" hidden="1" x14ac:dyDescent="0.25">
      <c r="B209" s="1540"/>
      <c r="C209" s="1504" t="s">
        <v>1260</v>
      </c>
      <c r="E209" s="1540" t="s">
        <v>161</v>
      </c>
      <c r="F209" s="1589">
        <v>12</v>
      </c>
      <c r="G209" s="1576">
        <f>'UB mep'!J84</f>
        <v>7500</v>
      </c>
      <c r="H209" s="1597">
        <f t="shared" si="3"/>
        <v>90000</v>
      </c>
      <c r="J209" s="1551" t="s">
        <v>1244</v>
      </c>
      <c r="K209" s="1504">
        <v>12</v>
      </c>
      <c r="L209" s="1504" t="s">
        <v>1</v>
      </c>
      <c r="M209" s="1504" t="s">
        <v>1248</v>
      </c>
      <c r="N209" s="1504">
        <v>5500</v>
      </c>
    </row>
    <row r="210" spans="2:14" hidden="1" x14ac:dyDescent="0.25">
      <c r="B210" s="1574"/>
      <c r="C210" s="1547"/>
      <c r="D210" s="1558"/>
      <c r="E210" s="1562"/>
      <c r="F210" s="3154" t="s">
        <v>59</v>
      </c>
      <c r="G210" s="3154"/>
      <c r="H210" s="1577">
        <f>SUM(H198:H209)</f>
        <v>7268500</v>
      </c>
      <c r="I210" s="1504"/>
      <c r="J210" s="1504"/>
      <c r="K210" s="1504"/>
      <c r="L210" s="1504"/>
    </row>
    <row r="211" spans="2:14" hidden="1" x14ac:dyDescent="0.25">
      <c r="B211" s="1574" t="s">
        <v>5</v>
      </c>
      <c r="C211" s="1547" t="s">
        <v>60</v>
      </c>
      <c r="D211" s="1547"/>
      <c r="E211" s="1574"/>
      <c r="F211" s="1573"/>
      <c r="G211" s="1576"/>
      <c r="H211" s="1577"/>
      <c r="I211" s="1504"/>
      <c r="J211" s="1551"/>
      <c r="K211" s="1504"/>
      <c r="L211" s="1504"/>
    </row>
    <row r="212" spans="2:14" hidden="1" x14ac:dyDescent="0.25">
      <c r="B212" s="1562"/>
      <c r="C212" s="1558"/>
      <c r="D212" s="1558"/>
      <c r="E212" s="1562"/>
      <c r="F212" s="3154" t="s">
        <v>61</v>
      </c>
      <c r="G212" s="3154"/>
      <c r="H212" s="1577">
        <v>0</v>
      </c>
      <c r="J212" s="1551"/>
      <c r="K212" s="1504"/>
      <c r="L212" s="1504"/>
    </row>
    <row r="213" spans="2:14" hidden="1" x14ac:dyDescent="0.25">
      <c r="B213" s="1574"/>
      <c r="C213" s="1547"/>
      <c r="D213" s="1547"/>
      <c r="E213" s="1574"/>
      <c r="F213" s="1573"/>
      <c r="G213" s="1576"/>
      <c r="H213" s="1577"/>
      <c r="J213" s="1551"/>
      <c r="K213" s="1504"/>
      <c r="L213" s="1504"/>
    </row>
    <row r="214" spans="2:14" hidden="1" x14ac:dyDescent="0.25">
      <c r="B214" s="1574" t="s">
        <v>6</v>
      </c>
      <c r="C214" s="3154" t="s">
        <v>62</v>
      </c>
      <c r="D214" s="3154"/>
      <c r="E214" s="3154"/>
      <c r="F214" s="3154"/>
      <c r="G214" s="3154"/>
      <c r="H214" s="1598">
        <f>H196+H210+H212</f>
        <v>8408500</v>
      </c>
      <c r="J214" s="1551"/>
      <c r="K214" s="1504"/>
      <c r="L214" s="1504"/>
    </row>
    <row r="215" spans="2:14" hidden="1" x14ac:dyDescent="0.25">
      <c r="B215" s="1574" t="s">
        <v>7</v>
      </c>
      <c r="C215" s="1547" t="s">
        <v>100</v>
      </c>
      <c r="D215" s="1547"/>
      <c r="E215" s="1579"/>
      <c r="F215" s="1599" t="s">
        <v>100</v>
      </c>
      <c r="G215" s="1600">
        <f>$J$2</f>
        <v>0.15</v>
      </c>
      <c r="H215" s="1598">
        <f>G215*H214</f>
        <v>1261275</v>
      </c>
      <c r="J215" s="1551"/>
      <c r="K215" s="1504"/>
      <c r="L215" s="1504"/>
    </row>
    <row r="216" spans="2:14" hidden="1" x14ac:dyDescent="0.25">
      <c r="B216" s="1574" t="s">
        <v>63</v>
      </c>
      <c r="C216" s="3154" t="s">
        <v>64</v>
      </c>
      <c r="D216" s="3154"/>
      <c r="E216" s="3154"/>
      <c r="F216" s="3154"/>
      <c r="G216" s="3154"/>
      <c r="H216" s="1598">
        <f>H215+H214</f>
        <v>9669775</v>
      </c>
      <c r="J216" s="1551"/>
      <c r="K216" s="1504"/>
      <c r="L216" s="1504"/>
    </row>
    <row r="217" spans="2:14" hidden="1" x14ac:dyDescent="0.25">
      <c r="C217" s="1522" t="s">
        <v>878</v>
      </c>
      <c r="D217" s="1523"/>
      <c r="E217" s="1523"/>
      <c r="F217" s="1523"/>
      <c r="G217" s="1523"/>
      <c r="H217" s="1524">
        <f>ROUNDDOWN(H216,2)</f>
        <v>9669775</v>
      </c>
      <c r="J217" s="1551"/>
      <c r="K217" s="1504"/>
      <c r="L217" s="1504"/>
    </row>
    <row r="218" spans="2:14" hidden="1" x14ac:dyDescent="0.25">
      <c r="J218" s="1551"/>
      <c r="K218" s="1504"/>
      <c r="L218" s="1504"/>
    </row>
    <row r="219" spans="2:14" hidden="1" x14ac:dyDescent="0.25">
      <c r="B219" s="1563" t="s">
        <v>626</v>
      </c>
      <c r="C219" s="1594" t="s">
        <v>829</v>
      </c>
      <c r="D219" s="1581"/>
      <c r="E219" s="1582"/>
      <c r="F219" s="1583"/>
      <c r="G219" s="1584"/>
      <c r="H219" s="1585"/>
    </row>
    <row r="220" spans="2:14" s="1550" customFormat="1" ht="25.5" hidden="1" customHeight="1" x14ac:dyDescent="0.25">
      <c r="B220" s="1590" t="s">
        <v>12</v>
      </c>
      <c r="C220" s="1590" t="s">
        <v>36</v>
      </c>
      <c r="D220" s="1590" t="s">
        <v>37</v>
      </c>
      <c r="E220" s="1590" t="s">
        <v>14</v>
      </c>
      <c r="F220" s="1591" t="s">
        <v>38</v>
      </c>
      <c r="G220" s="1592" t="s">
        <v>39</v>
      </c>
      <c r="H220" s="1593" t="s">
        <v>40</v>
      </c>
    </row>
    <row r="221" spans="2:14" hidden="1" x14ac:dyDescent="0.25">
      <c r="B221" s="1574" t="s">
        <v>41</v>
      </c>
      <c r="C221" s="1547" t="s">
        <v>42</v>
      </c>
      <c r="D221" s="1547"/>
      <c r="E221" s="1574"/>
      <c r="F221" s="1573"/>
      <c r="G221" s="1576"/>
      <c r="H221" s="1577"/>
    </row>
    <row r="222" spans="2:14" hidden="1" x14ac:dyDescent="0.25">
      <c r="B222" s="1574"/>
      <c r="C222" s="1588" t="s">
        <v>43</v>
      </c>
      <c r="D222" s="1595" t="s">
        <v>44</v>
      </c>
      <c r="E222" s="1595" t="s">
        <v>45</v>
      </c>
      <c r="F222" s="1596">
        <v>3</v>
      </c>
      <c r="G222" s="1565">
        <f>UPAH!$F$13</f>
        <v>115000</v>
      </c>
      <c r="H222" s="1597">
        <f>F222*G222</f>
        <v>345000</v>
      </c>
    </row>
    <row r="223" spans="2:14" hidden="1" x14ac:dyDescent="0.25">
      <c r="B223" s="1574"/>
      <c r="C223" s="1588" t="s">
        <v>97</v>
      </c>
      <c r="D223" s="1595" t="s">
        <v>47</v>
      </c>
      <c r="E223" s="1595" t="s">
        <v>45</v>
      </c>
      <c r="F223" s="1596">
        <v>3</v>
      </c>
      <c r="G223" s="1565">
        <f>UPAH!$F$12</f>
        <v>170000</v>
      </c>
      <c r="H223" s="1597">
        <f>F223*G223</f>
        <v>510000</v>
      </c>
    </row>
    <row r="224" spans="2:14" hidden="1" x14ac:dyDescent="0.25">
      <c r="B224" s="1574"/>
      <c r="C224" s="1588" t="s">
        <v>48</v>
      </c>
      <c r="D224" s="1595" t="s">
        <v>49</v>
      </c>
      <c r="E224" s="1595" t="s">
        <v>45</v>
      </c>
      <c r="F224" s="1596">
        <v>1</v>
      </c>
      <c r="G224" s="1565">
        <f>UPAH!$F$11</f>
        <v>185000</v>
      </c>
      <c r="H224" s="1597">
        <f>F224*G224</f>
        <v>185000</v>
      </c>
    </row>
    <row r="225" spans="2:8" hidden="1" x14ac:dyDescent="0.25">
      <c r="B225" s="1574"/>
      <c r="C225" s="1588" t="s">
        <v>50</v>
      </c>
      <c r="D225" s="1595" t="s">
        <v>51</v>
      </c>
      <c r="E225" s="1595" t="s">
        <v>45</v>
      </c>
      <c r="F225" s="1596">
        <v>0.5</v>
      </c>
      <c r="G225" s="1565">
        <f>UPAH!$F$10</f>
        <v>200000</v>
      </c>
      <c r="H225" s="1597">
        <f>F225*G225</f>
        <v>100000</v>
      </c>
    </row>
    <row r="226" spans="2:8" hidden="1" x14ac:dyDescent="0.25">
      <c r="B226" s="1574"/>
      <c r="C226" s="1547"/>
      <c r="D226" s="1558"/>
      <c r="E226" s="1562"/>
      <c r="F226" s="3154" t="s">
        <v>52</v>
      </c>
      <c r="G226" s="3154"/>
      <c r="H226" s="1587">
        <f>SUM(H222:H225)</f>
        <v>1140000</v>
      </c>
    </row>
    <row r="227" spans="2:8" hidden="1" x14ac:dyDescent="0.25">
      <c r="B227" s="1574" t="s">
        <v>53</v>
      </c>
      <c r="C227" s="1547" t="s">
        <v>54</v>
      </c>
      <c r="D227" s="1547"/>
      <c r="E227" s="1574"/>
      <c r="F227" s="1573"/>
      <c r="G227" s="1576"/>
      <c r="H227" s="1577"/>
    </row>
    <row r="228" spans="2:8" hidden="1" x14ac:dyDescent="0.25">
      <c r="B228" s="1574"/>
      <c r="C228" s="1546" t="s">
        <v>1270</v>
      </c>
      <c r="D228" s="1547"/>
      <c r="E228" s="1574" t="s">
        <v>32</v>
      </c>
      <c r="F228" s="1573">
        <v>1</v>
      </c>
      <c r="G228" s="1576">
        <f>G166</f>
        <v>850000</v>
      </c>
      <c r="H228" s="1597">
        <f>F228*G228</f>
        <v>850000</v>
      </c>
    </row>
    <row r="229" spans="2:8" hidden="1" x14ac:dyDescent="0.25">
      <c r="B229" s="1574"/>
      <c r="C229" s="1546" t="s">
        <v>1251</v>
      </c>
      <c r="D229" s="1547"/>
      <c r="E229" s="1574" t="s">
        <v>9</v>
      </c>
      <c r="F229" s="1573">
        <v>1</v>
      </c>
      <c r="G229" s="1576">
        <f t="shared" ref="G229:G241" si="4">G167</f>
        <v>650000</v>
      </c>
      <c r="H229" s="1597">
        <f t="shared" ref="H229:H241" si="5">F229*G229</f>
        <v>650000</v>
      </c>
    </row>
    <row r="230" spans="2:8" hidden="1" x14ac:dyDescent="0.25">
      <c r="B230" s="1574"/>
      <c r="C230" s="1546" t="s">
        <v>1271</v>
      </c>
      <c r="D230" s="1547"/>
      <c r="E230" s="1574" t="s">
        <v>9</v>
      </c>
      <c r="F230" s="1573">
        <v>18</v>
      </c>
      <c r="G230" s="1576">
        <f t="shared" si="4"/>
        <v>62500</v>
      </c>
      <c r="H230" s="1597">
        <f t="shared" si="5"/>
        <v>1125000</v>
      </c>
    </row>
    <row r="231" spans="2:8" hidden="1" x14ac:dyDescent="0.25">
      <c r="B231" s="1574"/>
      <c r="C231" s="1546" t="s">
        <v>1256</v>
      </c>
      <c r="D231" s="1547"/>
      <c r="E231" s="1574" t="s">
        <v>9</v>
      </c>
      <c r="F231" s="1573">
        <v>1</v>
      </c>
      <c r="G231" s="1576">
        <f t="shared" si="4"/>
        <v>250000</v>
      </c>
      <c r="H231" s="1597">
        <f t="shared" si="5"/>
        <v>250000</v>
      </c>
    </row>
    <row r="232" spans="2:8" hidden="1" x14ac:dyDescent="0.25">
      <c r="B232" s="1574"/>
      <c r="C232" s="1546" t="s">
        <v>1239</v>
      </c>
      <c r="D232" s="1547"/>
      <c r="E232" s="1574" t="s">
        <v>9</v>
      </c>
      <c r="F232" s="1573">
        <v>3</v>
      </c>
      <c r="G232" s="1576">
        <f t="shared" si="4"/>
        <v>89000</v>
      </c>
      <c r="H232" s="1597">
        <f t="shared" si="5"/>
        <v>267000</v>
      </c>
    </row>
    <row r="233" spans="2:8" hidden="1" x14ac:dyDescent="0.25">
      <c r="B233" s="1574"/>
      <c r="C233" s="1546" t="s">
        <v>1257</v>
      </c>
      <c r="D233" s="1547"/>
      <c r="E233" s="1574" t="s">
        <v>30</v>
      </c>
      <c r="F233" s="1573">
        <v>2</v>
      </c>
      <c r="G233" s="1576">
        <f t="shared" si="4"/>
        <v>60000</v>
      </c>
      <c r="H233" s="1597">
        <f t="shared" si="5"/>
        <v>120000</v>
      </c>
    </row>
    <row r="234" spans="2:8" hidden="1" x14ac:dyDescent="0.25">
      <c r="B234" s="1574"/>
      <c r="C234" s="1546" t="s">
        <v>1258</v>
      </c>
      <c r="D234" s="1547"/>
      <c r="E234" s="1574" t="s">
        <v>30</v>
      </c>
      <c r="F234" s="1573">
        <v>1</v>
      </c>
      <c r="G234" s="1576">
        <f t="shared" si="4"/>
        <v>75000</v>
      </c>
      <c r="H234" s="1597">
        <f t="shared" si="5"/>
        <v>75000</v>
      </c>
    </row>
    <row r="235" spans="2:8" hidden="1" x14ac:dyDescent="0.25">
      <c r="B235" s="1574"/>
      <c r="C235" s="1546" t="s">
        <v>1259</v>
      </c>
      <c r="D235" s="1547"/>
      <c r="E235" s="1574" t="s">
        <v>30</v>
      </c>
      <c r="F235" s="1573">
        <v>3</v>
      </c>
      <c r="G235" s="1576">
        <f t="shared" si="4"/>
        <v>20000</v>
      </c>
      <c r="H235" s="1597">
        <f t="shared" si="5"/>
        <v>60000</v>
      </c>
    </row>
    <row r="236" spans="2:8" hidden="1" x14ac:dyDescent="0.25">
      <c r="B236" s="1574"/>
      <c r="C236" s="1546" t="s">
        <v>1260</v>
      </c>
      <c r="D236" s="1547"/>
      <c r="E236" s="1574" t="s">
        <v>9</v>
      </c>
      <c r="F236" s="1573">
        <v>12</v>
      </c>
      <c r="G236" s="1576">
        <f t="shared" si="4"/>
        <v>7500</v>
      </c>
      <c r="H236" s="1597">
        <f t="shared" si="5"/>
        <v>90000</v>
      </c>
    </row>
    <row r="237" spans="2:8" hidden="1" x14ac:dyDescent="0.25">
      <c r="B237" s="1574"/>
      <c r="C237" s="1546" t="s">
        <v>1261</v>
      </c>
      <c r="D237" s="1547"/>
      <c r="E237" s="1574" t="s">
        <v>9</v>
      </c>
      <c r="F237" s="1573">
        <v>3</v>
      </c>
      <c r="G237" s="1576">
        <f t="shared" si="4"/>
        <v>35000</v>
      </c>
      <c r="H237" s="1597">
        <f t="shared" si="5"/>
        <v>105000</v>
      </c>
    </row>
    <row r="238" spans="2:8" s="1504" customFormat="1" hidden="1" x14ac:dyDescent="0.25">
      <c r="B238" s="1540"/>
      <c r="C238" s="1504" t="s">
        <v>1262</v>
      </c>
      <c r="E238" s="1540" t="s">
        <v>9</v>
      </c>
      <c r="F238" s="1589">
        <v>1</v>
      </c>
      <c r="G238" s="1576">
        <f t="shared" si="4"/>
        <v>800000</v>
      </c>
      <c r="H238" s="1597">
        <f t="shared" si="5"/>
        <v>800000</v>
      </c>
    </row>
    <row r="239" spans="2:8" s="1504" customFormat="1" hidden="1" x14ac:dyDescent="0.25">
      <c r="B239" s="1540"/>
      <c r="C239" s="1504" t="s">
        <v>1263</v>
      </c>
      <c r="E239" s="1540" t="s">
        <v>9</v>
      </c>
      <c r="F239" s="1589">
        <v>1</v>
      </c>
      <c r="G239" s="1576">
        <f t="shared" si="4"/>
        <v>125000</v>
      </c>
      <c r="H239" s="1597">
        <f t="shared" si="5"/>
        <v>125000</v>
      </c>
    </row>
    <row r="240" spans="2:8" s="1504" customFormat="1" hidden="1" x14ac:dyDescent="0.25">
      <c r="B240" s="1540"/>
      <c r="C240" s="1546" t="s">
        <v>1269</v>
      </c>
      <c r="E240" s="1540" t="s">
        <v>1240</v>
      </c>
      <c r="F240" s="1589">
        <v>1</v>
      </c>
      <c r="G240" s="1576">
        <f t="shared" si="4"/>
        <v>220000</v>
      </c>
      <c r="H240" s="1597">
        <f t="shared" si="5"/>
        <v>220000</v>
      </c>
    </row>
    <row r="241" spans="2:12" s="1504" customFormat="1" hidden="1" x14ac:dyDescent="0.25">
      <c r="B241" s="1540"/>
      <c r="C241" s="1546" t="s">
        <v>1267</v>
      </c>
      <c r="E241" s="1540" t="s">
        <v>310</v>
      </c>
      <c r="F241" s="1589">
        <v>1</v>
      </c>
      <c r="G241" s="1576">
        <f t="shared" si="4"/>
        <v>9000</v>
      </c>
      <c r="H241" s="1597">
        <f t="shared" si="5"/>
        <v>9000</v>
      </c>
    </row>
    <row r="242" spans="2:12" hidden="1" x14ac:dyDescent="0.25">
      <c r="B242" s="1574"/>
      <c r="C242" s="1547"/>
      <c r="D242" s="1558"/>
      <c r="E242" s="1562"/>
      <c r="F242" s="3154" t="s">
        <v>59</v>
      </c>
      <c r="G242" s="3154"/>
      <c r="H242" s="1577">
        <f>SUM(H228:H241)</f>
        <v>4746000</v>
      </c>
    </row>
    <row r="243" spans="2:12" hidden="1" x14ac:dyDescent="0.25">
      <c r="B243" s="1574" t="s">
        <v>5</v>
      </c>
      <c r="C243" s="1547" t="s">
        <v>60</v>
      </c>
      <c r="D243" s="1547"/>
      <c r="E243" s="1574"/>
      <c r="F243" s="1573"/>
      <c r="G243" s="1576"/>
      <c r="H243" s="1577"/>
      <c r="J243" s="1551"/>
      <c r="K243" s="1504"/>
      <c r="L243" s="1504"/>
    </row>
    <row r="244" spans="2:12" hidden="1" x14ac:dyDescent="0.25">
      <c r="B244" s="1562"/>
      <c r="C244" s="1558"/>
      <c r="D244" s="1558"/>
      <c r="E244" s="1562"/>
      <c r="F244" s="3154" t="s">
        <v>61</v>
      </c>
      <c r="G244" s="3154"/>
      <c r="H244" s="1577">
        <v>0</v>
      </c>
      <c r="J244" s="1551"/>
      <c r="K244" s="1504"/>
      <c r="L244" s="1504"/>
    </row>
    <row r="245" spans="2:12" hidden="1" x14ac:dyDescent="0.25">
      <c r="B245" s="1574"/>
      <c r="C245" s="1547"/>
      <c r="D245" s="1547"/>
      <c r="E245" s="1574"/>
      <c r="F245" s="1573"/>
      <c r="G245" s="1576"/>
      <c r="H245" s="1577"/>
      <c r="J245" s="1551"/>
      <c r="K245" s="1504"/>
      <c r="L245" s="1504"/>
    </row>
    <row r="246" spans="2:12" hidden="1" x14ac:dyDescent="0.25">
      <c r="B246" s="1574" t="s">
        <v>6</v>
      </c>
      <c r="C246" s="3154" t="s">
        <v>62</v>
      </c>
      <c r="D246" s="3154"/>
      <c r="E246" s="3154"/>
      <c r="F246" s="3154"/>
      <c r="G246" s="3154"/>
      <c r="H246" s="1598">
        <f>H226+H242+H244</f>
        <v>5886000</v>
      </c>
      <c r="J246" s="1551"/>
      <c r="K246" s="1504"/>
      <c r="L246" s="1504"/>
    </row>
    <row r="247" spans="2:12" hidden="1" x14ac:dyDescent="0.25">
      <c r="B247" s="1574" t="s">
        <v>7</v>
      </c>
      <c r="C247" s="1547" t="s">
        <v>100</v>
      </c>
      <c r="D247" s="1547"/>
      <c r="E247" s="1579"/>
      <c r="F247" s="1599" t="s">
        <v>100</v>
      </c>
      <c r="G247" s="1600">
        <f>$J$2</f>
        <v>0.15</v>
      </c>
      <c r="H247" s="1598">
        <f>G247*H246</f>
        <v>882900</v>
      </c>
      <c r="J247" s="1551"/>
      <c r="K247" s="1504"/>
      <c r="L247" s="1504"/>
    </row>
    <row r="248" spans="2:12" hidden="1" x14ac:dyDescent="0.25">
      <c r="B248" s="1574" t="s">
        <v>63</v>
      </c>
      <c r="C248" s="3154" t="s">
        <v>64</v>
      </c>
      <c r="D248" s="3154"/>
      <c r="E248" s="3154"/>
      <c r="F248" s="3154"/>
      <c r="G248" s="3154"/>
      <c r="H248" s="1598">
        <f>H247+H246</f>
        <v>6768900</v>
      </c>
      <c r="J248" s="1551"/>
      <c r="K248" s="1504"/>
      <c r="L248" s="1504"/>
    </row>
    <row r="249" spans="2:12" hidden="1" x14ac:dyDescent="0.25">
      <c r="C249" s="1522" t="s">
        <v>878</v>
      </c>
      <c r="D249" s="1523"/>
      <c r="E249" s="1523"/>
      <c r="F249" s="1523"/>
      <c r="G249" s="1523"/>
      <c r="H249" s="1524">
        <f>ROUNDDOWN(H248,2)</f>
        <v>6768900</v>
      </c>
      <c r="J249" s="1551"/>
      <c r="K249" s="1504"/>
      <c r="L249" s="1504"/>
    </row>
    <row r="250" spans="2:12" hidden="1" x14ac:dyDescent="0.25">
      <c r="J250" s="1551"/>
      <c r="K250" s="1504"/>
      <c r="L250" s="1504"/>
    </row>
    <row r="251" spans="2:12" hidden="1" x14ac:dyDescent="0.25">
      <c r="B251" s="1563" t="s">
        <v>627</v>
      </c>
      <c r="C251" s="1594" t="s">
        <v>834</v>
      </c>
      <c r="D251" s="1581"/>
      <c r="E251" s="1582"/>
      <c r="F251" s="1583"/>
      <c r="G251" s="1584"/>
      <c r="H251" s="1585"/>
    </row>
    <row r="252" spans="2:12" s="1550" customFormat="1" ht="25.5" hidden="1" customHeight="1" x14ac:dyDescent="0.25">
      <c r="B252" s="1590" t="s">
        <v>12</v>
      </c>
      <c r="C252" s="1590" t="s">
        <v>36</v>
      </c>
      <c r="D252" s="1590" t="s">
        <v>37</v>
      </c>
      <c r="E252" s="1590" t="s">
        <v>14</v>
      </c>
      <c r="F252" s="1591" t="s">
        <v>38</v>
      </c>
      <c r="G252" s="1592" t="s">
        <v>39</v>
      </c>
      <c r="H252" s="1593" t="s">
        <v>40</v>
      </c>
    </row>
    <row r="253" spans="2:12" hidden="1" x14ac:dyDescent="0.25">
      <c r="B253" s="1574" t="s">
        <v>41</v>
      </c>
      <c r="C253" s="1547" t="s">
        <v>42</v>
      </c>
      <c r="D253" s="1547"/>
      <c r="E253" s="1574"/>
      <c r="F253" s="1573"/>
      <c r="G253" s="1576"/>
      <c r="H253" s="1577"/>
    </row>
    <row r="254" spans="2:12" hidden="1" x14ac:dyDescent="0.25">
      <c r="B254" s="1574"/>
      <c r="C254" s="1588" t="s">
        <v>43</v>
      </c>
      <c r="D254" s="1595" t="s">
        <v>44</v>
      </c>
      <c r="E254" s="1595" t="s">
        <v>45</v>
      </c>
      <c r="F254" s="1596">
        <v>3</v>
      </c>
      <c r="G254" s="1565">
        <f>UPAH!$F$13</f>
        <v>115000</v>
      </c>
      <c r="H254" s="1597">
        <f>F254*G254</f>
        <v>345000</v>
      </c>
    </row>
    <row r="255" spans="2:12" hidden="1" x14ac:dyDescent="0.25">
      <c r="B255" s="1574"/>
      <c r="C255" s="1588" t="s">
        <v>97</v>
      </c>
      <c r="D255" s="1595" t="s">
        <v>47</v>
      </c>
      <c r="E255" s="1595" t="s">
        <v>45</v>
      </c>
      <c r="F255" s="1596">
        <v>3</v>
      </c>
      <c r="G255" s="1565">
        <f>UPAH!$F$12</f>
        <v>170000</v>
      </c>
      <c r="H255" s="1597">
        <f>F255*G255</f>
        <v>510000</v>
      </c>
    </row>
    <row r="256" spans="2:12" hidden="1" x14ac:dyDescent="0.25">
      <c r="B256" s="1574"/>
      <c r="C256" s="1588" t="s">
        <v>48</v>
      </c>
      <c r="D256" s="1595" t="s">
        <v>49</v>
      </c>
      <c r="E256" s="1595" t="s">
        <v>45</v>
      </c>
      <c r="F256" s="1596">
        <v>1</v>
      </c>
      <c r="G256" s="1565">
        <f>UPAH!$F$11</f>
        <v>185000</v>
      </c>
      <c r="H256" s="1597">
        <f>F256*G256</f>
        <v>185000</v>
      </c>
    </row>
    <row r="257" spans="2:8" hidden="1" x14ac:dyDescent="0.25">
      <c r="B257" s="1574"/>
      <c r="C257" s="1588" t="s">
        <v>50</v>
      </c>
      <c r="D257" s="1595" t="s">
        <v>51</v>
      </c>
      <c r="E257" s="1595" t="s">
        <v>45</v>
      </c>
      <c r="F257" s="1596">
        <v>0.5</v>
      </c>
      <c r="G257" s="1565">
        <f>UPAH!$F$10</f>
        <v>200000</v>
      </c>
      <c r="H257" s="1597">
        <f>F257*G257</f>
        <v>100000</v>
      </c>
    </row>
    <row r="258" spans="2:8" hidden="1" x14ac:dyDescent="0.25">
      <c r="B258" s="1574"/>
      <c r="C258" s="1547"/>
      <c r="D258" s="1558"/>
      <c r="E258" s="1562"/>
      <c r="F258" s="3154" t="s">
        <v>52</v>
      </c>
      <c r="G258" s="3154"/>
      <c r="H258" s="1587">
        <f>SUM(H254:H257)</f>
        <v>1140000</v>
      </c>
    </row>
    <row r="259" spans="2:8" hidden="1" x14ac:dyDescent="0.25">
      <c r="B259" s="1574" t="s">
        <v>53</v>
      </c>
      <c r="C259" s="1547" t="s">
        <v>54</v>
      </c>
      <c r="D259" s="1547"/>
      <c r="E259" s="1574"/>
      <c r="F259" s="1573"/>
      <c r="G259" s="1576"/>
      <c r="H259" s="1577"/>
    </row>
    <row r="260" spans="2:8" hidden="1" x14ac:dyDescent="0.25">
      <c r="B260" s="1574"/>
      <c r="C260" s="1546" t="s">
        <v>1270</v>
      </c>
      <c r="D260" s="1547"/>
      <c r="E260" s="1574" t="s">
        <v>32</v>
      </c>
      <c r="F260" s="1573">
        <v>1</v>
      </c>
      <c r="G260" s="1576">
        <f>G228</f>
        <v>850000</v>
      </c>
      <c r="H260" s="1597">
        <f>F260*G260</f>
        <v>850000</v>
      </c>
    </row>
    <row r="261" spans="2:8" hidden="1" x14ac:dyDescent="0.25">
      <c r="B261" s="1574"/>
      <c r="C261" s="1546" t="s">
        <v>1251</v>
      </c>
      <c r="D261" s="1547"/>
      <c r="E261" s="1574" t="s">
        <v>9</v>
      </c>
      <c r="F261" s="1573">
        <v>1</v>
      </c>
      <c r="G261" s="1576">
        <f t="shared" ref="G261:G273" si="6">G229</f>
        <v>650000</v>
      </c>
      <c r="H261" s="1597">
        <f t="shared" ref="H261:H273" si="7">F261*G261</f>
        <v>650000</v>
      </c>
    </row>
    <row r="262" spans="2:8" hidden="1" x14ac:dyDescent="0.25">
      <c r="B262" s="1574"/>
      <c r="C262" s="1546" t="s">
        <v>1271</v>
      </c>
      <c r="D262" s="1547"/>
      <c r="E262" s="1574" t="s">
        <v>9</v>
      </c>
      <c r="F262" s="1573">
        <v>18</v>
      </c>
      <c r="G262" s="1576">
        <f t="shared" si="6"/>
        <v>62500</v>
      </c>
      <c r="H262" s="1597">
        <f t="shared" si="7"/>
        <v>1125000</v>
      </c>
    </row>
    <row r="263" spans="2:8" hidden="1" x14ac:dyDescent="0.25">
      <c r="B263" s="1574"/>
      <c r="C263" s="1546" t="s">
        <v>1256</v>
      </c>
      <c r="D263" s="1547"/>
      <c r="E263" s="1574" t="s">
        <v>9</v>
      </c>
      <c r="F263" s="1573">
        <v>1</v>
      </c>
      <c r="G263" s="1576">
        <f t="shared" si="6"/>
        <v>250000</v>
      </c>
      <c r="H263" s="1597">
        <f t="shared" si="7"/>
        <v>250000</v>
      </c>
    </row>
    <row r="264" spans="2:8" hidden="1" x14ac:dyDescent="0.25">
      <c r="B264" s="1574"/>
      <c r="C264" s="1546" t="s">
        <v>1239</v>
      </c>
      <c r="D264" s="1547"/>
      <c r="E264" s="1574" t="s">
        <v>9</v>
      </c>
      <c r="F264" s="1573">
        <v>3</v>
      </c>
      <c r="G264" s="1576">
        <f t="shared" si="6"/>
        <v>89000</v>
      </c>
      <c r="H264" s="1597">
        <f t="shared" si="7"/>
        <v>267000</v>
      </c>
    </row>
    <row r="265" spans="2:8" hidden="1" x14ac:dyDescent="0.25">
      <c r="B265" s="1574"/>
      <c r="C265" s="1546" t="s">
        <v>1257</v>
      </c>
      <c r="D265" s="1547"/>
      <c r="E265" s="1574" t="s">
        <v>30</v>
      </c>
      <c r="F265" s="1573">
        <v>2</v>
      </c>
      <c r="G265" s="1576">
        <f t="shared" si="6"/>
        <v>60000</v>
      </c>
      <c r="H265" s="1597">
        <f t="shared" si="7"/>
        <v>120000</v>
      </c>
    </row>
    <row r="266" spans="2:8" hidden="1" x14ac:dyDescent="0.25">
      <c r="B266" s="1574"/>
      <c r="C266" s="1546" t="s">
        <v>1258</v>
      </c>
      <c r="D266" s="1547"/>
      <c r="E266" s="1574" t="s">
        <v>30</v>
      </c>
      <c r="F266" s="1573">
        <v>1</v>
      </c>
      <c r="G266" s="1576">
        <f t="shared" si="6"/>
        <v>75000</v>
      </c>
      <c r="H266" s="1597">
        <f t="shared" si="7"/>
        <v>75000</v>
      </c>
    </row>
    <row r="267" spans="2:8" hidden="1" x14ac:dyDescent="0.25">
      <c r="B267" s="1574"/>
      <c r="C267" s="1546" t="s">
        <v>1259</v>
      </c>
      <c r="D267" s="1547"/>
      <c r="E267" s="1574" t="s">
        <v>30</v>
      </c>
      <c r="F267" s="1573">
        <v>3</v>
      </c>
      <c r="G267" s="1576">
        <f t="shared" si="6"/>
        <v>20000</v>
      </c>
      <c r="H267" s="1597">
        <f t="shared" si="7"/>
        <v>60000</v>
      </c>
    </row>
    <row r="268" spans="2:8" hidden="1" x14ac:dyDescent="0.25">
      <c r="B268" s="1574"/>
      <c r="C268" s="1546" t="s">
        <v>1260</v>
      </c>
      <c r="D268" s="1547"/>
      <c r="E268" s="1574" t="s">
        <v>9</v>
      </c>
      <c r="F268" s="1573">
        <v>12</v>
      </c>
      <c r="G268" s="1576">
        <f t="shared" si="6"/>
        <v>7500</v>
      </c>
      <c r="H268" s="1597">
        <f t="shared" si="7"/>
        <v>90000</v>
      </c>
    </row>
    <row r="269" spans="2:8" hidden="1" x14ac:dyDescent="0.25">
      <c r="B269" s="1574"/>
      <c r="C269" s="1546" t="s">
        <v>1261</v>
      </c>
      <c r="D269" s="1547"/>
      <c r="E269" s="1574" t="s">
        <v>9</v>
      </c>
      <c r="F269" s="1573">
        <v>3</v>
      </c>
      <c r="G269" s="1576">
        <f t="shared" si="6"/>
        <v>35000</v>
      </c>
      <c r="H269" s="1597">
        <f t="shared" si="7"/>
        <v>105000</v>
      </c>
    </row>
    <row r="270" spans="2:8" s="1504" customFormat="1" hidden="1" x14ac:dyDescent="0.25">
      <c r="B270" s="1540"/>
      <c r="C270" s="1504" t="s">
        <v>1262</v>
      </c>
      <c r="E270" s="1540" t="s">
        <v>9</v>
      </c>
      <c r="F270" s="1589">
        <v>1</v>
      </c>
      <c r="G270" s="1576">
        <f t="shared" si="6"/>
        <v>800000</v>
      </c>
      <c r="H270" s="1597">
        <f t="shared" si="7"/>
        <v>800000</v>
      </c>
    </row>
    <row r="271" spans="2:8" s="1504" customFormat="1" hidden="1" x14ac:dyDescent="0.25">
      <c r="B271" s="1540"/>
      <c r="C271" s="1504" t="s">
        <v>1263</v>
      </c>
      <c r="E271" s="1540" t="s">
        <v>9</v>
      </c>
      <c r="F271" s="1589">
        <v>1</v>
      </c>
      <c r="G271" s="1576">
        <f t="shared" si="6"/>
        <v>125000</v>
      </c>
      <c r="H271" s="1597">
        <f t="shared" si="7"/>
        <v>125000</v>
      </c>
    </row>
    <row r="272" spans="2:8" s="1504" customFormat="1" hidden="1" x14ac:dyDescent="0.25">
      <c r="B272" s="1540"/>
      <c r="C272" s="1546" t="s">
        <v>1269</v>
      </c>
      <c r="E272" s="1540" t="s">
        <v>1240</v>
      </c>
      <c r="F272" s="1589">
        <v>1</v>
      </c>
      <c r="G272" s="1576">
        <f t="shared" si="6"/>
        <v>220000</v>
      </c>
      <c r="H272" s="1597">
        <f t="shared" si="7"/>
        <v>220000</v>
      </c>
    </row>
    <row r="273" spans="2:12" s="1504" customFormat="1" hidden="1" x14ac:dyDescent="0.25">
      <c r="B273" s="1540"/>
      <c r="C273" s="1546" t="s">
        <v>1267</v>
      </c>
      <c r="E273" s="1540" t="s">
        <v>310</v>
      </c>
      <c r="F273" s="1589">
        <v>1</v>
      </c>
      <c r="G273" s="1576">
        <f t="shared" si="6"/>
        <v>9000</v>
      </c>
      <c r="H273" s="1597">
        <f t="shared" si="7"/>
        <v>9000</v>
      </c>
    </row>
    <row r="274" spans="2:12" hidden="1" x14ac:dyDescent="0.25">
      <c r="B274" s="1574"/>
      <c r="C274" s="1547"/>
      <c r="D274" s="1558"/>
      <c r="E274" s="1562"/>
      <c r="F274" s="3154" t="s">
        <v>59</v>
      </c>
      <c r="G274" s="3154"/>
      <c r="H274" s="1577">
        <f>SUM(H260:H273)</f>
        <v>4746000</v>
      </c>
    </row>
    <row r="275" spans="2:12" hidden="1" x14ac:dyDescent="0.25">
      <c r="B275" s="1574" t="s">
        <v>5</v>
      </c>
      <c r="C275" s="1547" t="s">
        <v>60</v>
      </c>
      <c r="D275" s="1547"/>
      <c r="E275" s="1574"/>
      <c r="F275" s="1573"/>
      <c r="G275" s="1576"/>
      <c r="H275" s="1577"/>
      <c r="J275" s="1551"/>
      <c r="K275" s="1504"/>
      <c r="L275" s="1504"/>
    </row>
    <row r="276" spans="2:12" hidden="1" x14ac:dyDescent="0.25">
      <c r="B276" s="1562"/>
      <c r="C276" s="1558"/>
      <c r="D276" s="1558"/>
      <c r="E276" s="1562"/>
      <c r="F276" s="3154" t="s">
        <v>61</v>
      </c>
      <c r="G276" s="3154"/>
      <c r="H276" s="1577">
        <v>0</v>
      </c>
      <c r="J276" s="1551"/>
      <c r="K276" s="1504"/>
      <c r="L276" s="1504"/>
    </row>
    <row r="277" spans="2:12" hidden="1" x14ac:dyDescent="0.25">
      <c r="B277" s="1574"/>
      <c r="C277" s="1547"/>
      <c r="D277" s="1547"/>
      <c r="E277" s="1574"/>
      <c r="F277" s="1573"/>
      <c r="G277" s="1576"/>
      <c r="H277" s="1577"/>
      <c r="J277" s="1551"/>
      <c r="K277" s="1504"/>
      <c r="L277" s="1504"/>
    </row>
    <row r="278" spans="2:12" hidden="1" x14ac:dyDescent="0.25">
      <c r="B278" s="1574" t="s">
        <v>6</v>
      </c>
      <c r="C278" s="3154" t="s">
        <v>62</v>
      </c>
      <c r="D278" s="3154"/>
      <c r="E278" s="3154"/>
      <c r="F278" s="3154"/>
      <c r="G278" s="3154"/>
      <c r="H278" s="1598">
        <f>H258+H274+H276</f>
        <v>5886000</v>
      </c>
      <c r="J278" s="1551"/>
      <c r="K278" s="1504"/>
      <c r="L278" s="1504"/>
    </row>
    <row r="279" spans="2:12" hidden="1" x14ac:dyDescent="0.25">
      <c r="B279" s="1574" t="s">
        <v>7</v>
      </c>
      <c r="C279" s="1547" t="s">
        <v>100</v>
      </c>
      <c r="D279" s="1547"/>
      <c r="E279" s="1579"/>
      <c r="F279" s="1599" t="s">
        <v>100</v>
      </c>
      <c r="G279" s="1600">
        <f>$J$2</f>
        <v>0.15</v>
      </c>
      <c r="H279" s="1598">
        <f>G279*H278</f>
        <v>882900</v>
      </c>
      <c r="J279" s="1551"/>
      <c r="K279" s="1504"/>
      <c r="L279" s="1504"/>
    </row>
    <row r="280" spans="2:12" hidden="1" x14ac:dyDescent="0.25">
      <c r="B280" s="1574" t="s">
        <v>63</v>
      </c>
      <c r="C280" s="3154" t="s">
        <v>64</v>
      </c>
      <c r="D280" s="3154"/>
      <c r="E280" s="3154"/>
      <c r="F280" s="3154"/>
      <c r="G280" s="3154"/>
      <c r="H280" s="1598">
        <f>H279+H278</f>
        <v>6768900</v>
      </c>
      <c r="J280" s="1551"/>
      <c r="K280" s="1504"/>
      <c r="L280" s="1504"/>
    </row>
    <row r="281" spans="2:12" hidden="1" x14ac:dyDescent="0.25">
      <c r="C281" s="1522" t="s">
        <v>878</v>
      </c>
      <c r="D281" s="1523"/>
      <c r="E281" s="1523"/>
      <c r="F281" s="1523"/>
      <c r="G281" s="1523"/>
      <c r="H281" s="1524">
        <f>ROUNDDOWN(H280,2)</f>
        <v>6768900</v>
      </c>
      <c r="J281" s="1551"/>
      <c r="K281" s="1504"/>
      <c r="L281" s="1504"/>
    </row>
    <row r="282" spans="2:12" hidden="1" x14ac:dyDescent="0.25">
      <c r="J282" s="1551"/>
      <c r="K282" s="1504"/>
      <c r="L282" s="1504"/>
    </row>
    <row r="283" spans="2:12" hidden="1" x14ac:dyDescent="0.25">
      <c r="B283" s="1563" t="s">
        <v>628</v>
      </c>
      <c r="C283" s="1594" t="s">
        <v>842</v>
      </c>
      <c r="D283" s="1581"/>
      <c r="E283" s="1582"/>
      <c r="F283" s="1583"/>
      <c r="G283" s="1584"/>
      <c r="H283" s="1585"/>
    </row>
    <row r="284" spans="2:12" s="1550" customFormat="1" ht="26.25" hidden="1" customHeight="1" x14ac:dyDescent="0.25">
      <c r="B284" s="1590" t="s">
        <v>12</v>
      </c>
      <c r="C284" s="1590" t="s">
        <v>36</v>
      </c>
      <c r="D284" s="1590" t="s">
        <v>37</v>
      </c>
      <c r="E284" s="1590" t="s">
        <v>14</v>
      </c>
      <c r="F284" s="1591" t="s">
        <v>38</v>
      </c>
      <c r="G284" s="1592" t="s">
        <v>39</v>
      </c>
      <c r="H284" s="1593" t="s">
        <v>40</v>
      </c>
    </row>
    <row r="285" spans="2:12" hidden="1" x14ac:dyDescent="0.25">
      <c r="B285" s="1574" t="s">
        <v>41</v>
      </c>
      <c r="C285" s="1547" t="s">
        <v>42</v>
      </c>
      <c r="D285" s="1547"/>
      <c r="E285" s="1574"/>
      <c r="F285" s="1573"/>
      <c r="G285" s="1576"/>
      <c r="H285" s="1577"/>
    </row>
    <row r="286" spans="2:12" hidden="1" x14ac:dyDescent="0.25">
      <c r="B286" s="1574"/>
      <c r="C286" s="1588" t="s">
        <v>43</v>
      </c>
      <c r="D286" s="1595" t="s">
        <v>44</v>
      </c>
      <c r="E286" s="1595" t="s">
        <v>45</v>
      </c>
      <c r="F286" s="1596">
        <v>3</v>
      </c>
      <c r="G286" s="1565">
        <f>UPAH!$F$13</f>
        <v>115000</v>
      </c>
      <c r="H286" s="1597">
        <f>F286*G286</f>
        <v>345000</v>
      </c>
    </row>
    <row r="287" spans="2:12" hidden="1" x14ac:dyDescent="0.25">
      <c r="B287" s="1574"/>
      <c r="C287" s="1588" t="s">
        <v>97</v>
      </c>
      <c r="D287" s="1595" t="s">
        <v>47</v>
      </c>
      <c r="E287" s="1595" t="s">
        <v>45</v>
      </c>
      <c r="F287" s="1596">
        <v>2</v>
      </c>
      <c r="G287" s="1565">
        <f>UPAH!$F$12</f>
        <v>170000</v>
      </c>
      <c r="H287" s="1597">
        <f>F287*G287</f>
        <v>340000</v>
      </c>
    </row>
    <row r="288" spans="2:12" hidden="1" x14ac:dyDescent="0.25">
      <c r="B288" s="1574"/>
      <c r="C288" s="1588" t="s">
        <v>48</v>
      </c>
      <c r="D288" s="1595" t="s">
        <v>49</v>
      </c>
      <c r="E288" s="1595" t="s">
        <v>45</v>
      </c>
      <c r="F288" s="1596">
        <v>1</v>
      </c>
      <c r="G288" s="1565">
        <f>UPAH!$F$11</f>
        <v>185000</v>
      </c>
      <c r="H288" s="1597">
        <f>F288*G288</f>
        <v>185000</v>
      </c>
    </row>
    <row r="289" spans="2:8" hidden="1" x14ac:dyDescent="0.25">
      <c r="B289" s="1574"/>
      <c r="C289" s="1588" t="s">
        <v>50</v>
      </c>
      <c r="D289" s="1595" t="s">
        <v>51</v>
      </c>
      <c r="E289" s="1595" t="s">
        <v>45</v>
      </c>
      <c r="F289" s="1596">
        <v>0.5</v>
      </c>
      <c r="G289" s="1565">
        <f>UPAH!$F$10</f>
        <v>200000</v>
      </c>
      <c r="H289" s="1597">
        <f>F289*G289</f>
        <v>100000</v>
      </c>
    </row>
    <row r="290" spans="2:8" hidden="1" x14ac:dyDescent="0.25">
      <c r="B290" s="1574"/>
      <c r="C290" s="1547"/>
      <c r="D290" s="1558"/>
      <c r="E290" s="1562"/>
      <c r="F290" s="3154" t="s">
        <v>52</v>
      </c>
      <c r="G290" s="3154"/>
      <c r="H290" s="1587">
        <f>SUM(H286:H289)</f>
        <v>970000</v>
      </c>
    </row>
    <row r="291" spans="2:8" hidden="1" x14ac:dyDescent="0.25">
      <c r="B291" s="1574" t="s">
        <v>53</v>
      </c>
      <c r="C291" s="1547" t="s">
        <v>54</v>
      </c>
      <c r="D291" s="1547"/>
      <c r="E291" s="1574"/>
      <c r="F291" s="1573"/>
      <c r="G291" s="1576"/>
      <c r="H291" s="1577"/>
    </row>
    <row r="292" spans="2:8" hidden="1" x14ac:dyDescent="0.25">
      <c r="B292" s="1574"/>
      <c r="C292" s="1546" t="s">
        <v>1270</v>
      </c>
      <c r="D292" s="1547"/>
      <c r="E292" s="1574" t="s">
        <v>32</v>
      </c>
      <c r="F292" s="1573">
        <v>1</v>
      </c>
      <c r="G292" s="1576">
        <f>G260</f>
        <v>850000</v>
      </c>
      <c r="H292" s="1597">
        <f>F292*G292</f>
        <v>850000</v>
      </c>
    </row>
    <row r="293" spans="2:8" hidden="1" x14ac:dyDescent="0.25">
      <c r="B293" s="1574"/>
      <c r="C293" s="1546" t="s">
        <v>1251</v>
      </c>
      <c r="D293" s="1547"/>
      <c r="E293" s="1574" t="s">
        <v>9</v>
      </c>
      <c r="F293" s="1573">
        <v>1</v>
      </c>
      <c r="G293" s="1576">
        <f t="shared" ref="G293:G305" si="8">G261</f>
        <v>650000</v>
      </c>
      <c r="H293" s="1597">
        <f t="shared" ref="H293:H305" si="9">F293*G293</f>
        <v>650000</v>
      </c>
    </row>
    <row r="294" spans="2:8" hidden="1" x14ac:dyDescent="0.25">
      <c r="B294" s="1574"/>
      <c r="C294" s="1546" t="s">
        <v>1271</v>
      </c>
      <c r="D294" s="1547"/>
      <c r="E294" s="1574" t="s">
        <v>9</v>
      </c>
      <c r="F294" s="1573">
        <v>12</v>
      </c>
      <c r="G294" s="1576">
        <f t="shared" si="8"/>
        <v>62500</v>
      </c>
      <c r="H294" s="1597">
        <f t="shared" si="9"/>
        <v>750000</v>
      </c>
    </row>
    <row r="295" spans="2:8" hidden="1" x14ac:dyDescent="0.25">
      <c r="B295" s="1574"/>
      <c r="C295" s="1546" t="s">
        <v>1256</v>
      </c>
      <c r="D295" s="1547"/>
      <c r="E295" s="1574" t="s">
        <v>9</v>
      </c>
      <c r="F295" s="1573">
        <v>1</v>
      </c>
      <c r="G295" s="1576">
        <f t="shared" si="8"/>
        <v>250000</v>
      </c>
      <c r="H295" s="1597">
        <f t="shared" si="9"/>
        <v>250000</v>
      </c>
    </row>
    <row r="296" spans="2:8" hidden="1" x14ac:dyDescent="0.25">
      <c r="B296" s="1574"/>
      <c r="C296" s="1546" t="s">
        <v>1239</v>
      </c>
      <c r="D296" s="1547"/>
      <c r="E296" s="1574" t="s">
        <v>9</v>
      </c>
      <c r="F296" s="1573">
        <v>3</v>
      </c>
      <c r="G296" s="1576">
        <f t="shared" si="8"/>
        <v>89000</v>
      </c>
      <c r="H296" s="1597">
        <f t="shared" si="9"/>
        <v>267000</v>
      </c>
    </row>
    <row r="297" spans="2:8" hidden="1" x14ac:dyDescent="0.25">
      <c r="B297" s="1574"/>
      <c r="C297" s="1546" t="s">
        <v>1257</v>
      </c>
      <c r="D297" s="1547"/>
      <c r="E297" s="1574" t="s">
        <v>30</v>
      </c>
      <c r="F297" s="1573">
        <v>2</v>
      </c>
      <c r="G297" s="1576">
        <f t="shared" si="8"/>
        <v>60000</v>
      </c>
      <c r="H297" s="1597">
        <f t="shared" si="9"/>
        <v>120000</v>
      </c>
    </row>
    <row r="298" spans="2:8" hidden="1" x14ac:dyDescent="0.25">
      <c r="B298" s="1574"/>
      <c r="C298" s="1546" t="s">
        <v>1258</v>
      </c>
      <c r="D298" s="1547"/>
      <c r="E298" s="1574" t="s">
        <v>30</v>
      </c>
      <c r="F298" s="1573">
        <v>1</v>
      </c>
      <c r="G298" s="1576">
        <f t="shared" si="8"/>
        <v>75000</v>
      </c>
      <c r="H298" s="1597">
        <f t="shared" si="9"/>
        <v>75000</v>
      </c>
    </row>
    <row r="299" spans="2:8" hidden="1" x14ac:dyDescent="0.25">
      <c r="B299" s="1574"/>
      <c r="C299" s="1546" t="s">
        <v>1259</v>
      </c>
      <c r="D299" s="1547"/>
      <c r="E299" s="1574" t="s">
        <v>30</v>
      </c>
      <c r="F299" s="1573">
        <v>3</v>
      </c>
      <c r="G299" s="1576">
        <f t="shared" si="8"/>
        <v>20000</v>
      </c>
      <c r="H299" s="1597">
        <f t="shared" si="9"/>
        <v>60000</v>
      </c>
    </row>
    <row r="300" spans="2:8" hidden="1" x14ac:dyDescent="0.25">
      <c r="B300" s="1574"/>
      <c r="C300" s="1546" t="s">
        <v>1260</v>
      </c>
      <c r="D300" s="1547"/>
      <c r="E300" s="1574" t="s">
        <v>9</v>
      </c>
      <c r="F300" s="1573">
        <v>10</v>
      </c>
      <c r="G300" s="1576">
        <f t="shared" si="8"/>
        <v>7500</v>
      </c>
      <c r="H300" s="1597">
        <f t="shared" si="9"/>
        <v>75000</v>
      </c>
    </row>
    <row r="301" spans="2:8" hidden="1" x14ac:dyDescent="0.25">
      <c r="B301" s="1574"/>
      <c r="C301" s="1546" t="s">
        <v>1261</v>
      </c>
      <c r="D301" s="1547"/>
      <c r="E301" s="1574" t="s">
        <v>9</v>
      </c>
      <c r="F301" s="1573">
        <v>3</v>
      </c>
      <c r="G301" s="1576">
        <f t="shared" si="8"/>
        <v>35000</v>
      </c>
      <c r="H301" s="1597">
        <f t="shared" si="9"/>
        <v>105000</v>
      </c>
    </row>
    <row r="302" spans="2:8" s="1504" customFormat="1" hidden="1" x14ac:dyDescent="0.25">
      <c r="B302" s="1540"/>
      <c r="C302" s="1504" t="s">
        <v>1262</v>
      </c>
      <c r="E302" s="1540" t="s">
        <v>9</v>
      </c>
      <c r="F302" s="1589">
        <v>1</v>
      </c>
      <c r="G302" s="1576">
        <f t="shared" si="8"/>
        <v>800000</v>
      </c>
      <c r="H302" s="1597">
        <f t="shared" si="9"/>
        <v>800000</v>
      </c>
    </row>
    <row r="303" spans="2:8" s="1504" customFormat="1" hidden="1" x14ac:dyDescent="0.25">
      <c r="B303" s="1540"/>
      <c r="C303" s="1504" t="s">
        <v>1263</v>
      </c>
      <c r="E303" s="1540" t="s">
        <v>9</v>
      </c>
      <c r="F303" s="1589">
        <v>1</v>
      </c>
      <c r="G303" s="1576">
        <f t="shared" si="8"/>
        <v>125000</v>
      </c>
      <c r="H303" s="1597">
        <f t="shared" si="9"/>
        <v>125000</v>
      </c>
    </row>
    <row r="304" spans="2:8" s="1504" customFormat="1" hidden="1" x14ac:dyDescent="0.25">
      <c r="B304" s="1540"/>
      <c r="C304" s="1546" t="s">
        <v>1269</v>
      </c>
      <c r="E304" s="1540" t="s">
        <v>1240</v>
      </c>
      <c r="F304" s="1589">
        <v>1</v>
      </c>
      <c r="G304" s="1576">
        <f t="shared" si="8"/>
        <v>220000</v>
      </c>
      <c r="H304" s="1597">
        <f t="shared" si="9"/>
        <v>220000</v>
      </c>
    </row>
    <row r="305" spans="2:12" s="1504" customFormat="1" hidden="1" x14ac:dyDescent="0.25">
      <c r="B305" s="1540"/>
      <c r="C305" s="1546" t="s">
        <v>1267</v>
      </c>
      <c r="E305" s="1540" t="s">
        <v>310</v>
      </c>
      <c r="F305" s="1589">
        <v>1</v>
      </c>
      <c r="G305" s="1576">
        <f t="shared" si="8"/>
        <v>9000</v>
      </c>
      <c r="H305" s="1597">
        <f t="shared" si="9"/>
        <v>9000</v>
      </c>
    </row>
    <row r="306" spans="2:12" hidden="1" x14ac:dyDescent="0.25">
      <c r="B306" s="1574"/>
      <c r="C306" s="1547"/>
      <c r="D306" s="1558"/>
      <c r="E306" s="1562"/>
      <c r="F306" s="3154" t="s">
        <v>59</v>
      </c>
      <c r="G306" s="3154"/>
      <c r="H306" s="1577">
        <f>SUM(H292:H305)</f>
        <v>4356000</v>
      </c>
    </row>
    <row r="307" spans="2:12" hidden="1" x14ac:dyDescent="0.25">
      <c r="B307" s="1574" t="s">
        <v>5</v>
      </c>
      <c r="C307" s="1547" t="s">
        <v>60</v>
      </c>
      <c r="D307" s="1547"/>
      <c r="E307" s="1574"/>
      <c r="F307" s="1573"/>
      <c r="G307" s="1576"/>
      <c r="H307" s="1577"/>
      <c r="J307" s="1551"/>
      <c r="K307" s="1504"/>
      <c r="L307" s="1504"/>
    </row>
    <row r="308" spans="2:12" hidden="1" x14ac:dyDescent="0.25">
      <c r="B308" s="1562"/>
      <c r="C308" s="1558"/>
      <c r="D308" s="1558"/>
      <c r="E308" s="1562"/>
      <c r="F308" s="3154" t="s">
        <v>61</v>
      </c>
      <c r="G308" s="3154"/>
      <c r="H308" s="1577">
        <v>0</v>
      </c>
      <c r="J308" s="1551"/>
      <c r="K308" s="1504"/>
      <c r="L308" s="1504"/>
    </row>
    <row r="309" spans="2:12" hidden="1" x14ac:dyDescent="0.25">
      <c r="B309" s="1574"/>
      <c r="C309" s="1547"/>
      <c r="D309" s="1547"/>
      <c r="E309" s="1574"/>
      <c r="F309" s="1573"/>
      <c r="G309" s="1576"/>
      <c r="H309" s="1577"/>
      <c r="J309" s="1551"/>
      <c r="K309" s="1504"/>
      <c r="L309" s="1504"/>
    </row>
    <row r="310" spans="2:12" hidden="1" x14ac:dyDescent="0.25">
      <c r="B310" s="1574" t="s">
        <v>6</v>
      </c>
      <c r="C310" s="3154" t="s">
        <v>62</v>
      </c>
      <c r="D310" s="3154"/>
      <c r="E310" s="3154"/>
      <c r="F310" s="3154"/>
      <c r="G310" s="3154"/>
      <c r="H310" s="1598">
        <f>H290+H306+H308</f>
        <v>5326000</v>
      </c>
      <c r="J310" s="1551"/>
      <c r="K310" s="1504"/>
      <c r="L310" s="1504"/>
    </row>
    <row r="311" spans="2:12" hidden="1" x14ac:dyDescent="0.25">
      <c r="B311" s="1574" t="s">
        <v>7</v>
      </c>
      <c r="C311" s="1547" t="s">
        <v>100</v>
      </c>
      <c r="D311" s="1547"/>
      <c r="E311" s="1579"/>
      <c r="F311" s="1599" t="s">
        <v>100</v>
      </c>
      <c r="G311" s="1600">
        <f>$J$2</f>
        <v>0.15</v>
      </c>
      <c r="H311" s="1598">
        <f>G311*H310</f>
        <v>798900</v>
      </c>
      <c r="J311" s="1551"/>
      <c r="K311" s="1504"/>
      <c r="L311" s="1504"/>
    </row>
    <row r="312" spans="2:12" hidden="1" x14ac:dyDescent="0.25">
      <c r="B312" s="1574" t="s">
        <v>63</v>
      </c>
      <c r="C312" s="3154" t="s">
        <v>64</v>
      </c>
      <c r="D312" s="3154"/>
      <c r="E312" s="3154"/>
      <c r="F312" s="3154"/>
      <c r="G312" s="3154"/>
      <c r="H312" s="1598">
        <f>H311+H310</f>
        <v>6124900</v>
      </c>
      <c r="J312" s="1551"/>
      <c r="K312" s="1504"/>
      <c r="L312" s="1504"/>
    </row>
    <row r="313" spans="2:12" hidden="1" x14ac:dyDescent="0.25">
      <c r="C313" s="1522" t="s">
        <v>878</v>
      </c>
      <c r="D313" s="1523"/>
      <c r="E313" s="1523"/>
      <c r="F313" s="1523"/>
      <c r="G313" s="1523"/>
      <c r="H313" s="1524">
        <f>ROUNDDOWN(H312,2)</f>
        <v>6124900</v>
      </c>
      <c r="J313" s="1551"/>
      <c r="K313" s="1504"/>
      <c r="L313" s="1504"/>
    </row>
    <row r="314" spans="2:12" hidden="1" x14ac:dyDescent="0.25">
      <c r="J314" s="1551"/>
      <c r="K314" s="1504"/>
      <c r="L314" s="1504"/>
    </row>
    <row r="315" spans="2:12" hidden="1" x14ac:dyDescent="0.25">
      <c r="B315" s="1563" t="s">
        <v>1290</v>
      </c>
      <c r="C315" s="1594" t="s">
        <v>1291</v>
      </c>
      <c r="D315" s="1581"/>
      <c r="E315" s="1582"/>
      <c r="F315" s="1583"/>
      <c r="G315" s="1584"/>
      <c r="H315" s="1585"/>
    </row>
    <row r="316" spans="2:12" s="1550" customFormat="1" ht="25.5" hidden="1" customHeight="1" x14ac:dyDescent="0.25">
      <c r="B316" s="1590" t="s">
        <v>12</v>
      </c>
      <c r="C316" s="1590" t="s">
        <v>36</v>
      </c>
      <c r="D316" s="1590" t="s">
        <v>37</v>
      </c>
      <c r="E316" s="1590" t="s">
        <v>14</v>
      </c>
      <c r="F316" s="1591" t="s">
        <v>38</v>
      </c>
      <c r="G316" s="1592" t="s">
        <v>39</v>
      </c>
      <c r="H316" s="1593" t="s">
        <v>40</v>
      </c>
    </row>
    <row r="317" spans="2:12" hidden="1" x14ac:dyDescent="0.25">
      <c r="B317" s="1574" t="s">
        <v>41</v>
      </c>
      <c r="C317" s="1547" t="s">
        <v>42</v>
      </c>
      <c r="D317" s="1547"/>
      <c r="E317" s="1574"/>
      <c r="F317" s="1573"/>
      <c r="G317" s="1576"/>
      <c r="H317" s="1577"/>
    </row>
    <row r="318" spans="2:12" hidden="1" x14ac:dyDescent="0.25">
      <c r="B318" s="1574"/>
      <c r="C318" s="1588" t="s">
        <v>43</v>
      </c>
      <c r="D318" s="1595" t="s">
        <v>44</v>
      </c>
      <c r="E318" s="1595" t="s">
        <v>45</v>
      </c>
      <c r="F318" s="1596">
        <v>1</v>
      </c>
      <c r="G318" s="1565">
        <f>UPAH!$F$13</f>
        <v>115000</v>
      </c>
      <c r="H318" s="1597">
        <f>F318*G318</f>
        <v>115000</v>
      </c>
    </row>
    <row r="319" spans="2:12" hidden="1" x14ac:dyDescent="0.25">
      <c r="B319" s="1574"/>
      <c r="C319" s="1588" t="s">
        <v>97</v>
      </c>
      <c r="D319" s="1595" t="s">
        <v>47</v>
      </c>
      <c r="E319" s="1595" t="s">
        <v>45</v>
      </c>
      <c r="F319" s="1596">
        <v>1</v>
      </c>
      <c r="G319" s="1565">
        <f>UPAH!$F$12</f>
        <v>170000</v>
      </c>
      <c r="H319" s="1597">
        <f>F319*G319</f>
        <v>170000</v>
      </c>
    </row>
    <row r="320" spans="2:12" hidden="1" x14ac:dyDescent="0.25">
      <c r="B320" s="1574"/>
      <c r="C320" s="1588" t="s">
        <v>48</v>
      </c>
      <c r="D320" s="1595" t="s">
        <v>49</v>
      </c>
      <c r="E320" s="1595" t="s">
        <v>45</v>
      </c>
      <c r="F320" s="1596">
        <v>0.2</v>
      </c>
      <c r="G320" s="1565">
        <f>UPAH!$F$11</f>
        <v>185000</v>
      </c>
      <c r="H320" s="1597">
        <f>F320*G320</f>
        <v>37000</v>
      </c>
    </row>
    <row r="321" spans="2:12" hidden="1" x14ac:dyDescent="0.25">
      <c r="B321" s="1574"/>
      <c r="C321" s="1588" t="s">
        <v>50</v>
      </c>
      <c r="D321" s="1595" t="s">
        <v>51</v>
      </c>
      <c r="E321" s="1595" t="s">
        <v>45</v>
      </c>
      <c r="F321" s="1596">
        <v>0.1</v>
      </c>
      <c r="G321" s="1565">
        <f>UPAH!$F$10</f>
        <v>200000</v>
      </c>
      <c r="H321" s="1597">
        <f>F321*G321</f>
        <v>20000</v>
      </c>
    </row>
    <row r="322" spans="2:12" hidden="1" x14ac:dyDescent="0.25">
      <c r="B322" s="1574"/>
      <c r="C322" s="1547"/>
      <c r="D322" s="1558"/>
      <c r="E322" s="1562"/>
      <c r="F322" s="3154" t="s">
        <v>52</v>
      </c>
      <c r="G322" s="3154"/>
      <c r="H322" s="1587">
        <f>SUM(H318:H321)</f>
        <v>342000</v>
      </c>
    </row>
    <row r="323" spans="2:12" hidden="1" x14ac:dyDescent="0.25">
      <c r="B323" s="1574" t="s">
        <v>53</v>
      </c>
      <c r="C323" s="1547" t="s">
        <v>54</v>
      </c>
      <c r="D323" s="1547"/>
      <c r="E323" s="1574"/>
      <c r="F323" s="1573"/>
      <c r="G323" s="1576"/>
      <c r="H323" s="1577"/>
    </row>
    <row r="324" spans="2:12" hidden="1" x14ac:dyDescent="0.25">
      <c r="B324" s="1574"/>
      <c r="C324" s="1546" t="s">
        <v>1288</v>
      </c>
      <c r="D324" s="1547"/>
      <c r="E324" s="1574" t="s">
        <v>32</v>
      </c>
      <c r="F324" s="1573">
        <v>1</v>
      </c>
      <c r="G324" s="1576">
        <f>'UB mep'!J93</f>
        <v>850000</v>
      </c>
      <c r="H324" s="1597">
        <f>F324*G324</f>
        <v>850000</v>
      </c>
    </row>
    <row r="325" spans="2:12" hidden="1" x14ac:dyDescent="0.25">
      <c r="B325" s="1574"/>
      <c r="C325" s="1546" t="s">
        <v>1289</v>
      </c>
      <c r="D325" s="1547"/>
      <c r="E325" s="1601" t="s">
        <v>91</v>
      </c>
      <c r="F325" s="1602">
        <v>0.35</v>
      </c>
      <c r="G325" s="1576">
        <f>G324</f>
        <v>850000</v>
      </c>
      <c r="H325" s="1597">
        <f>F325*G325</f>
        <v>297500</v>
      </c>
    </row>
    <row r="326" spans="2:12" hidden="1" x14ac:dyDescent="0.25">
      <c r="B326" s="1574"/>
      <c r="C326" s="1547"/>
      <c r="D326" s="1558"/>
      <c r="E326" s="1562"/>
      <c r="F326" s="3154" t="s">
        <v>59</v>
      </c>
      <c r="G326" s="3154"/>
      <c r="H326" s="1577">
        <f>SUM(H324:H325)</f>
        <v>1147500</v>
      </c>
    </row>
    <row r="327" spans="2:12" hidden="1" x14ac:dyDescent="0.25">
      <c r="B327" s="1574" t="s">
        <v>5</v>
      </c>
      <c r="C327" s="1547" t="s">
        <v>60</v>
      </c>
      <c r="D327" s="1547"/>
      <c r="E327" s="1574"/>
      <c r="F327" s="1573"/>
      <c r="G327" s="1576"/>
      <c r="H327" s="1577"/>
      <c r="J327" s="1551"/>
      <c r="K327" s="1504"/>
      <c r="L327" s="1504"/>
    </row>
    <row r="328" spans="2:12" hidden="1" x14ac:dyDescent="0.25">
      <c r="B328" s="1562"/>
      <c r="C328" s="1558"/>
      <c r="D328" s="1558"/>
      <c r="E328" s="1562"/>
      <c r="F328" s="3154" t="s">
        <v>61</v>
      </c>
      <c r="G328" s="3154"/>
      <c r="H328" s="1577">
        <v>0</v>
      </c>
      <c r="J328" s="1551"/>
      <c r="K328" s="1504"/>
      <c r="L328" s="1504"/>
    </row>
    <row r="329" spans="2:12" hidden="1" x14ac:dyDescent="0.25">
      <c r="B329" s="1574"/>
      <c r="C329" s="1547"/>
      <c r="D329" s="1547"/>
      <c r="E329" s="1574"/>
      <c r="F329" s="1573"/>
      <c r="G329" s="1576"/>
      <c r="H329" s="1577"/>
      <c r="J329" s="1551"/>
      <c r="K329" s="1504"/>
      <c r="L329" s="1504"/>
    </row>
    <row r="330" spans="2:12" hidden="1" x14ac:dyDescent="0.25">
      <c r="B330" s="1574" t="s">
        <v>6</v>
      </c>
      <c r="C330" s="3154" t="s">
        <v>62</v>
      </c>
      <c r="D330" s="3154"/>
      <c r="E330" s="3154"/>
      <c r="F330" s="3154"/>
      <c r="G330" s="3154"/>
      <c r="H330" s="1598">
        <f>H322+H326+H328</f>
        <v>1489500</v>
      </c>
      <c r="J330" s="1551"/>
      <c r="K330" s="1504"/>
      <c r="L330" s="1504"/>
    </row>
    <row r="331" spans="2:12" hidden="1" x14ac:dyDescent="0.25">
      <c r="B331" s="1574" t="s">
        <v>7</v>
      </c>
      <c r="C331" s="1547" t="s">
        <v>100</v>
      </c>
      <c r="D331" s="1547"/>
      <c r="E331" s="1579"/>
      <c r="F331" s="1599" t="s">
        <v>100</v>
      </c>
      <c r="G331" s="1600">
        <f>$J$2</f>
        <v>0.15</v>
      </c>
      <c r="H331" s="1598">
        <f>G331*H330</f>
        <v>223425</v>
      </c>
      <c r="J331" s="1551"/>
      <c r="K331" s="1504"/>
      <c r="L331" s="1504"/>
    </row>
    <row r="332" spans="2:12" hidden="1" x14ac:dyDescent="0.25">
      <c r="B332" s="1574" t="s">
        <v>63</v>
      </c>
      <c r="C332" s="3154" t="s">
        <v>64</v>
      </c>
      <c r="D332" s="3154"/>
      <c r="E332" s="3154"/>
      <c r="F332" s="3154"/>
      <c r="G332" s="3154"/>
      <c r="H332" s="1598">
        <f>H331+H330</f>
        <v>1712925</v>
      </c>
      <c r="J332" s="1551"/>
      <c r="K332" s="1504"/>
      <c r="L332" s="1504"/>
    </row>
    <row r="333" spans="2:12" hidden="1" x14ac:dyDescent="0.25">
      <c r="C333" s="1522" t="s">
        <v>878</v>
      </c>
      <c r="D333" s="1523"/>
      <c r="E333" s="1523"/>
      <c r="F333" s="1523"/>
      <c r="G333" s="1523"/>
      <c r="H333" s="1524">
        <f>ROUNDDOWN(H332,2)</f>
        <v>1712925</v>
      </c>
      <c r="J333" s="1551"/>
      <c r="K333" s="1504"/>
      <c r="L333" s="1504"/>
    </row>
    <row r="334" spans="2:12" hidden="1" x14ac:dyDescent="0.25">
      <c r="J334" s="1551"/>
      <c r="K334" s="1504"/>
      <c r="L334" s="1504"/>
    </row>
    <row r="335" spans="2:12" hidden="1" x14ac:dyDescent="0.25">
      <c r="B335" s="1563" t="s">
        <v>1295</v>
      </c>
      <c r="C335" s="1594" t="s">
        <v>1296</v>
      </c>
      <c r="D335" s="1581"/>
      <c r="E335" s="1582"/>
      <c r="F335" s="1583"/>
      <c r="G335" s="1584"/>
      <c r="H335" s="1585"/>
    </row>
    <row r="336" spans="2:12" s="1550" customFormat="1" ht="26.25" hidden="1" customHeight="1" x14ac:dyDescent="0.25">
      <c r="B336" s="1590" t="s">
        <v>12</v>
      </c>
      <c r="C336" s="1590" t="s">
        <v>36</v>
      </c>
      <c r="D336" s="1590" t="s">
        <v>37</v>
      </c>
      <c r="E336" s="1590" t="s">
        <v>14</v>
      </c>
      <c r="F336" s="1591" t="s">
        <v>38</v>
      </c>
      <c r="G336" s="1592" t="s">
        <v>39</v>
      </c>
      <c r="H336" s="1593" t="s">
        <v>40</v>
      </c>
    </row>
    <row r="337" spans="2:12" hidden="1" x14ac:dyDescent="0.25">
      <c r="B337" s="1574" t="s">
        <v>41</v>
      </c>
      <c r="C337" s="1547" t="s">
        <v>42</v>
      </c>
      <c r="D337" s="1547"/>
      <c r="E337" s="1574"/>
      <c r="F337" s="1573"/>
      <c r="G337" s="1576"/>
      <c r="H337" s="1577"/>
    </row>
    <row r="338" spans="2:12" hidden="1" x14ac:dyDescent="0.25">
      <c r="B338" s="1574"/>
      <c r="C338" s="1588" t="s">
        <v>43</v>
      </c>
      <c r="D338" s="1595" t="s">
        <v>44</v>
      </c>
      <c r="E338" s="1595" t="s">
        <v>45</v>
      </c>
      <c r="F338" s="1596">
        <v>3</v>
      </c>
      <c r="G338" s="1565">
        <f>UPAH!$F$13</f>
        <v>115000</v>
      </c>
      <c r="H338" s="1597">
        <f>F338*G338</f>
        <v>345000</v>
      </c>
    </row>
    <row r="339" spans="2:12" hidden="1" x14ac:dyDescent="0.25">
      <c r="B339" s="1574"/>
      <c r="C339" s="1588" t="s">
        <v>97</v>
      </c>
      <c r="D339" s="1595" t="s">
        <v>47</v>
      </c>
      <c r="E339" s="1595" t="s">
        <v>45</v>
      </c>
      <c r="F339" s="1596">
        <v>2</v>
      </c>
      <c r="G339" s="1565">
        <f>UPAH!$F$12</f>
        <v>170000</v>
      </c>
      <c r="H339" s="1597">
        <f>F339*G339</f>
        <v>340000</v>
      </c>
    </row>
    <row r="340" spans="2:12" hidden="1" x14ac:dyDescent="0.25">
      <c r="B340" s="1574"/>
      <c r="C340" s="1588" t="s">
        <v>48</v>
      </c>
      <c r="D340" s="1595" t="s">
        <v>49</v>
      </c>
      <c r="E340" s="1595" t="s">
        <v>45</v>
      </c>
      <c r="F340" s="1596">
        <v>1</v>
      </c>
      <c r="G340" s="1565">
        <f>UPAH!$F$11</f>
        <v>185000</v>
      </c>
      <c r="H340" s="1597">
        <f>F340*G340</f>
        <v>185000</v>
      </c>
    </row>
    <row r="341" spans="2:12" hidden="1" x14ac:dyDescent="0.25">
      <c r="B341" s="1574"/>
      <c r="C341" s="1588" t="s">
        <v>50</v>
      </c>
      <c r="D341" s="1595" t="s">
        <v>51</v>
      </c>
      <c r="E341" s="1595" t="s">
        <v>45</v>
      </c>
      <c r="F341" s="1596">
        <v>0.5</v>
      </c>
      <c r="G341" s="1565">
        <f>UPAH!$F$10</f>
        <v>200000</v>
      </c>
      <c r="H341" s="1597">
        <f>F341*G341</f>
        <v>100000</v>
      </c>
    </row>
    <row r="342" spans="2:12" hidden="1" x14ac:dyDescent="0.25">
      <c r="B342" s="1574"/>
      <c r="C342" s="1547"/>
      <c r="D342" s="1558"/>
      <c r="E342" s="1562"/>
      <c r="F342" s="3154" t="s">
        <v>52</v>
      </c>
      <c r="G342" s="3154"/>
      <c r="H342" s="1587">
        <f>SUM(H338:H341)</f>
        <v>970000</v>
      </c>
    </row>
    <row r="343" spans="2:12" hidden="1" x14ac:dyDescent="0.25">
      <c r="B343" s="1574" t="s">
        <v>53</v>
      </c>
      <c r="C343" s="1547" t="s">
        <v>54</v>
      </c>
      <c r="D343" s="1547"/>
      <c r="E343" s="1574"/>
      <c r="F343" s="1573"/>
      <c r="G343" s="1576"/>
      <c r="H343" s="1577"/>
    </row>
    <row r="344" spans="2:12" hidden="1" x14ac:dyDescent="0.25">
      <c r="B344" s="1574"/>
      <c r="C344" s="1547" t="s">
        <v>1040</v>
      </c>
      <c r="D344" s="1547"/>
      <c r="E344" s="1574" t="s">
        <v>27</v>
      </c>
      <c r="F344" s="1573">
        <v>14</v>
      </c>
      <c r="G344" s="1576">
        <f>'UB mep'!J119</f>
        <v>35000</v>
      </c>
      <c r="H344" s="1597">
        <f>F344*G344</f>
        <v>490000</v>
      </c>
      <c r="J344" s="1546" t="s">
        <v>27</v>
      </c>
      <c r="K344" s="1546">
        <v>14</v>
      </c>
      <c r="L344" s="1546">
        <v>40000</v>
      </c>
    </row>
    <row r="345" spans="2:12" hidden="1" x14ac:dyDescent="0.25">
      <c r="B345" s="1574"/>
      <c r="C345" s="1547" t="s">
        <v>1297</v>
      </c>
      <c r="D345" s="1547"/>
      <c r="E345" s="1574" t="s">
        <v>9</v>
      </c>
      <c r="F345" s="1573">
        <v>1</v>
      </c>
      <c r="G345" s="1576">
        <f>'UB mep'!J149</f>
        <v>225000</v>
      </c>
      <c r="H345" s="1597">
        <f>F345*G345</f>
        <v>225000</v>
      </c>
      <c r="J345" s="1546" t="s">
        <v>9</v>
      </c>
      <c r="K345" s="1546">
        <v>1</v>
      </c>
      <c r="L345" s="1546">
        <v>86250</v>
      </c>
    </row>
    <row r="346" spans="2:12" hidden="1" x14ac:dyDescent="0.25">
      <c r="B346" s="1574"/>
      <c r="C346" s="1547" t="s">
        <v>1298</v>
      </c>
      <c r="D346" s="1547"/>
      <c r="E346" s="1574" t="s">
        <v>9</v>
      </c>
      <c r="F346" s="1573">
        <v>1</v>
      </c>
      <c r="G346" s="1576">
        <f>'UB mep'!J148</f>
        <v>2050000</v>
      </c>
      <c r="H346" s="1597">
        <f>F346*G346</f>
        <v>2050000</v>
      </c>
    </row>
    <row r="347" spans="2:12" hidden="1" x14ac:dyDescent="0.25">
      <c r="B347" s="1574"/>
      <c r="C347" s="1546" t="s">
        <v>611</v>
      </c>
      <c r="D347" s="1547"/>
      <c r="E347" s="1574" t="s">
        <v>1</v>
      </c>
      <c r="F347" s="1573">
        <v>1</v>
      </c>
      <c r="G347" s="1576">
        <f>BAHAN!G91</f>
        <v>5000</v>
      </c>
      <c r="H347" s="1597">
        <f>F347*G347</f>
        <v>5000</v>
      </c>
      <c r="J347" s="1546" t="s">
        <v>1</v>
      </c>
      <c r="K347" s="1546">
        <v>1</v>
      </c>
      <c r="L347" s="1546">
        <v>5000</v>
      </c>
    </row>
    <row r="348" spans="2:12" hidden="1" x14ac:dyDescent="0.25">
      <c r="B348" s="1574"/>
      <c r="C348" s="1547"/>
      <c r="D348" s="1558"/>
      <c r="E348" s="1562"/>
      <c r="F348" s="3154" t="s">
        <v>59</v>
      </c>
      <c r="G348" s="3154"/>
      <c r="H348" s="1577">
        <f>SUM(H344:H347)</f>
        <v>2770000</v>
      </c>
    </row>
    <row r="349" spans="2:12" hidden="1" x14ac:dyDescent="0.25">
      <c r="B349" s="1574" t="s">
        <v>5</v>
      </c>
      <c r="C349" s="1547" t="s">
        <v>60</v>
      </c>
      <c r="D349" s="1547"/>
      <c r="E349" s="1574"/>
      <c r="F349" s="1573"/>
      <c r="G349" s="1576"/>
      <c r="H349" s="1577"/>
      <c r="J349" s="1551"/>
      <c r="K349" s="1504"/>
      <c r="L349" s="1504"/>
    </row>
    <row r="350" spans="2:12" hidden="1" x14ac:dyDescent="0.25">
      <c r="B350" s="1562"/>
      <c r="C350" s="1558"/>
      <c r="D350" s="1558"/>
      <c r="E350" s="1562"/>
      <c r="F350" s="3154" t="s">
        <v>61</v>
      </c>
      <c r="G350" s="3154"/>
      <c r="H350" s="1577">
        <v>0</v>
      </c>
      <c r="J350" s="1551"/>
      <c r="K350" s="1504"/>
      <c r="L350" s="1504"/>
    </row>
    <row r="351" spans="2:12" hidden="1" x14ac:dyDescent="0.25">
      <c r="B351" s="1574"/>
      <c r="C351" s="1547"/>
      <c r="D351" s="1547"/>
      <c r="E351" s="1574"/>
      <c r="F351" s="1573"/>
      <c r="G351" s="1576"/>
      <c r="H351" s="1577"/>
      <c r="J351" s="1551"/>
      <c r="K351" s="1504"/>
      <c r="L351" s="1504"/>
    </row>
    <row r="352" spans="2:12" hidden="1" x14ac:dyDescent="0.25">
      <c r="B352" s="1574" t="s">
        <v>6</v>
      </c>
      <c r="C352" s="3154" t="s">
        <v>62</v>
      </c>
      <c r="D352" s="3154"/>
      <c r="E352" s="3154"/>
      <c r="F352" s="3154"/>
      <c r="G352" s="3154"/>
      <c r="H352" s="1598">
        <f>H342+H348+H350</f>
        <v>3740000</v>
      </c>
      <c r="J352" s="1551"/>
      <c r="K352" s="1504"/>
      <c r="L352" s="1504"/>
    </row>
    <row r="353" spans="2:12" hidden="1" x14ac:dyDescent="0.25">
      <c r="B353" s="1574" t="s">
        <v>7</v>
      </c>
      <c r="C353" s="1547" t="s">
        <v>100</v>
      </c>
      <c r="D353" s="1547"/>
      <c r="E353" s="1579"/>
      <c r="F353" s="1599" t="s">
        <v>100</v>
      </c>
      <c r="G353" s="1600">
        <f>$J$2</f>
        <v>0.15</v>
      </c>
      <c r="H353" s="1598">
        <f>G353*H352</f>
        <v>561000</v>
      </c>
      <c r="J353" s="1551"/>
      <c r="K353" s="1504"/>
      <c r="L353" s="1504"/>
    </row>
    <row r="354" spans="2:12" hidden="1" x14ac:dyDescent="0.25">
      <c r="B354" s="1574" t="s">
        <v>63</v>
      </c>
      <c r="C354" s="3154" t="s">
        <v>64</v>
      </c>
      <c r="D354" s="3154"/>
      <c r="E354" s="3154"/>
      <c r="F354" s="3154"/>
      <c r="G354" s="3154"/>
      <c r="H354" s="1598">
        <f>H353+H352</f>
        <v>4301000</v>
      </c>
      <c r="J354" s="1551"/>
      <c r="K354" s="1504"/>
      <c r="L354" s="1504"/>
    </row>
    <row r="355" spans="2:12" hidden="1" x14ac:dyDescent="0.25">
      <c r="C355" s="1522" t="s">
        <v>878</v>
      </c>
      <c r="D355" s="1523"/>
      <c r="E355" s="1523"/>
      <c r="F355" s="1523"/>
      <c r="G355" s="1523"/>
      <c r="H355" s="1524">
        <f>ROUNDDOWN(H354,2)</f>
        <v>4301000</v>
      </c>
      <c r="J355" s="1551"/>
      <c r="K355" s="1504"/>
      <c r="L355" s="1504"/>
    </row>
    <row r="356" spans="2:12" hidden="1" x14ac:dyDescent="0.25">
      <c r="J356" s="1551"/>
      <c r="K356" s="1504"/>
      <c r="L356" s="1504"/>
    </row>
    <row r="357" spans="2:12" hidden="1" x14ac:dyDescent="0.25">
      <c r="J357" s="1551"/>
      <c r="K357" s="1504"/>
      <c r="L357" s="1504"/>
    </row>
    <row r="358" spans="2:12" x14ac:dyDescent="0.25">
      <c r="J358" s="1551"/>
      <c r="K358" s="1504"/>
      <c r="L358" s="1504"/>
    </row>
    <row r="359" spans="2:12" x14ac:dyDescent="0.25">
      <c r="B359" s="1563" t="s">
        <v>624</v>
      </c>
      <c r="C359" s="1594" t="s">
        <v>1575</v>
      </c>
      <c r="D359" s="1581"/>
      <c r="E359" s="1582"/>
      <c r="F359" s="1583"/>
      <c r="G359" s="1584"/>
      <c r="H359" s="1585"/>
      <c r="J359" s="1551"/>
      <c r="K359" s="1504"/>
      <c r="L359" s="1504"/>
    </row>
    <row r="360" spans="2:12" ht="27" x14ac:dyDescent="0.25">
      <c r="B360" s="1590" t="s">
        <v>12</v>
      </c>
      <c r="C360" s="1590" t="s">
        <v>36</v>
      </c>
      <c r="D360" s="1590" t="s">
        <v>37</v>
      </c>
      <c r="E360" s="1590" t="s">
        <v>14</v>
      </c>
      <c r="F360" s="1591" t="s">
        <v>38</v>
      </c>
      <c r="G360" s="1592" t="s">
        <v>39</v>
      </c>
      <c r="H360" s="1593" t="s">
        <v>40</v>
      </c>
    </row>
    <row r="361" spans="2:12" x14ac:dyDescent="0.25">
      <c r="B361" s="1574" t="s">
        <v>41</v>
      </c>
      <c r="C361" s="1547" t="s">
        <v>42</v>
      </c>
      <c r="D361" s="1547"/>
      <c r="E361" s="1574"/>
      <c r="F361" s="1573"/>
      <c r="G361" s="1576"/>
      <c r="H361" s="1577"/>
    </row>
    <row r="362" spans="2:12" x14ac:dyDescent="0.25">
      <c r="B362" s="1574"/>
      <c r="C362" s="1588" t="s">
        <v>43</v>
      </c>
      <c r="D362" s="1595" t="s">
        <v>44</v>
      </c>
      <c r="E362" s="1595" t="s">
        <v>618</v>
      </c>
      <c r="F362" s="1596">
        <v>0.35</v>
      </c>
      <c r="G362" s="1565">
        <f>G88</f>
        <v>115000</v>
      </c>
      <c r="H362" s="1597">
        <f>F362*G362</f>
        <v>40250</v>
      </c>
    </row>
    <row r="363" spans="2:12" x14ac:dyDescent="0.25">
      <c r="B363" s="1574"/>
      <c r="C363" s="1588" t="s">
        <v>97</v>
      </c>
      <c r="D363" s="1595" t="s">
        <v>47</v>
      </c>
      <c r="E363" s="1595" t="s">
        <v>618</v>
      </c>
      <c r="F363" s="1596">
        <v>0.35</v>
      </c>
      <c r="G363" s="1565">
        <f t="shared" ref="G363:G365" si="10">G89</f>
        <v>170000</v>
      </c>
      <c r="H363" s="1597">
        <f>F363*G363</f>
        <v>59499.999999999993</v>
      </c>
    </row>
    <row r="364" spans="2:12" x14ac:dyDescent="0.25">
      <c r="B364" s="1574"/>
      <c r="C364" s="1588" t="s">
        <v>48</v>
      </c>
      <c r="D364" s="1595" t="s">
        <v>49</v>
      </c>
      <c r="E364" s="1595" t="s">
        <v>618</v>
      </c>
      <c r="F364" s="1596">
        <v>3.5000000000000003E-2</v>
      </c>
      <c r="G364" s="1565">
        <f t="shared" si="10"/>
        <v>185000</v>
      </c>
      <c r="H364" s="1597">
        <f>F364*G364</f>
        <v>6475.0000000000009</v>
      </c>
    </row>
    <row r="365" spans="2:12" x14ac:dyDescent="0.25">
      <c r="B365" s="1574"/>
      <c r="C365" s="1588" t="s">
        <v>50</v>
      </c>
      <c r="D365" s="1595" t="s">
        <v>51</v>
      </c>
      <c r="E365" s="1595" t="s">
        <v>618</v>
      </c>
      <c r="F365" s="1596">
        <v>1.7999999999999999E-2</v>
      </c>
      <c r="G365" s="1565">
        <f t="shared" si="10"/>
        <v>200000</v>
      </c>
      <c r="H365" s="1597">
        <f>F365*G365</f>
        <v>3599.9999999999995</v>
      </c>
    </row>
    <row r="366" spans="2:12" x14ac:dyDescent="0.25">
      <c r="B366" s="1574"/>
      <c r="C366" s="1547"/>
      <c r="D366" s="1558"/>
      <c r="E366" s="1562"/>
      <c r="F366" s="3154" t="s">
        <v>52</v>
      </c>
      <c r="G366" s="3154"/>
      <c r="H366" s="1587">
        <f>SUM(H362:H365)</f>
        <v>109825</v>
      </c>
    </row>
    <row r="367" spans="2:12" x14ac:dyDescent="0.25">
      <c r="B367" s="1574" t="s">
        <v>53</v>
      </c>
      <c r="C367" s="1547" t="s">
        <v>54</v>
      </c>
      <c r="D367" s="1547"/>
      <c r="E367" s="1574"/>
      <c r="F367" s="1573"/>
      <c r="G367" s="1576"/>
      <c r="H367" s="1577"/>
    </row>
    <row r="368" spans="2:12" x14ac:dyDescent="0.25">
      <c r="B368" s="2977"/>
      <c r="C368" s="1541" t="s">
        <v>1547</v>
      </c>
      <c r="D368" s="1504"/>
      <c r="E368" s="2977" t="s">
        <v>128</v>
      </c>
      <c r="F368" s="1589">
        <v>4.2</v>
      </c>
      <c r="G368" s="1507">
        <f>BAHAN!G37</f>
        <v>27200</v>
      </c>
      <c r="H368" s="1508">
        <f>F368*G368</f>
        <v>114240</v>
      </c>
    </row>
    <row r="369" spans="2:8" x14ac:dyDescent="0.25">
      <c r="B369" s="2977"/>
      <c r="C369" s="1541" t="s">
        <v>1550</v>
      </c>
      <c r="D369" s="1504"/>
      <c r="E369" s="2977" t="s">
        <v>113</v>
      </c>
      <c r="F369" s="1589">
        <v>1.05</v>
      </c>
      <c r="G369" s="1507">
        <f>BAHAN!G53</f>
        <v>45000</v>
      </c>
      <c r="H369" s="1508">
        <f>F369*G369</f>
        <v>47250</v>
      </c>
    </row>
    <row r="370" spans="2:8" x14ac:dyDescent="0.25">
      <c r="B370" s="2977"/>
      <c r="C370" s="1541" t="s">
        <v>1548</v>
      </c>
      <c r="D370" s="1504"/>
      <c r="E370" s="2977" t="s">
        <v>326</v>
      </c>
      <c r="F370" s="1589" t="s">
        <v>1549</v>
      </c>
      <c r="G370" s="1507">
        <f>H368*35%</f>
        <v>39984</v>
      </c>
      <c r="H370" s="1508">
        <f>G370</f>
        <v>39984</v>
      </c>
    </row>
    <row r="371" spans="2:8" x14ac:dyDescent="0.25">
      <c r="B371" s="1574"/>
      <c r="C371" s="1547"/>
      <c r="D371" s="1558"/>
      <c r="E371" s="1562"/>
      <c r="F371" s="3154" t="s">
        <v>59</v>
      </c>
      <c r="G371" s="3154"/>
      <c r="H371" s="1577">
        <f>SUM(H368:H370)</f>
        <v>201474</v>
      </c>
    </row>
    <row r="372" spans="2:8" x14ac:dyDescent="0.25">
      <c r="B372" s="1574" t="s">
        <v>5</v>
      </c>
      <c r="C372" s="1547" t="s">
        <v>60</v>
      </c>
      <c r="D372" s="1547"/>
      <c r="E372" s="1574"/>
      <c r="F372" s="1573"/>
      <c r="G372" s="1576"/>
      <c r="H372" s="1577"/>
    </row>
    <row r="373" spans="2:8" x14ac:dyDescent="0.25">
      <c r="B373" s="1562"/>
      <c r="C373" s="1558"/>
      <c r="D373" s="1558"/>
      <c r="E373" s="1562"/>
      <c r="F373" s="3154" t="s">
        <v>61</v>
      </c>
      <c r="G373" s="3154"/>
      <c r="H373" s="1577">
        <v>0</v>
      </c>
    </row>
    <row r="374" spans="2:8" x14ac:dyDescent="0.25">
      <c r="B374" s="1574"/>
      <c r="C374" s="1547"/>
      <c r="D374" s="1547"/>
      <c r="E374" s="1574"/>
      <c r="F374" s="1573"/>
      <c r="G374" s="1576"/>
      <c r="H374" s="1577"/>
    </row>
    <row r="375" spans="2:8" x14ac:dyDescent="0.25">
      <c r="B375" s="1574" t="s">
        <v>6</v>
      </c>
      <c r="C375" s="3154" t="s">
        <v>62</v>
      </c>
      <c r="D375" s="3154"/>
      <c r="E375" s="3154"/>
      <c r="F375" s="3154"/>
      <c r="G375" s="3154"/>
      <c r="H375" s="1598">
        <f>H366+H371+H373</f>
        <v>311299</v>
      </c>
    </row>
    <row r="376" spans="2:8" x14ac:dyDescent="0.25">
      <c r="B376" s="1574" t="s">
        <v>7</v>
      </c>
      <c r="C376" s="1547" t="s">
        <v>100</v>
      </c>
      <c r="D376" s="1547"/>
      <c r="E376" s="2979"/>
      <c r="F376" s="1599" t="s">
        <v>100</v>
      </c>
      <c r="G376" s="1600">
        <f>$J$2</f>
        <v>0.15</v>
      </c>
      <c r="H376" s="1598">
        <f>G376*H375</f>
        <v>46694.85</v>
      </c>
    </row>
    <row r="377" spans="2:8" x14ac:dyDescent="0.25">
      <c r="B377" s="1574" t="s">
        <v>63</v>
      </c>
      <c r="C377" s="3154" t="s">
        <v>64</v>
      </c>
      <c r="D377" s="3154"/>
      <c r="E377" s="3154"/>
      <c r="F377" s="3154"/>
      <c r="G377" s="3154"/>
      <c r="H377" s="1598">
        <f>H376+H375</f>
        <v>357993.85</v>
      </c>
    </row>
    <row r="378" spans="2:8" x14ac:dyDescent="0.25">
      <c r="B378" s="2978"/>
      <c r="C378" s="1522" t="s">
        <v>878</v>
      </c>
      <c r="D378" s="1523"/>
      <c r="E378" s="1523"/>
      <c r="F378" s="1523"/>
      <c r="G378" s="1523"/>
      <c r="H378" s="1524">
        <f>ROUNDDOWN(H377,2)</f>
        <v>357993.85</v>
      </c>
    </row>
  </sheetData>
  <mergeCells count="80">
    <mergeCell ref="F366:G366"/>
    <mergeCell ref="F371:G371"/>
    <mergeCell ref="F373:G373"/>
    <mergeCell ref="C375:G375"/>
    <mergeCell ref="C377:G377"/>
    <mergeCell ref="C80:G80"/>
    <mergeCell ref="C81:E81"/>
    <mergeCell ref="F81:G81"/>
    <mergeCell ref="C82:G82"/>
    <mergeCell ref="F58:G58"/>
    <mergeCell ref="C62:G62"/>
    <mergeCell ref="C63:E63"/>
    <mergeCell ref="C64:G64"/>
    <mergeCell ref="F71:G71"/>
    <mergeCell ref="F76:G76"/>
    <mergeCell ref="F342:G342"/>
    <mergeCell ref="F348:G348"/>
    <mergeCell ref="F350:G350"/>
    <mergeCell ref="C352:G352"/>
    <mergeCell ref="C354:G354"/>
    <mergeCell ref="C102:G102"/>
    <mergeCell ref="F92:G92"/>
    <mergeCell ref="F96:G96"/>
    <mergeCell ref="F98:G98"/>
    <mergeCell ref="C100:G100"/>
    <mergeCell ref="F41:G41"/>
    <mergeCell ref="B1:H2"/>
    <mergeCell ref="F15:G15"/>
    <mergeCell ref="F20:G20"/>
    <mergeCell ref="C24:G24"/>
    <mergeCell ref="C25:E25"/>
    <mergeCell ref="F25:G25"/>
    <mergeCell ref="C26:G26"/>
    <mergeCell ref="F36:G36"/>
    <mergeCell ref="F54:G54"/>
    <mergeCell ref="F63:G63"/>
    <mergeCell ref="C45:G45"/>
    <mergeCell ref="C46:E46"/>
    <mergeCell ref="F46:G46"/>
    <mergeCell ref="C47:G47"/>
    <mergeCell ref="F109:G109"/>
    <mergeCell ref="F113:G113"/>
    <mergeCell ref="F115:G115"/>
    <mergeCell ref="C117:G117"/>
    <mergeCell ref="C119:G119"/>
    <mergeCell ref="F164:G164"/>
    <mergeCell ref="C214:G214"/>
    <mergeCell ref="C216:G216"/>
    <mergeCell ref="F127:G127"/>
    <mergeCell ref="F150:G150"/>
    <mergeCell ref="C152:G152"/>
    <mergeCell ref="C154:G154"/>
    <mergeCell ref="F180:G180"/>
    <mergeCell ref="C184:G184"/>
    <mergeCell ref="C186:G186"/>
    <mergeCell ref="F196:G196"/>
    <mergeCell ref="F210:G210"/>
    <mergeCell ref="F212:G212"/>
    <mergeCell ref="F148:G148"/>
    <mergeCell ref="F308:G308"/>
    <mergeCell ref="C310:G310"/>
    <mergeCell ref="C312:G312"/>
    <mergeCell ref="F322:G322"/>
    <mergeCell ref="F182:G182"/>
    <mergeCell ref="F328:G328"/>
    <mergeCell ref="C330:G330"/>
    <mergeCell ref="C332:G332"/>
    <mergeCell ref="F226:G226"/>
    <mergeCell ref="F242:G242"/>
    <mergeCell ref="F244:G244"/>
    <mergeCell ref="C246:G246"/>
    <mergeCell ref="C248:G248"/>
    <mergeCell ref="F258:G258"/>
    <mergeCell ref="F274:G274"/>
    <mergeCell ref="F276:G276"/>
    <mergeCell ref="C278:G278"/>
    <mergeCell ref="F326:G326"/>
    <mergeCell ref="C280:G280"/>
    <mergeCell ref="F290:G290"/>
    <mergeCell ref="F306:G306"/>
  </mergeCells>
  <printOptions horizontalCentered="1"/>
  <pageMargins left="0.33" right="0.2" top="0.5" bottom="0.05" header="0" footer="0"/>
  <pageSetup paperSize="10002" scale="80" fitToWidth="0" fitToHeight="0" orientation="portrait" horizontalDpi="4294967293" r:id="rId1"/>
  <rowBreaks count="2" manualBreakCount="2">
    <brk id="66" min="1" max="7" man="1"/>
    <brk id="358" min="1" max="7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55"/>
  <sheetViews>
    <sheetView showGridLines="0" view="pageBreakPreview" topLeftCell="A398" zoomScale="90" zoomScaleSheetLayoutView="90" workbookViewId="0">
      <selection activeCell="L412" sqref="L412"/>
    </sheetView>
  </sheetViews>
  <sheetFormatPr defaultRowHeight="16.5" x14ac:dyDescent="0.3"/>
  <cols>
    <col min="1" max="1" width="2.7109375" style="2008" customWidth="1"/>
    <col min="2" max="2" width="10.7109375" style="2008" customWidth="1"/>
    <col min="3" max="3" width="35.140625" style="2008" customWidth="1"/>
    <col min="4" max="4" width="8.5703125" style="2008" customWidth="1"/>
    <col min="5" max="5" width="9.28515625" style="2008" customWidth="1"/>
    <col min="6" max="6" width="12.140625" style="2008" customWidth="1"/>
    <col min="7" max="7" width="16.85546875" style="2007" customWidth="1"/>
    <col min="8" max="8" width="19" style="2007" customWidth="1"/>
    <col min="9" max="9" width="9.140625" style="2008"/>
    <col min="10" max="10" width="15.28515625" style="2008" customWidth="1"/>
    <col min="11" max="253" width="9.140625" style="2008"/>
    <col min="254" max="254" width="6" style="2008" customWidth="1"/>
    <col min="255" max="255" width="1.7109375" style="2008" customWidth="1"/>
    <col min="256" max="256" width="7.85546875" style="2008" customWidth="1"/>
    <col min="257" max="257" width="7.7109375" style="2008" customWidth="1"/>
    <col min="258" max="258" width="2.140625" style="2008" customWidth="1"/>
    <col min="259" max="259" width="13.5703125" style="2008" customWidth="1"/>
    <col min="260" max="260" width="7.140625" style="2008" customWidth="1"/>
    <col min="261" max="261" width="6.7109375" style="2008" customWidth="1"/>
    <col min="262" max="262" width="9" style="2008" customWidth="1"/>
    <col min="263" max="263" width="14.28515625" style="2008" customWidth="1"/>
    <col min="264" max="264" width="16.28515625" style="2008" customWidth="1"/>
    <col min="265" max="265" width="9.140625" style="2008"/>
    <col min="266" max="266" width="15.28515625" style="2008" customWidth="1"/>
    <col min="267" max="509" width="9.140625" style="2008"/>
    <col min="510" max="510" width="6" style="2008" customWidth="1"/>
    <col min="511" max="511" width="1.7109375" style="2008" customWidth="1"/>
    <col min="512" max="512" width="7.85546875" style="2008" customWidth="1"/>
    <col min="513" max="513" width="7.7109375" style="2008" customWidth="1"/>
    <col min="514" max="514" width="2.140625" style="2008" customWidth="1"/>
    <col min="515" max="515" width="13.5703125" style="2008" customWidth="1"/>
    <col min="516" max="516" width="7.140625" style="2008" customWidth="1"/>
    <col min="517" max="517" width="6.7109375" style="2008" customWidth="1"/>
    <col min="518" max="518" width="9" style="2008" customWidth="1"/>
    <col min="519" max="519" width="14.28515625" style="2008" customWidth="1"/>
    <col min="520" max="520" width="16.28515625" style="2008" customWidth="1"/>
    <col min="521" max="521" width="9.140625" style="2008"/>
    <col min="522" max="522" width="15.28515625" style="2008" customWidth="1"/>
    <col min="523" max="765" width="9.140625" style="2008"/>
    <col min="766" max="766" width="6" style="2008" customWidth="1"/>
    <col min="767" max="767" width="1.7109375" style="2008" customWidth="1"/>
    <col min="768" max="768" width="7.85546875" style="2008" customWidth="1"/>
    <col min="769" max="769" width="7.7109375" style="2008" customWidth="1"/>
    <col min="770" max="770" width="2.140625" style="2008" customWidth="1"/>
    <col min="771" max="771" width="13.5703125" style="2008" customWidth="1"/>
    <col min="772" max="772" width="7.140625" style="2008" customWidth="1"/>
    <col min="773" max="773" width="6.7109375" style="2008" customWidth="1"/>
    <col min="774" max="774" width="9" style="2008" customWidth="1"/>
    <col min="775" max="775" width="14.28515625" style="2008" customWidth="1"/>
    <col min="776" max="776" width="16.28515625" style="2008" customWidth="1"/>
    <col min="777" max="777" width="9.140625" style="2008"/>
    <col min="778" max="778" width="15.28515625" style="2008" customWidth="1"/>
    <col min="779" max="1021" width="9.140625" style="2008"/>
    <col min="1022" max="1022" width="6" style="2008" customWidth="1"/>
    <col min="1023" max="1023" width="1.7109375" style="2008" customWidth="1"/>
    <col min="1024" max="1024" width="7.85546875" style="2008" customWidth="1"/>
    <col min="1025" max="1025" width="7.7109375" style="2008" customWidth="1"/>
    <col min="1026" max="1026" width="2.140625" style="2008" customWidth="1"/>
    <col min="1027" max="1027" width="13.5703125" style="2008" customWidth="1"/>
    <col min="1028" max="1028" width="7.140625" style="2008" customWidth="1"/>
    <col min="1029" max="1029" width="6.7109375" style="2008" customWidth="1"/>
    <col min="1030" max="1030" width="9" style="2008" customWidth="1"/>
    <col min="1031" max="1031" width="14.28515625" style="2008" customWidth="1"/>
    <col min="1032" max="1032" width="16.28515625" style="2008" customWidth="1"/>
    <col min="1033" max="1033" width="9.140625" style="2008"/>
    <col min="1034" max="1034" width="15.28515625" style="2008" customWidth="1"/>
    <col min="1035" max="1277" width="9.140625" style="2008"/>
    <col min="1278" max="1278" width="6" style="2008" customWidth="1"/>
    <col min="1279" max="1279" width="1.7109375" style="2008" customWidth="1"/>
    <col min="1280" max="1280" width="7.85546875" style="2008" customWidth="1"/>
    <col min="1281" max="1281" width="7.7109375" style="2008" customWidth="1"/>
    <col min="1282" max="1282" width="2.140625" style="2008" customWidth="1"/>
    <col min="1283" max="1283" width="13.5703125" style="2008" customWidth="1"/>
    <col min="1284" max="1284" width="7.140625" style="2008" customWidth="1"/>
    <col min="1285" max="1285" width="6.7109375" style="2008" customWidth="1"/>
    <col min="1286" max="1286" width="9" style="2008" customWidth="1"/>
    <col min="1287" max="1287" width="14.28515625" style="2008" customWidth="1"/>
    <col min="1288" max="1288" width="16.28515625" style="2008" customWidth="1"/>
    <col min="1289" max="1289" width="9.140625" style="2008"/>
    <col min="1290" max="1290" width="15.28515625" style="2008" customWidth="1"/>
    <col min="1291" max="1533" width="9.140625" style="2008"/>
    <col min="1534" max="1534" width="6" style="2008" customWidth="1"/>
    <col min="1535" max="1535" width="1.7109375" style="2008" customWidth="1"/>
    <col min="1536" max="1536" width="7.85546875" style="2008" customWidth="1"/>
    <col min="1537" max="1537" width="7.7109375" style="2008" customWidth="1"/>
    <col min="1538" max="1538" width="2.140625" style="2008" customWidth="1"/>
    <col min="1539" max="1539" width="13.5703125" style="2008" customWidth="1"/>
    <col min="1540" max="1540" width="7.140625" style="2008" customWidth="1"/>
    <col min="1541" max="1541" width="6.7109375" style="2008" customWidth="1"/>
    <col min="1542" max="1542" width="9" style="2008" customWidth="1"/>
    <col min="1543" max="1543" width="14.28515625" style="2008" customWidth="1"/>
    <col min="1544" max="1544" width="16.28515625" style="2008" customWidth="1"/>
    <col min="1545" max="1545" width="9.140625" style="2008"/>
    <col min="1546" max="1546" width="15.28515625" style="2008" customWidth="1"/>
    <col min="1547" max="1789" width="9.140625" style="2008"/>
    <col min="1790" max="1790" width="6" style="2008" customWidth="1"/>
    <col min="1791" max="1791" width="1.7109375" style="2008" customWidth="1"/>
    <col min="1792" max="1792" width="7.85546875" style="2008" customWidth="1"/>
    <col min="1793" max="1793" width="7.7109375" style="2008" customWidth="1"/>
    <col min="1794" max="1794" width="2.140625" style="2008" customWidth="1"/>
    <col min="1795" max="1795" width="13.5703125" style="2008" customWidth="1"/>
    <col min="1796" max="1796" width="7.140625" style="2008" customWidth="1"/>
    <col min="1797" max="1797" width="6.7109375" style="2008" customWidth="1"/>
    <col min="1798" max="1798" width="9" style="2008" customWidth="1"/>
    <col min="1799" max="1799" width="14.28515625" style="2008" customWidth="1"/>
    <col min="1800" max="1800" width="16.28515625" style="2008" customWidth="1"/>
    <col min="1801" max="1801" width="9.140625" style="2008"/>
    <col min="1802" max="1802" width="15.28515625" style="2008" customWidth="1"/>
    <col min="1803" max="2045" width="9.140625" style="2008"/>
    <col min="2046" max="2046" width="6" style="2008" customWidth="1"/>
    <col min="2047" max="2047" width="1.7109375" style="2008" customWidth="1"/>
    <col min="2048" max="2048" width="7.85546875" style="2008" customWidth="1"/>
    <col min="2049" max="2049" width="7.7109375" style="2008" customWidth="1"/>
    <col min="2050" max="2050" width="2.140625" style="2008" customWidth="1"/>
    <col min="2051" max="2051" width="13.5703125" style="2008" customWidth="1"/>
    <col min="2052" max="2052" width="7.140625" style="2008" customWidth="1"/>
    <col min="2053" max="2053" width="6.7109375" style="2008" customWidth="1"/>
    <col min="2054" max="2054" width="9" style="2008" customWidth="1"/>
    <col min="2055" max="2055" width="14.28515625" style="2008" customWidth="1"/>
    <col min="2056" max="2056" width="16.28515625" style="2008" customWidth="1"/>
    <col min="2057" max="2057" width="9.140625" style="2008"/>
    <col min="2058" max="2058" width="15.28515625" style="2008" customWidth="1"/>
    <col min="2059" max="2301" width="9.140625" style="2008"/>
    <col min="2302" max="2302" width="6" style="2008" customWidth="1"/>
    <col min="2303" max="2303" width="1.7109375" style="2008" customWidth="1"/>
    <col min="2304" max="2304" width="7.85546875" style="2008" customWidth="1"/>
    <col min="2305" max="2305" width="7.7109375" style="2008" customWidth="1"/>
    <col min="2306" max="2306" width="2.140625" style="2008" customWidth="1"/>
    <col min="2307" max="2307" width="13.5703125" style="2008" customWidth="1"/>
    <col min="2308" max="2308" width="7.140625" style="2008" customWidth="1"/>
    <col min="2309" max="2309" width="6.7109375" style="2008" customWidth="1"/>
    <col min="2310" max="2310" width="9" style="2008" customWidth="1"/>
    <col min="2311" max="2311" width="14.28515625" style="2008" customWidth="1"/>
    <col min="2312" max="2312" width="16.28515625" style="2008" customWidth="1"/>
    <col min="2313" max="2313" width="9.140625" style="2008"/>
    <col min="2314" max="2314" width="15.28515625" style="2008" customWidth="1"/>
    <col min="2315" max="2557" width="9.140625" style="2008"/>
    <col min="2558" max="2558" width="6" style="2008" customWidth="1"/>
    <col min="2559" max="2559" width="1.7109375" style="2008" customWidth="1"/>
    <col min="2560" max="2560" width="7.85546875" style="2008" customWidth="1"/>
    <col min="2561" max="2561" width="7.7109375" style="2008" customWidth="1"/>
    <col min="2562" max="2562" width="2.140625" style="2008" customWidth="1"/>
    <col min="2563" max="2563" width="13.5703125" style="2008" customWidth="1"/>
    <col min="2564" max="2564" width="7.140625" style="2008" customWidth="1"/>
    <col min="2565" max="2565" width="6.7109375" style="2008" customWidth="1"/>
    <col min="2566" max="2566" width="9" style="2008" customWidth="1"/>
    <col min="2567" max="2567" width="14.28515625" style="2008" customWidth="1"/>
    <col min="2568" max="2568" width="16.28515625" style="2008" customWidth="1"/>
    <col min="2569" max="2569" width="9.140625" style="2008"/>
    <col min="2570" max="2570" width="15.28515625" style="2008" customWidth="1"/>
    <col min="2571" max="2813" width="9.140625" style="2008"/>
    <col min="2814" max="2814" width="6" style="2008" customWidth="1"/>
    <col min="2815" max="2815" width="1.7109375" style="2008" customWidth="1"/>
    <col min="2816" max="2816" width="7.85546875" style="2008" customWidth="1"/>
    <col min="2817" max="2817" width="7.7109375" style="2008" customWidth="1"/>
    <col min="2818" max="2818" width="2.140625" style="2008" customWidth="1"/>
    <col min="2819" max="2819" width="13.5703125" style="2008" customWidth="1"/>
    <col min="2820" max="2820" width="7.140625" style="2008" customWidth="1"/>
    <col min="2821" max="2821" width="6.7109375" style="2008" customWidth="1"/>
    <col min="2822" max="2822" width="9" style="2008" customWidth="1"/>
    <col min="2823" max="2823" width="14.28515625" style="2008" customWidth="1"/>
    <col min="2824" max="2824" width="16.28515625" style="2008" customWidth="1"/>
    <col min="2825" max="2825" width="9.140625" style="2008"/>
    <col min="2826" max="2826" width="15.28515625" style="2008" customWidth="1"/>
    <col min="2827" max="3069" width="9.140625" style="2008"/>
    <col min="3070" max="3070" width="6" style="2008" customWidth="1"/>
    <col min="3071" max="3071" width="1.7109375" style="2008" customWidth="1"/>
    <col min="3072" max="3072" width="7.85546875" style="2008" customWidth="1"/>
    <col min="3073" max="3073" width="7.7109375" style="2008" customWidth="1"/>
    <col min="3074" max="3074" width="2.140625" style="2008" customWidth="1"/>
    <col min="3075" max="3075" width="13.5703125" style="2008" customWidth="1"/>
    <col min="3076" max="3076" width="7.140625" style="2008" customWidth="1"/>
    <col min="3077" max="3077" width="6.7109375" style="2008" customWidth="1"/>
    <col min="3078" max="3078" width="9" style="2008" customWidth="1"/>
    <col min="3079" max="3079" width="14.28515625" style="2008" customWidth="1"/>
    <col min="3080" max="3080" width="16.28515625" style="2008" customWidth="1"/>
    <col min="3081" max="3081" width="9.140625" style="2008"/>
    <col min="3082" max="3082" width="15.28515625" style="2008" customWidth="1"/>
    <col min="3083" max="3325" width="9.140625" style="2008"/>
    <col min="3326" max="3326" width="6" style="2008" customWidth="1"/>
    <col min="3327" max="3327" width="1.7109375" style="2008" customWidth="1"/>
    <col min="3328" max="3328" width="7.85546875" style="2008" customWidth="1"/>
    <col min="3329" max="3329" width="7.7109375" style="2008" customWidth="1"/>
    <col min="3330" max="3330" width="2.140625" style="2008" customWidth="1"/>
    <col min="3331" max="3331" width="13.5703125" style="2008" customWidth="1"/>
    <col min="3332" max="3332" width="7.140625" style="2008" customWidth="1"/>
    <col min="3333" max="3333" width="6.7109375" style="2008" customWidth="1"/>
    <col min="3334" max="3334" width="9" style="2008" customWidth="1"/>
    <col min="3335" max="3335" width="14.28515625" style="2008" customWidth="1"/>
    <col min="3336" max="3336" width="16.28515625" style="2008" customWidth="1"/>
    <col min="3337" max="3337" width="9.140625" style="2008"/>
    <col min="3338" max="3338" width="15.28515625" style="2008" customWidth="1"/>
    <col min="3339" max="3581" width="9.140625" style="2008"/>
    <col min="3582" max="3582" width="6" style="2008" customWidth="1"/>
    <col min="3583" max="3583" width="1.7109375" style="2008" customWidth="1"/>
    <col min="3584" max="3584" width="7.85546875" style="2008" customWidth="1"/>
    <col min="3585" max="3585" width="7.7109375" style="2008" customWidth="1"/>
    <col min="3586" max="3586" width="2.140625" style="2008" customWidth="1"/>
    <col min="3587" max="3587" width="13.5703125" style="2008" customWidth="1"/>
    <col min="3588" max="3588" width="7.140625" style="2008" customWidth="1"/>
    <col min="3589" max="3589" width="6.7109375" style="2008" customWidth="1"/>
    <col min="3590" max="3590" width="9" style="2008" customWidth="1"/>
    <col min="3591" max="3591" width="14.28515625" style="2008" customWidth="1"/>
    <col min="3592" max="3592" width="16.28515625" style="2008" customWidth="1"/>
    <col min="3593" max="3593" width="9.140625" style="2008"/>
    <col min="3594" max="3594" width="15.28515625" style="2008" customWidth="1"/>
    <col min="3595" max="3837" width="9.140625" style="2008"/>
    <col min="3838" max="3838" width="6" style="2008" customWidth="1"/>
    <col min="3839" max="3839" width="1.7109375" style="2008" customWidth="1"/>
    <col min="3840" max="3840" width="7.85546875" style="2008" customWidth="1"/>
    <col min="3841" max="3841" width="7.7109375" style="2008" customWidth="1"/>
    <col min="3842" max="3842" width="2.140625" style="2008" customWidth="1"/>
    <col min="3843" max="3843" width="13.5703125" style="2008" customWidth="1"/>
    <col min="3844" max="3844" width="7.140625" style="2008" customWidth="1"/>
    <col min="3845" max="3845" width="6.7109375" style="2008" customWidth="1"/>
    <col min="3846" max="3846" width="9" style="2008" customWidth="1"/>
    <col min="3847" max="3847" width="14.28515625" style="2008" customWidth="1"/>
    <col min="3848" max="3848" width="16.28515625" style="2008" customWidth="1"/>
    <col min="3849" max="3849" width="9.140625" style="2008"/>
    <col min="3850" max="3850" width="15.28515625" style="2008" customWidth="1"/>
    <col min="3851" max="4093" width="9.140625" style="2008"/>
    <col min="4094" max="4094" width="6" style="2008" customWidth="1"/>
    <col min="4095" max="4095" width="1.7109375" style="2008" customWidth="1"/>
    <col min="4096" max="4096" width="7.85546875" style="2008" customWidth="1"/>
    <col min="4097" max="4097" width="7.7109375" style="2008" customWidth="1"/>
    <col min="4098" max="4098" width="2.140625" style="2008" customWidth="1"/>
    <col min="4099" max="4099" width="13.5703125" style="2008" customWidth="1"/>
    <col min="4100" max="4100" width="7.140625" style="2008" customWidth="1"/>
    <col min="4101" max="4101" width="6.7109375" style="2008" customWidth="1"/>
    <col min="4102" max="4102" width="9" style="2008" customWidth="1"/>
    <col min="4103" max="4103" width="14.28515625" style="2008" customWidth="1"/>
    <col min="4104" max="4104" width="16.28515625" style="2008" customWidth="1"/>
    <col min="4105" max="4105" width="9.140625" style="2008"/>
    <col min="4106" max="4106" width="15.28515625" style="2008" customWidth="1"/>
    <col min="4107" max="4349" width="9.140625" style="2008"/>
    <col min="4350" max="4350" width="6" style="2008" customWidth="1"/>
    <col min="4351" max="4351" width="1.7109375" style="2008" customWidth="1"/>
    <col min="4352" max="4352" width="7.85546875" style="2008" customWidth="1"/>
    <col min="4353" max="4353" width="7.7109375" style="2008" customWidth="1"/>
    <col min="4354" max="4354" width="2.140625" style="2008" customWidth="1"/>
    <col min="4355" max="4355" width="13.5703125" style="2008" customWidth="1"/>
    <col min="4356" max="4356" width="7.140625" style="2008" customWidth="1"/>
    <col min="4357" max="4357" width="6.7109375" style="2008" customWidth="1"/>
    <col min="4358" max="4358" width="9" style="2008" customWidth="1"/>
    <col min="4359" max="4359" width="14.28515625" style="2008" customWidth="1"/>
    <col min="4360" max="4360" width="16.28515625" style="2008" customWidth="1"/>
    <col min="4361" max="4361" width="9.140625" style="2008"/>
    <col min="4362" max="4362" width="15.28515625" style="2008" customWidth="1"/>
    <col min="4363" max="4605" width="9.140625" style="2008"/>
    <col min="4606" max="4606" width="6" style="2008" customWidth="1"/>
    <col min="4607" max="4607" width="1.7109375" style="2008" customWidth="1"/>
    <col min="4608" max="4608" width="7.85546875" style="2008" customWidth="1"/>
    <col min="4609" max="4609" width="7.7109375" style="2008" customWidth="1"/>
    <col min="4610" max="4610" width="2.140625" style="2008" customWidth="1"/>
    <col min="4611" max="4611" width="13.5703125" style="2008" customWidth="1"/>
    <col min="4612" max="4612" width="7.140625" style="2008" customWidth="1"/>
    <col min="4613" max="4613" width="6.7109375" style="2008" customWidth="1"/>
    <col min="4614" max="4614" width="9" style="2008" customWidth="1"/>
    <col min="4615" max="4615" width="14.28515625" style="2008" customWidth="1"/>
    <col min="4616" max="4616" width="16.28515625" style="2008" customWidth="1"/>
    <col min="4617" max="4617" width="9.140625" style="2008"/>
    <col min="4618" max="4618" width="15.28515625" style="2008" customWidth="1"/>
    <col min="4619" max="4861" width="9.140625" style="2008"/>
    <col min="4862" max="4862" width="6" style="2008" customWidth="1"/>
    <col min="4863" max="4863" width="1.7109375" style="2008" customWidth="1"/>
    <col min="4864" max="4864" width="7.85546875" style="2008" customWidth="1"/>
    <col min="4865" max="4865" width="7.7109375" style="2008" customWidth="1"/>
    <col min="4866" max="4866" width="2.140625" style="2008" customWidth="1"/>
    <col min="4867" max="4867" width="13.5703125" style="2008" customWidth="1"/>
    <col min="4868" max="4868" width="7.140625" style="2008" customWidth="1"/>
    <col min="4869" max="4869" width="6.7109375" style="2008" customWidth="1"/>
    <col min="4870" max="4870" width="9" style="2008" customWidth="1"/>
    <col min="4871" max="4871" width="14.28515625" style="2008" customWidth="1"/>
    <col min="4872" max="4872" width="16.28515625" style="2008" customWidth="1"/>
    <col min="4873" max="4873" width="9.140625" style="2008"/>
    <col min="4874" max="4874" width="15.28515625" style="2008" customWidth="1"/>
    <col min="4875" max="5117" width="9.140625" style="2008"/>
    <col min="5118" max="5118" width="6" style="2008" customWidth="1"/>
    <col min="5119" max="5119" width="1.7109375" style="2008" customWidth="1"/>
    <col min="5120" max="5120" width="7.85546875" style="2008" customWidth="1"/>
    <col min="5121" max="5121" width="7.7109375" style="2008" customWidth="1"/>
    <col min="5122" max="5122" width="2.140625" style="2008" customWidth="1"/>
    <col min="5123" max="5123" width="13.5703125" style="2008" customWidth="1"/>
    <col min="5124" max="5124" width="7.140625" style="2008" customWidth="1"/>
    <col min="5125" max="5125" width="6.7109375" style="2008" customWidth="1"/>
    <col min="5126" max="5126" width="9" style="2008" customWidth="1"/>
    <col min="5127" max="5127" width="14.28515625" style="2008" customWidth="1"/>
    <col min="5128" max="5128" width="16.28515625" style="2008" customWidth="1"/>
    <col min="5129" max="5129" width="9.140625" style="2008"/>
    <col min="5130" max="5130" width="15.28515625" style="2008" customWidth="1"/>
    <col min="5131" max="5373" width="9.140625" style="2008"/>
    <col min="5374" max="5374" width="6" style="2008" customWidth="1"/>
    <col min="5375" max="5375" width="1.7109375" style="2008" customWidth="1"/>
    <col min="5376" max="5376" width="7.85546875" style="2008" customWidth="1"/>
    <col min="5377" max="5377" width="7.7109375" style="2008" customWidth="1"/>
    <col min="5378" max="5378" width="2.140625" style="2008" customWidth="1"/>
    <col min="5379" max="5379" width="13.5703125" style="2008" customWidth="1"/>
    <col min="5380" max="5380" width="7.140625" style="2008" customWidth="1"/>
    <col min="5381" max="5381" width="6.7109375" style="2008" customWidth="1"/>
    <col min="5382" max="5382" width="9" style="2008" customWidth="1"/>
    <col min="5383" max="5383" width="14.28515625" style="2008" customWidth="1"/>
    <col min="5384" max="5384" width="16.28515625" style="2008" customWidth="1"/>
    <col min="5385" max="5385" width="9.140625" style="2008"/>
    <col min="5386" max="5386" width="15.28515625" style="2008" customWidth="1"/>
    <col min="5387" max="5629" width="9.140625" style="2008"/>
    <col min="5630" max="5630" width="6" style="2008" customWidth="1"/>
    <col min="5631" max="5631" width="1.7109375" style="2008" customWidth="1"/>
    <col min="5632" max="5632" width="7.85546875" style="2008" customWidth="1"/>
    <col min="5633" max="5633" width="7.7109375" style="2008" customWidth="1"/>
    <col min="5634" max="5634" width="2.140625" style="2008" customWidth="1"/>
    <col min="5635" max="5635" width="13.5703125" style="2008" customWidth="1"/>
    <col min="5636" max="5636" width="7.140625" style="2008" customWidth="1"/>
    <col min="5637" max="5637" width="6.7109375" style="2008" customWidth="1"/>
    <col min="5638" max="5638" width="9" style="2008" customWidth="1"/>
    <col min="5639" max="5639" width="14.28515625" style="2008" customWidth="1"/>
    <col min="5640" max="5640" width="16.28515625" style="2008" customWidth="1"/>
    <col min="5641" max="5641" width="9.140625" style="2008"/>
    <col min="5642" max="5642" width="15.28515625" style="2008" customWidth="1"/>
    <col min="5643" max="5885" width="9.140625" style="2008"/>
    <col min="5886" max="5886" width="6" style="2008" customWidth="1"/>
    <col min="5887" max="5887" width="1.7109375" style="2008" customWidth="1"/>
    <col min="5888" max="5888" width="7.85546875" style="2008" customWidth="1"/>
    <col min="5889" max="5889" width="7.7109375" style="2008" customWidth="1"/>
    <col min="5890" max="5890" width="2.140625" style="2008" customWidth="1"/>
    <col min="5891" max="5891" width="13.5703125" style="2008" customWidth="1"/>
    <col min="5892" max="5892" width="7.140625" style="2008" customWidth="1"/>
    <col min="5893" max="5893" width="6.7109375" style="2008" customWidth="1"/>
    <col min="5894" max="5894" width="9" style="2008" customWidth="1"/>
    <col min="5895" max="5895" width="14.28515625" style="2008" customWidth="1"/>
    <col min="5896" max="5896" width="16.28515625" style="2008" customWidth="1"/>
    <col min="5897" max="5897" width="9.140625" style="2008"/>
    <col min="5898" max="5898" width="15.28515625" style="2008" customWidth="1"/>
    <col min="5899" max="6141" width="9.140625" style="2008"/>
    <col min="6142" max="6142" width="6" style="2008" customWidth="1"/>
    <col min="6143" max="6143" width="1.7109375" style="2008" customWidth="1"/>
    <col min="6144" max="6144" width="7.85546875" style="2008" customWidth="1"/>
    <col min="6145" max="6145" width="7.7109375" style="2008" customWidth="1"/>
    <col min="6146" max="6146" width="2.140625" style="2008" customWidth="1"/>
    <col min="6147" max="6147" width="13.5703125" style="2008" customWidth="1"/>
    <col min="6148" max="6148" width="7.140625" style="2008" customWidth="1"/>
    <col min="6149" max="6149" width="6.7109375" style="2008" customWidth="1"/>
    <col min="6150" max="6150" width="9" style="2008" customWidth="1"/>
    <col min="6151" max="6151" width="14.28515625" style="2008" customWidth="1"/>
    <col min="6152" max="6152" width="16.28515625" style="2008" customWidth="1"/>
    <col min="6153" max="6153" width="9.140625" style="2008"/>
    <col min="6154" max="6154" width="15.28515625" style="2008" customWidth="1"/>
    <col min="6155" max="6397" width="9.140625" style="2008"/>
    <col min="6398" max="6398" width="6" style="2008" customWidth="1"/>
    <col min="6399" max="6399" width="1.7109375" style="2008" customWidth="1"/>
    <col min="6400" max="6400" width="7.85546875" style="2008" customWidth="1"/>
    <col min="6401" max="6401" width="7.7109375" style="2008" customWidth="1"/>
    <col min="6402" max="6402" width="2.140625" style="2008" customWidth="1"/>
    <col min="6403" max="6403" width="13.5703125" style="2008" customWidth="1"/>
    <col min="6404" max="6404" width="7.140625" style="2008" customWidth="1"/>
    <col min="6405" max="6405" width="6.7109375" style="2008" customWidth="1"/>
    <col min="6406" max="6406" width="9" style="2008" customWidth="1"/>
    <col min="6407" max="6407" width="14.28515625" style="2008" customWidth="1"/>
    <col min="6408" max="6408" width="16.28515625" style="2008" customWidth="1"/>
    <col min="6409" max="6409" width="9.140625" style="2008"/>
    <col min="6410" max="6410" width="15.28515625" style="2008" customWidth="1"/>
    <col min="6411" max="6653" width="9.140625" style="2008"/>
    <col min="6654" max="6654" width="6" style="2008" customWidth="1"/>
    <col min="6655" max="6655" width="1.7109375" style="2008" customWidth="1"/>
    <col min="6656" max="6656" width="7.85546875" style="2008" customWidth="1"/>
    <col min="6657" max="6657" width="7.7109375" style="2008" customWidth="1"/>
    <col min="6658" max="6658" width="2.140625" style="2008" customWidth="1"/>
    <col min="6659" max="6659" width="13.5703125" style="2008" customWidth="1"/>
    <col min="6660" max="6660" width="7.140625" style="2008" customWidth="1"/>
    <col min="6661" max="6661" width="6.7109375" style="2008" customWidth="1"/>
    <col min="6662" max="6662" width="9" style="2008" customWidth="1"/>
    <col min="6663" max="6663" width="14.28515625" style="2008" customWidth="1"/>
    <col min="6664" max="6664" width="16.28515625" style="2008" customWidth="1"/>
    <col min="6665" max="6665" width="9.140625" style="2008"/>
    <col min="6666" max="6666" width="15.28515625" style="2008" customWidth="1"/>
    <col min="6667" max="6909" width="9.140625" style="2008"/>
    <col min="6910" max="6910" width="6" style="2008" customWidth="1"/>
    <col min="6911" max="6911" width="1.7109375" style="2008" customWidth="1"/>
    <col min="6912" max="6912" width="7.85546875" style="2008" customWidth="1"/>
    <col min="6913" max="6913" width="7.7109375" style="2008" customWidth="1"/>
    <col min="6914" max="6914" width="2.140625" style="2008" customWidth="1"/>
    <col min="6915" max="6915" width="13.5703125" style="2008" customWidth="1"/>
    <col min="6916" max="6916" width="7.140625" style="2008" customWidth="1"/>
    <col min="6917" max="6917" width="6.7109375" style="2008" customWidth="1"/>
    <col min="6918" max="6918" width="9" style="2008" customWidth="1"/>
    <col min="6919" max="6919" width="14.28515625" style="2008" customWidth="1"/>
    <col min="6920" max="6920" width="16.28515625" style="2008" customWidth="1"/>
    <col min="6921" max="6921" width="9.140625" style="2008"/>
    <col min="6922" max="6922" width="15.28515625" style="2008" customWidth="1"/>
    <col min="6923" max="7165" width="9.140625" style="2008"/>
    <col min="7166" max="7166" width="6" style="2008" customWidth="1"/>
    <col min="7167" max="7167" width="1.7109375" style="2008" customWidth="1"/>
    <col min="7168" max="7168" width="7.85546875" style="2008" customWidth="1"/>
    <col min="7169" max="7169" width="7.7109375" style="2008" customWidth="1"/>
    <col min="7170" max="7170" width="2.140625" style="2008" customWidth="1"/>
    <col min="7171" max="7171" width="13.5703125" style="2008" customWidth="1"/>
    <col min="7172" max="7172" width="7.140625" style="2008" customWidth="1"/>
    <col min="7173" max="7173" width="6.7109375" style="2008" customWidth="1"/>
    <col min="7174" max="7174" width="9" style="2008" customWidth="1"/>
    <col min="7175" max="7175" width="14.28515625" style="2008" customWidth="1"/>
    <col min="7176" max="7176" width="16.28515625" style="2008" customWidth="1"/>
    <col min="7177" max="7177" width="9.140625" style="2008"/>
    <col min="7178" max="7178" width="15.28515625" style="2008" customWidth="1"/>
    <col min="7179" max="7421" width="9.140625" style="2008"/>
    <col min="7422" max="7422" width="6" style="2008" customWidth="1"/>
    <col min="7423" max="7423" width="1.7109375" style="2008" customWidth="1"/>
    <col min="7424" max="7424" width="7.85546875" style="2008" customWidth="1"/>
    <col min="7425" max="7425" width="7.7109375" style="2008" customWidth="1"/>
    <col min="7426" max="7426" width="2.140625" style="2008" customWidth="1"/>
    <col min="7427" max="7427" width="13.5703125" style="2008" customWidth="1"/>
    <col min="7428" max="7428" width="7.140625" style="2008" customWidth="1"/>
    <col min="7429" max="7429" width="6.7109375" style="2008" customWidth="1"/>
    <col min="7430" max="7430" width="9" style="2008" customWidth="1"/>
    <col min="7431" max="7431" width="14.28515625" style="2008" customWidth="1"/>
    <col min="7432" max="7432" width="16.28515625" style="2008" customWidth="1"/>
    <col min="7433" max="7433" width="9.140625" style="2008"/>
    <col min="7434" max="7434" width="15.28515625" style="2008" customWidth="1"/>
    <col min="7435" max="7677" width="9.140625" style="2008"/>
    <col min="7678" max="7678" width="6" style="2008" customWidth="1"/>
    <col min="7679" max="7679" width="1.7109375" style="2008" customWidth="1"/>
    <col min="7680" max="7680" width="7.85546875" style="2008" customWidth="1"/>
    <col min="7681" max="7681" width="7.7109375" style="2008" customWidth="1"/>
    <col min="7682" max="7682" width="2.140625" style="2008" customWidth="1"/>
    <col min="7683" max="7683" width="13.5703125" style="2008" customWidth="1"/>
    <col min="7684" max="7684" width="7.140625" style="2008" customWidth="1"/>
    <col min="7685" max="7685" width="6.7109375" style="2008" customWidth="1"/>
    <col min="7686" max="7686" width="9" style="2008" customWidth="1"/>
    <col min="7687" max="7687" width="14.28515625" style="2008" customWidth="1"/>
    <col min="7688" max="7688" width="16.28515625" style="2008" customWidth="1"/>
    <col min="7689" max="7689" width="9.140625" style="2008"/>
    <col min="7690" max="7690" width="15.28515625" style="2008" customWidth="1"/>
    <col min="7691" max="7933" width="9.140625" style="2008"/>
    <col min="7934" max="7934" width="6" style="2008" customWidth="1"/>
    <col min="7935" max="7935" width="1.7109375" style="2008" customWidth="1"/>
    <col min="7936" max="7936" width="7.85546875" style="2008" customWidth="1"/>
    <col min="7937" max="7937" width="7.7109375" style="2008" customWidth="1"/>
    <col min="7938" max="7938" width="2.140625" style="2008" customWidth="1"/>
    <col min="7939" max="7939" width="13.5703125" style="2008" customWidth="1"/>
    <col min="7940" max="7940" width="7.140625" style="2008" customWidth="1"/>
    <col min="7941" max="7941" width="6.7109375" style="2008" customWidth="1"/>
    <col min="7942" max="7942" width="9" style="2008" customWidth="1"/>
    <col min="7943" max="7943" width="14.28515625" style="2008" customWidth="1"/>
    <col min="7944" max="7944" width="16.28515625" style="2008" customWidth="1"/>
    <col min="7945" max="7945" width="9.140625" style="2008"/>
    <col min="7946" max="7946" width="15.28515625" style="2008" customWidth="1"/>
    <col min="7947" max="8189" width="9.140625" style="2008"/>
    <col min="8190" max="8190" width="6" style="2008" customWidth="1"/>
    <col min="8191" max="8191" width="1.7109375" style="2008" customWidth="1"/>
    <col min="8192" max="8192" width="7.85546875" style="2008" customWidth="1"/>
    <col min="8193" max="8193" width="7.7109375" style="2008" customWidth="1"/>
    <col min="8194" max="8194" width="2.140625" style="2008" customWidth="1"/>
    <col min="8195" max="8195" width="13.5703125" style="2008" customWidth="1"/>
    <col min="8196" max="8196" width="7.140625" style="2008" customWidth="1"/>
    <col min="8197" max="8197" width="6.7109375" style="2008" customWidth="1"/>
    <col min="8198" max="8198" width="9" style="2008" customWidth="1"/>
    <col min="8199" max="8199" width="14.28515625" style="2008" customWidth="1"/>
    <col min="8200" max="8200" width="16.28515625" style="2008" customWidth="1"/>
    <col min="8201" max="8201" width="9.140625" style="2008"/>
    <col min="8202" max="8202" width="15.28515625" style="2008" customWidth="1"/>
    <col min="8203" max="8445" width="9.140625" style="2008"/>
    <col min="8446" max="8446" width="6" style="2008" customWidth="1"/>
    <col min="8447" max="8447" width="1.7109375" style="2008" customWidth="1"/>
    <col min="8448" max="8448" width="7.85546875" style="2008" customWidth="1"/>
    <col min="8449" max="8449" width="7.7109375" style="2008" customWidth="1"/>
    <col min="8450" max="8450" width="2.140625" style="2008" customWidth="1"/>
    <col min="8451" max="8451" width="13.5703125" style="2008" customWidth="1"/>
    <col min="8452" max="8452" width="7.140625" style="2008" customWidth="1"/>
    <col min="8453" max="8453" width="6.7109375" style="2008" customWidth="1"/>
    <col min="8454" max="8454" width="9" style="2008" customWidth="1"/>
    <col min="8455" max="8455" width="14.28515625" style="2008" customWidth="1"/>
    <col min="8456" max="8456" width="16.28515625" style="2008" customWidth="1"/>
    <col min="8457" max="8457" width="9.140625" style="2008"/>
    <col min="8458" max="8458" width="15.28515625" style="2008" customWidth="1"/>
    <col min="8459" max="8701" width="9.140625" style="2008"/>
    <col min="8702" max="8702" width="6" style="2008" customWidth="1"/>
    <col min="8703" max="8703" width="1.7109375" style="2008" customWidth="1"/>
    <col min="8704" max="8704" width="7.85546875" style="2008" customWidth="1"/>
    <col min="8705" max="8705" width="7.7109375" style="2008" customWidth="1"/>
    <col min="8706" max="8706" width="2.140625" style="2008" customWidth="1"/>
    <col min="8707" max="8707" width="13.5703125" style="2008" customWidth="1"/>
    <col min="8708" max="8708" width="7.140625" style="2008" customWidth="1"/>
    <col min="8709" max="8709" width="6.7109375" style="2008" customWidth="1"/>
    <col min="8710" max="8710" width="9" style="2008" customWidth="1"/>
    <col min="8711" max="8711" width="14.28515625" style="2008" customWidth="1"/>
    <col min="8712" max="8712" width="16.28515625" style="2008" customWidth="1"/>
    <col min="8713" max="8713" width="9.140625" style="2008"/>
    <col min="8714" max="8714" width="15.28515625" style="2008" customWidth="1"/>
    <col min="8715" max="8957" width="9.140625" style="2008"/>
    <col min="8958" max="8958" width="6" style="2008" customWidth="1"/>
    <col min="8959" max="8959" width="1.7109375" style="2008" customWidth="1"/>
    <col min="8960" max="8960" width="7.85546875" style="2008" customWidth="1"/>
    <col min="8961" max="8961" width="7.7109375" style="2008" customWidth="1"/>
    <col min="8962" max="8962" width="2.140625" style="2008" customWidth="1"/>
    <col min="8963" max="8963" width="13.5703125" style="2008" customWidth="1"/>
    <col min="8964" max="8964" width="7.140625" style="2008" customWidth="1"/>
    <col min="8965" max="8965" width="6.7109375" style="2008" customWidth="1"/>
    <col min="8966" max="8966" width="9" style="2008" customWidth="1"/>
    <col min="8967" max="8967" width="14.28515625" style="2008" customWidth="1"/>
    <col min="8968" max="8968" width="16.28515625" style="2008" customWidth="1"/>
    <col min="8969" max="8969" width="9.140625" style="2008"/>
    <col min="8970" max="8970" width="15.28515625" style="2008" customWidth="1"/>
    <col min="8971" max="9213" width="9.140625" style="2008"/>
    <col min="9214" max="9214" width="6" style="2008" customWidth="1"/>
    <col min="9215" max="9215" width="1.7109375" style="2008" customWidth="1"/>
    <col min="9216" max="9216" width="7.85546875" style="2008" customWidth="1"/>
    <col min="9217" max="9217" width="7.7109375" style="2008" customWidth="1"/>
    <col min="9218" max="9218" width="2.140625" style="2008" customWidth="1"/>
    <col min="9219" max="9219" width="13.5703125" style="2008" customWidth="1"/>
    <col min="9220" max="9220" width="7.140625" style="2008" customWidth="1"/>
    <col min="9221" max="9221" width="6.7109375" style="2008" customWidth="1"/>
    <col min="9222" max="9222" width="9" style="2008" customWidth="1"/>
    <col min="9223" max="9223" width="14.28515625" style="2008" customWidth="1"/>
    <col min="9224" max="9224" width="16.28515625" style="2008" customWidth="1"/>
    <col min="9225" max="9225" width="9.140625" style="2008"/>
    <col min="9226" max="9226" width="15.28515625" style="2008" customWidth="1"/>
    <col min="9227" max="9469" width="9.140625" style="2008"/>
    <col min="9470" max="9470" width="6" style="2008" customWidth="1"/>
    <col min="9471" max="9471" width="1.7109375" style="2008" customWidth="1"/>
    <col min="9472" max="9472" width="7.85546875" style="2008" customWidth="1"/>
    <col min="9473" max="9473" width="7.7109375" style="2008" customWidth="1"/>
    <col min="9474" max="9474" width="2.140625" style="2008" customWidth="1"/>
    <col min="9475" max="9475" width="13.5703125" style="2008" customWidth="1"/>
    <col min="9476" max="9476" width="7.140625" style="2008" customWidth="1"/>
    <col min="9477" max="9477" width="6.7109375" style="2008" customWidth="1"/>
    <col min="9478" max="9478" width="9" style="2008" customWidth="1"/>
    <col min="9479" max="9479" width="14.28515625" style="2008" customWidth="1"/>
    <col min="9480" max="9480" width="16.28515625" style="2008" customWidth="1"/>
    <col min="9481" max="9481" width="9.140625" style="2008"/>
    <col min="9482" max="9482" width="15.28515625" style="2008" customWidth="1"/>
    <col min="9483" max="9725" width="9.140625" style="2008"/>
    <col min="9726" max="9726" width="6" style="2008" customWidth="1"/>
    <col min="9727" max="9727" width="1.7109375" style="2008" customWidth="1"/>
    <col min="9728" max="9728" width="7.85546875" style="2008" customWidth="1"/>
    <col min="9729" max="9729" width="7.7109375" style="2008" customWidth="1"/>
    <col min="9730" max="9730" width="2.140625" style="2008" customWidth="1"/>
    <col min="9731" max="9731" width="13.5703125" style="2008" customWidth="1"/>
    <col min="9732" max="9732" width="7.140625" style="2008" customWidth="1"/>
    <col min="9733" max="9733" width="6.7109375" style="2008" customWidth="1"/>
    <col min="9734" max="9734" width="9" style="2008" customWidth="1"/>
    <col min="9735" max="9735" width="14.28515625" style="2008" customWidth="1"/>
    <col min="9736" max="9736" width="16.28515625" style="2008" customWidth="1"/>
    <col min="9737" max="9737" width="9.140625" style="2008"/>
    <col min="9738" max="9738" width="15.28515625" style="2008" customWidth="1"/>
    <col min="9739" max="9981" width="9.140625" style="2008"/>
    <col min="9982" max="9982" width="6" style="2008" customWidth="1"/>
    <col min="9983" max="9983" width="1.7109375" style="2008" customWidth="1"/>
    <col min="9984" max="9984" width="7.85546875" style="2008" customWidth="1"/>
    <col min="9985" max="9985" width="7.7109375" style="2008" customWidth="1"/>
    <col min="9986" max="9986" width="2.140625" style="2008" customWidth="1"/>
    <col min="9987" max="9987" width="13.5703125" style="2008" customWidth="1"/>
    <col min="9988" max="9988" width="7.140625" style="2008" customWidth="1"/>
    <col min="9989" max="9989" width="6.7109375" style="2008" customWidth="1"/>
    <col min="9990" max="9990" width="9" style="2008" customWidth="1"/>
    <col min="9991" max="9991" width="14.28515625" style="2008" customWidth="1"/>
    <col min="9992" max="9992" width="16.28515625" style="2008" customWidth="1"/>
    <col min="9993" max="9993" width="9.140625" style="2008"/>
    <col min="9994" max="9994" width="15.28515625" style="2008" customWidth="1"/>
    <col min="9995" max="10237" width="9.140625" style="2008"/>
    <col min="10238" max="10238" width="6" style="2008" customWidth="1"/>
    <col min="10239" max="10239" width="1.7109375" style="2008" customWidth="1"/>
    <col min="10240" max="10240" width="7.85546875" style="2008" customWidth="1"/>
    <col min="10241" max="10241" width="7.7109375" style="2008" customWidth="1"/>
    <col min="10242" max="10242" width="2.140625" style="2008" customWidth="1"/>
    <col min="10243" max="10243" width="13.5703125" style="2008" customWidth="1"/>
    <col min="10244" max="10244" width="7.140625" style="2008" customWidth="1"/>
    <col min="10245" max="10245" width="6.7109375" style="2008" customWidth="1"/>
    <col min="10246" max="10246" width="9" style="2008" customWidth="1"/>
    <col min="10247" max="10247" width="14.28515625" style="2008" customWidth="1"/>
    <col min="10248" max="10248" width="16.28515625" style="2008" customWidth="1"/>
    <col min="10249" max="10249" width="9.140625" style="2008"/>
    <col min="10250" max="10250" width="15.28515625" style="2008" customWidth="1"/>
    <col min="10251" max="10493" width="9.140625" style="2008"/>
    <col min="10494" max="10494" width="6" style="2008" customWidth="1"/>
    <col min="10495" max="10495" width="1.7109375" style="2008" customWidth="1"/>
    <col min="10496" max="10496" width="7.85546875" style="2008" customWidth="1"/>
    <col min="10497" max="10497" width="7.7109375" style="2008" customWidth="1"/>
    <col min="10498" max="10498" width="2.140625" style="2008" customWidth="1"/>
    <col min="10499" max="10499" width="13.5703125" style="2008" customWidth="1"/>
    <col min="10500" max="10500" width="7.140625" style="2008" customWidth="1"/>
    <col min="10501" max="10501" width="6.7109375" style="2008" customWidth="1"/>
    <col min="10502" max="10502" width="9" style="2008" customWidth="1"/>
    <col min="10503" max="10503" width="14.28515625" style="2008" customWidth="1"/>
    <col min="10504" max="10504" width="16.28515625" style="2008" customWidth="1"/>
    <col min="10505" max="10505" width="9.140625" style="2008"/>
    <col min="10506" max="10506" width="15.28515625" style="2008" customWidth="1"/>
    <col min="10507" max="10749" width="9.140625" style="2008"/>
    <col min="10750" max="10750" width="6" style="2008" customWidth="1"/>
    <col min="10751" max="10751" width="1.7109375" style="2008" customWidth="1"/>
    <col min="10752" max="10752" width="7.85546875" style="2008" customWidth="1"/>
    <col min="10753" max="10753" width="7.7109375" style="2008" customWidth="1"/>
    <col min="10754" max="10754" width="2.140625" style="2008" customWidth="1"/>
    <col min="10755" max="10755" width="13.5703125" style="2008" customWidth="1"/>
    <col min="10756" max="10756" width="7.140625" style="2008" customWidth="1"/>
    <col min="10757" max="10757" width="6.7109375" style="2008" customWidth="1"/>
    <col min="10758" max="10758" width="9" style="2008" customWidth="1"/>
    <col min="10759" max="10759" width="14.28515625" style="2008" customWidth="1"/>
    <col min="10760" max="10760" width="16.28515625" style="2008" customWidth="1"/>
    <col min="10761" max="10761" width="9.140625" style="2008"/>
    <col min="10762" max="10762" width="15.28515625" style="2008" customWidth="1"/>
    <col min="10763" max="11005" width="9.140625" style="2008"/>
    <col min="11006" max="11006" width="6" style="2008" customWidth="1"/>
    <col min="11007" max="11007" width="1.7109375" style="2008" customWidth="1"/>
    <col min="11008" max="11008" width="7.85546875" style="2008" customWidth="1"/>
    <col min="11009" max="11009" width="7.7109375" style="2008" customWidth="1"/>
    <col min="11010" max="11010" width="2.140625" style="2008" customWidth="1"/>
    <col min="11011" max="11011" width="13.5703125" style="2008" customWidth="1"/>
    <col min="11012" max="11012" width="7.140625" style="2008" customWidth="1"/>
    <col min="11013" max="11013" width="6.7109375" style="2008" customWidth="1"/>
    <col min="11014" max="11014" width="9" style="2008" customWidth="1"/>
    <col min="11015" max="11015" width="14.28515625" style="2008" customWidth="1"/>
    <col min="11016" max="11016" width="16.28515625" style="2008" customWidth="1"/>
    <col min="11017" max="11017" width="9.140625" style="2008"/>
    <col min="11018" max="11018" width="15.28515625" style="2008" customWidth="1"/>
    <col min="11019" max="11261" width="9.140625" style="2008"/>
    <col min="11262" max="11262" width="6" style="2008" customWidth="1"/>
    <col min="11263" max="11263" width="1.7109375" style="2008" customWidth="1"/>
    <col min="11264" max="11264" width="7.85546875" style="2008" customWidth="1"/>
    <col min="11265" max="11265" width="7.7109375" style="2008" customWidth="1"/>
    <col min="11266" max="11266" width="2.140625" style="2008" customWidth="1"/>
    <col min="11267" max="11267" width="13.5703125" style="2008" customWidth="1"/>
    <col min="11268" max="11268" width="7.140625" style="2008" customWidth="1"/>
    <col min="11269" max="11269" width="6.7109375" style="2008" customWidth="1"/>
    <col min="11270" max="11270" width="9" style="2008" customWidth="1"/>
    <col min="11271" max="11271" width="14.28515625" style="2008" customWidth="1"/>
    <col min="11272" max="11272" width="16.28515625" style="2008" customWidth="1"/>
    <col min="11273" max="11273" width="9.140625" style="2008"/>
    <col min="11274" max="11274" width="15.28515625" style="2008" customWidth="1"/>
    <col min="11275" max="11517" width="9.140625" style="2008"/>
    <col min="11518" max="11518" width="6" style="2008" customWidth="1"/>
    <col min="11519" max="11519" width="1.7109375" style="2008" customWidth="1"/>
    <col min="11520" max="11520" width="7.85546875" style="2008" customWidth="1"/>
    <col min="11521" max="11521" width="7.7109375" style="2008" customWidth="1"/>
    <col min="11522" max="11522" width="2.140625" style="2008" customWidth="1"/>
    <col min="11523" max="11523" width="13.5703125" style="2008" customWidth="1"/>
    <col min="11524" max="11524" width="7.140625" style="2008" customWidth="1"/>
    <col min="11525" max="11525" width="6.7109375" style="2008" customWidth="1"/>
    <col min="11526" max="11526" width="9" style="2008" customWidth="1"/>
    <col min="11527" max="11527" width="14.28515625" style="2008" customWidth="1"/>
    <col min="11528" max="11528" width="16.28515625" style="2008" customWidth="1"/>
    <col min="11529" max="11529" width="9.140625" style="2008"/>
    <col min="11530" max="11530" width="15.28515625" style="2008" customWidth="1"/>
    <col min="11531" max="11773" width="9.140625" style="2008"/>
    <col min="11774" max="11774" width="6" style="2008" customWidth="1"/>
    <col min="11775" max="11775" width="1.7109375" style="2008" customWidth="1"/>
    <col min="11776" max="11776" width="7.85546875" style="2008" customWidth="1"/>
    <col min="11777" max="11777" width="7.7109375" style="2008" customWidth="1"/>
    <col min="11778" max="11778" width="2.140625" style="2008" customWidth="1"/>
    <col min="11779" max="11779" width="13.5703125" style="2008" customWidth="1"/>
    <col min="11780" max="11780" width="7.140625" style="2008" customWidth="1"/>
    <col min="11781" max="11781" width="6.7109375" style="2008" customWidth="1"/>
    <col min="11782" max="11782" width="9" style="2008" customWidth="1"/>
    <col min="11783" max="11783" width="14.28515625" style="2008" customWidth="1"/>
    <col min="11784" max="11784" width="16.28515625" style="2008" customWidth="1"/>
    <col min="11785" max="11785" width="9.140625" style="2008"/>
    <col min="11786" max="11786" width="15.28515625" style="2008" customWidth="1"/>
    <col min="11787" max="12029" width="9.140625" style="2008"/>
    <col min="12030" max="12030" width="6" style="2008" customWidth="1"/>
    <col min="12031" max="12031" width="1.7109375" style="2008" customWidth="1"/>
    <col min="12032" max="12032" width="7.85546875" style="2008" customWidth="1"/>
    <col min="12033" max="12033" width="7.7109375" style="2008" customWidth="1"/>
    <col min="12034" max="12034" width="2.140625" style="2008" customWidth="1"/>
    <col min="12035" max="12035" width="13.5703125" style="2008" customWidth="1"/>
    <col min="12036" max="12036" width="7.140625" style="2008" customWidth="1"/>
    <col min="12037" max="12037" width="6.7109375" style="2008" customWidth="1"/>
    <col min="12038" max="12038" width="9" style="2008" customWidth="1"/>
    <col min="12039" max="12039" width="14.28515625" style="2008" customWidth="1"/>
    <col min="12040" max="12040" width="16.28515625" style="2008" customWidth="1"/>
    <col min="12041" max="12041" width="9.140625" style="2008"/>
    <col min="12042" max="12042" width="15.28515625" style="2008" customWidth="1"/>
    <col min="12043" max="12285" width="9.140625" style="2008"/>
    <col min="12286" max="12286" width="6" style="2008" customWidth="1"/>
    <col min="12287" max="12287" width="1.7109375" style="2008" customWidth="1"/>
    <col min="12288" max="12288" width="7.85546875" style="2008" customWidth="1"/>
    <col min="12289" max="12289" width="7.7109375" style="2008" customWidth="1"/>
    <col min="12290" max="12290" width="2.140625" style="2008" customWidth="1"/>
    <col min="12291" max="12291" width="13.5703125" style="2008" customWidth="1"/>
    <col min="12292" max="12292" width="7.140625" style="2008" customWidth="1"/>
    <col min="12293" max="12293" width="6.7109375" style="2008" customWidth="1"/>
    <col min="12294" max="12294" width="9" style="2008" customWidth="1"/>
    <col min="12295" max="12295" width="14.28515625" style="2008" customWidth="1"/>
    <col min="12296" max="12296" width="16.28515625" style="2008" customWidth="1"/>
    <col min="12297" max="12297" width="9.140625" style="2008"/>
    <col min="12298" max="12298" width="15.28515625" style="2008" customWidth="1"/>
    <col min="12299" max="12541" width="9.140625" style="2008"/>
    <col min="12542" max="12542" width="6" style="2008" customWidth="1"/>
    <col min="12543" max="12543" width="1.7109375" style="2008" customWidth="1"/>
    <col min="12544" max="12544" width="7.85546875" style="2008" customWidth="1"/>
    <col min="12545" max="12545" width="7.7109375" style="2008" customWidth="1"/>
    <col min="12546" max="12546" width="2.140625" style="2008" customWidth="1"/>
    <col min="12547" max="12547" width="13.5703125" style="2008" customWidth="1"/>
    <col min="12548" max="12548" width="7.140625" style="2008" customWidth="1"/>
    <col min="12549" max="12549" width="6.7109375" style="2008" customWidth="1"/>
    <col min="12550" max="12550" width="9" style="2008" customWidth="1"/>
    <col min="12551" max="12551" width="14.28515625" style="2008" customWidth="1"/>
    <col min="12552" max="12552" width="16.28515625" style="2008" customWidth="1"/>
    <col min="12553" max="12553" width="9.140625" style="2008"/>
    <col min="12554" max="12554" width="15.28515625" style="2008" customWidth="1"/>
    <col min="12555" max="12797" width="9.140625" style="2008"/>
    <col min="12798" max="12798" width="6" style="2008" customWidth="1"/>
    <col min="12799" max="12799" width="1.7109375" style="2008" customWidth="1"/>
    <col min="12800" max="12800" width="7.85546875" style="2008" customWidth="1"/>
    <col min="12801" max="12801" width="7.7109375" style="2008" customWidth="1"/>
    <col min="12802" max="12802" width="2.140625" style="2008" customWidth="1"/>
    <col min="12803" max="12803" width="13.5703125" style="2008" customWidth="1"/>
    <col min="12804" max="12804" width="7.140625" style="2008" customWidth="1"/>
    <col min="12805" max="12805" width="6.7109375" style="2008" customWidth="1"/>
    <col min="12806" max="12806" width="9" style="2008" customWidth="1"/>
    <col min="12807" max="12807" width="14.28515625" style="2008" customWidth="1"/>
    <col min="12808" max="12808" width="16.28515625" style="2008" customWidth="1"/>
    <col min="12809" max="12809" width="9.140625" style="2008"/>
    <col min="12810" max="12810" width="15.28515625" style="2008" customWidth="1"/>
    <col min="12811" max="13053" width="9.140625" style="2008"/>
    <col min="13054" max="13054" width="6" style="2008" customWidth="1"/>
    <col min="13055" max="13055" width="1.7109375" style="2008" customWidth="1"/>
    <col min="13056" max="13056" width="7.85546875" style="2008" customWidth="1"/>
    <col min="13057" max="13057" width="7.7109375" style="2008" customWidth="1"/>
    <col min="13058" max="13058" width="2.140625" style="2008" customWidth="1"/>
    <col min="13059" max="13059" width="13.5703125" style="2008" customWidth="1"/>
    <col min="13060" max="13060" width="7.140625" style="2008" customWidth="1"/>
    <col min="13061" max="13061" width="6.7109375" style="2008" customWidth="1"/>
    <col min="13062" max="13062" width="9" style="2008" customWidth="1"/>
    <col min="13063" max="13063" width="14.28515625" style="2008" customWidth="1"/>
    <col min="13064" max="13064" width="16.28515625" style="2008" customWidth="1"/>
    <col min="13065" max="13065" width="9.140625" style="2008"/>
    <col min="13066" max="13066" width="15.28515625" style="2008" customWidth="1"/>
    <col min="13067" max="13309" width="9.140625" style="2008"/>
    <col min="13310" max="13310" width="6" style="2008" customWidth="1"/>
    <col min="13311" max="13311" width="1.7109375" style="2008" customWidth="1"/>
    <col min="13312" max="13312" width="7.85546875" style="2008" customWidth="1"/>
    <col min="13313" max="13313" width="7.7109375" style="2008" customWidth="1"/>
    <col min="13314" max="13314" width="2.140625" style="2008" customWidth="1"/>
    <col min="13315" max="13315" width="13.5703125" style="2008" customWidth="1"/>
    <col min="13316" max="13316" width="7.140625" style="2008" customWidth="1"/>
    <col min="13317" max="13317" width="6.7109375" style="2008" customWidth="1"/>
    <col min="13318" max="13318" width="9" style="2008" customWidth="1"/>
    <col min="13319" max="13319" width="14.28515625" style="2008" customWidth="1"/>
    <col min="13320" max="13320" width="16.28515625" style="2008" customWidth="1"/>
    <col min="13321" max="13321" width="9.140625" style="2008"/>
    <col min="13322" max="13322" width="15.28515625" style="2008" customWidth="1"/>
    <col min="13323" max="13565" width="9.140625" style="2008"/>
    <col min="13566" max="13566" width="6" style="2008" customWidth="1"/>
    <col min="13567" max="13567" width="1.7109375" style="2008" customWidth="1"/>
    <col min="13568" max="13568" width="7.85546875" style="2008" customWidth="1"/>
    <col min="13569" max="13569" width="7.7109375" style="2008" customWidth="1"/>
    <col min="13570" max="13570" width="2.140625" style="2008" customWidth="1"/>
    <col min="13571" max="13571" width="13.5703125" style="2008" customWidth="1"/>
    <col min="13572" max="13572" width="7.140625" style="2008" customWidth="1"/>
    <col min="13573" max="13573" width="6.7109375" style="2008" customWidth="1"/>
    <col min="13574" max="13574" width="9" style="2008" customWidth="1"/>
    <col min="13575" max="13575" width="14.28515625" style="2008" customWidth="1"/>
    <col min="13576" max="13576" width="16.28515625" style="2008" customWidth="1"/>
    <col min="13577" max="13577" width="9.140625" style="2008"/>
    <col min="13578" max="13578" width="15.28515625" style="2008" customWidth="1"/>
    <col min="13579" max="13821" width="9.140625" style="2008"/>
    <col min="13822" max="13822" width="6" style="2008" customWidth="1"/>
    <col min="13823" max="13823" width="1.7109375" style="2008" customWidth="1"/>
    <col min="13824" max="13824" width="7.85546875" style="2008" customWidth="1"/>
    <col min="13825" max="13825" width="7.7109375" style="2008" customWidth="1"/>
    <col min="13826" max="13826" width="2.140625" style="2008" customWidth="1"/>
    <col min="13827" max="13827" width="13.5703125" style="2008" customWidth="1"/>
    <col min="13828" max="13828" width="7.140625" style="2008" customWidth="1"/>
    <col min="13829" max="13829" width="6.7109375" style="2008" customWidth="1"/>
    <col min="13830" max="13830" width="9" style="2008" customWidth="1"/>
    <col min="13831" max="13831" width="14.28515625" style="2008" customWidth="1"/>
    <col min="13832" max="13832" width="16.28515625" style="2008" customWidth="1"/>
    <col min="13833" max="13833" width="9.140625" style="2008"/>
    <col min="13834" max="13834" width="15.28515625" style="2008" customWidth="1"/>
    <col min="13835" max="14077" width="9.140625" style="2008"/>
    <col min="14078" max="14078" width="6" style="2008" customWidth="1"/>
    <col min="14079" max="14079" width="1.7109375" style="2008" customWidth="1"/>
    <col min="14080" max="14080" width="7.85546875" style="2008" customWidth="1"/>
    <col min="14081" max="14081" width="7.7109375" style="2008" customWidth="1"/>
    <col min="14082" max="14082" width="2.140625" style="2008" customWidth="1"/>
    <col min="14083" max="14083" width="13.5703125" style="2008" customWidth="1"/>
    <col min="14084" max="14084" width="7.140625" style="2008" customWidth="1"/>
    <col min="14085" max="14085" width="6.7109375" style="2008" customWidth="1"/>
    <col min="14086" max="14086" width="9" style="2008" customWidth="1"/>
    <col min="14087" max="14087" width="14.28515625" style="2008" customWidth="1"/>
    <col min="14088" max="14088" width="16.28515625" style="2008" customWidth="1"/>
    <col min="14089" max="14089" width="9.140625" style="2008"/>
    <col min="14090" max="14090" width="15.28515625" style="2008" customWidth="1"/>
    <col min="14091" max="14333" width="9.140625" style="2008"/>
    <col min="14334" max="14334" width="6" style="2008" customWidth="1"/>
    <col min="14335" max="14335" width="1.7109375" style="2008" customWidth="1"/>
    <col min="14336" max="14336" width="7.85546875" style="2008" customWidth="1"/>
    <col min="14337" max="14337" width="7.7109375" style="2008" customWidth="1"/>
    <col min="14338" max="14338" width="2.140625" style="2008" customWidth="1"/>
    <col min="14339" max="14339" width="13.5703125" style="2008" customWidth="1"/>
    <col min="14340" max="14340" width="7.140625" style="2008" customWidth="1"/>
    <col min="14341" max="14341" width="6.7109375" style="2008" customWidth="1"/>
    <col min="14342" max="14342" width="9" style="2008" customWidth="1"/>
    <col min="14343" max="14343" width="14.28515625" style="2008" customWidth="1"/>
    <col min="14344" max="14344" width="16.28515625" style="2008" customWidth="1"/>
    <col min="14345" max="14345" width="9.140625" style="2008"/>
    <col min="14346" max="14346" width="15.28515625" style="2008" customWidth="1"/>
    <col min="14347" max="14589" width="9.140625" style="2008"/>
    <col min="14590" max="14590" width="6" style="2008" customWidth="1"/>
    <col min="14591" max="14591" width="1.7109375" style="2008" customWidth="1"/>
    <col min="14592" max="14592" width="7.85546875" style="2008" customWidth="1"/>
    <col min="14593" max="14593" width="7.7109375" style="2008" customWidth="1"/>
    <col min="14594" max="14594" width="2.140625" style="2008" customWidth="1"/>
    <col min="14595" max="14595" width="13.5703125" style="2008" customWidth="1"/>
    <col min="14596" max="14596" width="7.140625" style="2008" customWidth="1"/>
    <col min="14597" max="14597" width="6.7109375" style="2008" customWidth="1"/>
    <col min="14598" max="14598" width="9" style="2008" customWidth="1"/>
    <col min="14599" max="14599" width="14.28515625" style="2008" customWidth="1"/>
    <col min="14600" max="14600" width="16.28515625" style="2008" customWidth="1"/>
    <col min="14601" max="14601" width="9.140625" style="2008"/>
    <col min="14602" max="14602" width="15.28515625" style="2008" customWidth="1"/>
    <col min="14603" max="14845" width="9.140625" style="2008"/>
    <col min="14846" max="14846" width="6" style="2008" customWidth="1"/>
    <col min="14847" max="14847" width="1.7109375" style="2008" customWidth="1"/>
    <col min="14848" max="14848" width="7.85546875" style="2008" customWidth="1"/>
    <col min="14849" max="14849" width="7.7109375" style="2008" customWidth="1"/>
    <col min="14850" max="14850" width="2.140625" style="2008" customWidth="1"/>
    <col min="14851" max="14851" width="13.5703125" style="2008" customWidth="1"/>
    <col min="14852" max="14852" width="7.140625" style="2008" customWidth="1"/>
    <col min="14853" max="14853" width="6.7109375" style="2008" customWidth="1"/>
    <col min="14854" max="14854" width="9" style="2008" customWidth="1"/>
    <col min="14855" max="14855" width="14.28515625" style="2008" customWidth="1"/>
    <col min="14856" max="14856" width="16.28515625" style="2008" customWidth="1"/>
    <col min="14857" max="14857" width="9.140625" style="2008"/>
    <col min="14858" max="14858" width="15.28515625" style="2008" customWidth="1"/>
    <col min="14859" max="15101" width="9.140625" style="2008"/>
    <col min="15102" max="15102" width="6" style="2008" customWidth="1"/>
    <col min="15103" max="15103" width="1.7109375" style="2008" customWidth="1"/>
    <col min="15104" max="15104" width="7.85546875" style="2008" customWidth="1"/>
    <col min="15105" max="15105" width="7.7109375" style="2008" customWidth="1"/>
    <col min="15106" max="15106" width="2.140625" style="2008" customWidth="1"/>
    <col min="15107" max="15107" width="13.5703125" style="2008" customWidth="1"/>
    <col min="15108" max="15108" width="7.140625" style="2008" customWidth="1"/>
    <col min="15109" max="15109" width="6.7109375" style="2008" customWidth="1"/>
    <col min="15110" max="15110" width="9" style="2008" customWidth="1"/>
    <col min="15111" max="15111" width="14.28515625" style="2008" customWidth="1"/>
    <col min="15112" max="15112" width="16.28515625" style="2008" customWidth="1"/>
    <col min="15113" max="15113" width="9.140625" style="2008"/>
    <col min="15114" max="15114" width="15.28515625" style="2008" customWidth="1"/>
    <col min="15115" max="15357" width="9.140625" style="2008"/>
    <col min="15358" max="15358" width="6" style="2008" customWidth="1"/>
    <col min="15359" max="15359" width="1.7109375" style="2008" customWidth="1"/>
    <col min="15360" max="15360" width="7.85546875" style="2008" customWidth="1"/>
    <col min="15361" max="15361" width="7.7109375" style="2008" customWidth="1"/>
    <col min="15362" max="15362" width="2.140625" style="2008" customWidth="1"/>
    <col min="15363" max="15363" width="13.5703125" style="2008" customWidth="1"/>
    <col min="15364" max="15364" width="7.140625" style="2008" customWidth="1"/>
    <col min="15365" max="15365" width="6.7109375" style="2008" customWidth="1"/>
    <col min="15366" max="15366" width="9" style="2008" customWidth="1"/>
    <col min="15367" max="15367" width="14.28515625" style="2008" customWidth="1"/>
    <col min="15368" max="15368" width="16.28515625" style="2008" customWidth="1"/>
    <col min="15369" max="15369" width="9.140625" style="2008"/>
    <col min="15370" max="15370" width="15.28515625" style="2008" customWidth="1"/>
    <col min="15371" max="15613" width="9.140625" style="2008"/>
    <col min="15614" max="15614" width="6" style="2008" customWidth="1"/>
    <col min="15615" max="15615" width="1.7109375" style="2008" customWidth="1"/>
    <col min="15616" max="15616" width="7.85546875" style="2008" customWidth="1"/>
    <col min="15617" max="15617" width="7.7109375" style="2008" customWidth="1"/>
    <col min="15618" max="15618" width="2.140625" style="2008" customWidth="1"/>
    <col min="15619" max="15619" width="13.5703125" style="2008" customWidth="1"/>
    <col min="15620" max="15620" width="7.140625" style="2008" customWidth="1"/>
    <col min="15621" max="15621" width="6.7109375" style="2008" customWidth="1"/>
    <col min="15622" max="15622" width="9" style="2008" customWidth="1"/>
    <col min="15623" max="15623" width="14.28515625" style="2008" customWidth="1"/>
    <col min="15624" max="15624" width="16.28515625" style="2008" customWidth="1"/>
    <col min="15625" max="15625" width="9.140625" style="2008"/>
    <col min="15626" max="15626" width="15.28515625" style="2008" customWidth="1"/>
    <col min="15627" max="15869" width="9.140625" style="2008"/>
    <col min="15870" max="15870" width="6" style="2008" customWidth="1"/>
    <col min="15871" max="15871" width="1.7109375" style="2008" customWidth="1"/>
    <col min="15872" max="15872" width="7.85546875" style="2008" customWidth="1"/>
    <col min="15873" max="15873" width="7.7109375" style="2008" customWidth="1"/>
    <col min="15874" max="15874" width="2.140625" style="2008" customWidth="1"/>
    <col min="15875" max="15875" width="13.5703125" style="2008" customWidth="1"/>
    <col min="15876" max="15876" width="7.140625" style="2008" customWidth="1"/>
    <col min="15877" max="15877" width="6.7109375" style="2008" customWidth="1"/>
    <col min="15878" max="15878" width="9" style="2008" customWidth="1"/>
    <col min="15879" max="15879" width="14.28515625" style="2008" customWidth="1"/>
    <col min="15880" max="15880" width="16.28515625" style="2008" customWidth="1"/>
    <col min="15881" max="15881" width="9.140625" style="2008"/>
    <col min="15882" max="15882" width="15.28515625" style="2008" customWidth="1"/>
    <col min="15883" max="16125" width="9.140625" style="2008"/>
    <col min="16126" max="16126" width="6" style="2008" customWidth="1"/>
    <col min="16127" max="16127" width="1.7109375" style="2008" customWidth="1"/>
    <col min="16128" max="16128" width="7.85546875" style="2008" customWidth="1"/>
    <col min="16129" max="16129" width="7.7109375" style="2008" customWidth="1"/>
    <col min="16130" max="16130" width="2.140625" style="2008" customWidth="1"/>
    <col min="16131" max="16131" width="13.5703125" style="2008" customWidth="1"/>
    <col min="16132" max="16132" width="7.140625" style="2008" customWidth="1"/>
    <col min="16133" max="16133" width="6.7109375" style="2008" customWidth="1"/>
    <col min="16134" max="16134" width="9" style="2008" customWidth="1"/>
    <col min="16135" max="16135" width="14.28515625" style="2008" customWidth="1"/>
    <col min="16136" max="16136" width="16.28515625" style="2008" customWidth="1"/>
    <col min="16137" max="16137" width="9.140625" style="2008"/>
    <col min="16138" max="16138" width="15.28515625" style="2008" customWidth="1"/>
    <col min="16139" max="16384" width="9.140625" style="2008"/>
  </cols>
  <sheetData>
    <row r="1" spans="2:16" s="1553" customFormat="1" ht="21" customHeight="1" x14ac:dyDescent="0.3">
      <c r="B1" s="3160" t="s">
        <v>1062</v>
      </c>
      <c r="C1" s="3160"/>
      <c r="D1" s="3160"/>
      <c r="E1" s="3160"/>
      <c r="F1" s="3160"/>
      <c r="G1" s="3160"/>
      <c r="H1" s="3160"/>
    </row>
    <row r="2" spans="2:16" s="1553" customFormat="1" ht="21" customHeight="1" x14ac:dyDescent="0.3">
      <c r="B2" s="1974"/>
      <c r="C2" s="1974"/>
      <c r="D2" s="1974"/>
      <c r="E2" s="1974"/>
      <c r="F2" s="1974"/>
      <c r="G2" s="1974"/>
      <c r="H2" s="1974"/>
    </row>
    <row r="3" spans="2:16" s="1553" customFormat="1" ht="21" customHeight="1" x14ac:dyDescent="0.3">
      <c r="B3" s="1975" t="str">
        <f>HIT.!B4</f>
        <v xml:space="preserve">Pekerjaan          </v>
      </c>
      <c r="C3" s="1975" t="str">
        <f>HIT.!C4</f>
        <v>: Renovasi Atap Gedung Paripurna DPRD Provsu</v>
      </c>
      <c r="D3" s="1976"/>
      <c r="E3" s="1976"/>
      <c r="F3" s="1976"/>
      <c r="G3" s="1976"/>
      <c r="H3" s="1976"/>
      <c r="J3" s="1552">
        <v>0</v>
      </c>
    </row>
    <row r="4" spans="2:16" s="1553" customFormat="1" ht="21" customHeight="1" x14ac:dyDescent="0.3">
      <c r="B4" s="1975" t="str">
        <f>HIT.!B5</f>
        <v xml:space="preserve">Lokasi                </v>
      </c>
      <c r="C4" s="1975" t="str">
        <f>HIT.!C5</f>
        <v>: Jalan Imam Bonjol No. 5 Medan</v>
      </c>
      <c r="D4" s="1976"/>
      <c r="E4" s="1976"/>
      <c r="F4" s="1976"/>
      <c r="G4" s="1976"/>
      <c r="H4" s="1976"/>
    </row>
    <row r="5" spans="2:16" s="1553" customFormat="1" ht="21" customHeight="1" thickBot="1" x14ac:dyDescent="0.35">
      <c r="B5" s="1977" t="str">
        <f>HIT.!B6</f>
        <v xml:space="preserve">Tahun                 </v>
      </c>
      <c r="C5" s="1977" t="str">
        <f>HIT.!C6</f>
        <v>: 2022</v>
      </c>
      <c r="D5" s="1978"/>
      <c r="E5" s="1978"/>
      <c r="F5" s="1978"/>
      <c r="G5" s="1978"/>
      <c r="H5" s="1978"/>
    </row>
    <row r="6" spans="2:16" s="1553" customFormat="1" ht="15.95" customHeight="1" thickTop="1" x14ac:dyDescent="0.3">
      <c r="B6" s="1974"/>
      <c r="C6" s="1976"/>
      <c r="D6" s="1976"/>
      <c r="E6" s="1976"/>
      <c r="F6" s="1976"/>
      <c r="G6" s="1976"/>
      <c r="H6" s="1976"/>
    </row>
    <row r="7" spans="2:16" s="1553" customFormat="1" ht="15.95" customHeight="1" x14ac:dyDescent="0.3">
      <c r="B7" s="1979" t="s">
        <v>866</v>
      </c>
      <c r="C7" s="1555" t="s">
        <v>867</v>
      </c>
      <c r="E7" s="1980"/>
      <c r="F7" s="1976"/>
      <c r="G7" s="1976"/>
      <c r="H7" s="1981"/>
    </row>
    <row r="8" spans="2:16" s="1976" customFormat="1" ht="15.95" customHeight="1" x14ac:dyDescent="0.3">
      <c r="B8" s="1982" t="s">
        <v>12</v>
      </c>
      <c r="C8" s="1982" t="s">
        <v>36</v>
      </c>
      <c r="D8" s="1982" t="s">
        <v>37</v>
      </c>
      <c r="E8" s="1983" t="s">
        <v>184</v>
      </c>
      <c r="F8" s="1984" t="s">
        <v>868</v>
      </c>
      <c r="G8" s="1983" t="s">
        <v>1063</v>
      </c>
      <c r="H8" s="1983" t="s">
        <v>40</v>
      </c>
      <c r="I8" s="1985"/>
      <c r="J8" s="1986"/>
      <c r="K8" s="1986"/>
      <c r="L8" s="1986"/>
      <c r="M8" s="1986"/>
      <c r="N8" s="1987"/>
      <c r="O8" s="1988"/>
      <c r="P8" s="1989"/>
    </row>
    <row r="9" spans="2:16" s="1553" customFormat="1" ht="15.95" customHeight="1" x14ac:dyDescent="0.3">
      <c r="B9" s="1990" t="s">
        <v>368</v>
      </c>
      <c r="C9" s="1991" t="s">
        <v>42</v>
      </c>
      <c r="D9" s="1990"/>
      <c r="E9" s="1992"/>
      <c r="F9" s="1993"/>
      <c r="G9" s="1992"/>
      <c r="H9" s="1992"/>
    </row>
    <row r="10" spans="2:16" s="1553" customFormat="1" ht="15.95" customHeight="1" x14ac:dyDescent="0.3">
      <c r="B10" s="1990"/>
      <c r="C10" s="1553" t="s">
        <v>71</v>
      </c>
      <c r="D10" s="1985" t="str">
        <f>'[62]UPAH-BAHAN'!G13</f>
        <v>L.01</v>
      </c>
      <c r="E10" s="1976" t="s">
        <v>618</v>
      </c>
      <c r="F10" s="1994">
        <v>0.3</v>
      </c>
      <c r="G10" s="1995">
        <f>UPAH!F13</f>
        <v>115000</v>
      </c>
      <c r="H10" s="1996">
        <f>+F10*G10</f>
        <v>34500</v>
      </c>
    </row>
    <row r="11" spans="2:16" s="1553" customFormat="1" ht="15.95" customHeight="1" x14ac:dyDescent="0.3">
      <c r="B11" s="1990"/>
      <c r="C11" s="1553" t="s">
        <v>871</v>
      </c>
      <c r="D11" s="1985" t="str">
        <f>'[62]UPAH-BAHAN'!G14</f>
        <v>L.02</v>
      </c>
      <c r="E11" s="1976" t="s">
        <v>618</v>
      </c>
      <c r="F11" s="1994">
        <v>0.2</v>
      </c>
      <c r="G11" s="1995">
        <f>UPAH!F12</f>
        <v>170000</v>
      </c>
      <c r="H11" s="1996">
        <f>+F11*G11</f>
        <v>34000</v>
      </c>
    </row>
    <row r="12" spans="2:16" s="1553" customFormat="1" ht="15.95" customHeight="1" x14ac:dyDescent="0.3">
      <c r="B12" s="1990"/>
      <c r="C12" s="1553" t="s">
        <v>605</v>
      </c>
      <c r="D12" s="1985" t="str">
        <f>'[62]UPAH-BAHAN'!G15</f>
        <v>L.03</v>
      </c>
      <c r="E12" s="1976" t="s">
        <v>618</v>
      </c>
      <c r="F12" s="1994">
        <v>7.0000000000000007E-2</v>
      </c>
      <c r="G12" s="1995">
        <f>UPAH!F11</f>
        <v>185000</v>
      </c>
      <c r="H12" s="1996">
        <f>+F12*G12</f>
        <v>12950.000000000002</v>
      </c>
    </row>
    <row r="13" spans="2:16" s="1553" customFormat="1" ht="15.95" customHeight="1" x14ac:dyDescent="0.3">
      <c r="B13" s="1990"/>
      <c r="C13" s="1553" t="s">
        <v>50</v>
      </c>
      <c r="D13" s="1985" t="str">
        <f>'[62]UPAH-BAHAN'!G16</f>
        <v>L.04</v>
      </c>
      <c r="E13" s="1976" t="s">
        <v>618</v>
      </c>
      <c r="F13" s="1994">
        <v>0.02</v>
      </c>
      <c r="G13" s="1995">
        <f>UPAH!F10</f>
        <v>200000</v>
      </c>
      <c r="H13" s="1996">
        <f>+F13*G13</f>
        <v>4000</v>
      </c>
    </row>
    <row r="14" spans="2:16" s="1553" customFormat="1" ht="15.95" customHeight="1" x14ac:dyDescent="0.3">
      <c r="B14" s="1990"/>
      <c r="D14" s="1990"/>
      <c r="E14" s="1976"/>
      <c r="F14" s="1980"/>
      <c r="G14" s="1997" t="s">
        <v>52</v>
      </c>
      <c r="H14" s="1996">
        <f>SUM(H10:H13)</f>
        <v>85450</v>
      </c>
    </row>
    <row r="15" spans="2:16" s="1553" customFormat="1" ht="15.95" customHeight="1" x14ac:dyDescent="0.3">
      <c r="B15" s="1990" t="s">
        <v>394</v>
      </c>
      <c r="C15" s="1555" t="s">
        <v>872</v>
      </c>
      <c r="D15" s="1990"/>
      <c r="E15" s="1976"/>
      <c r="F15" s="1980"/>
      <c r="G15" s="1995"/>
      <c r="H15" s="1996"/>
    </row>
    <row r="16" spans="2:16" s="1553" customFormat="1" ht="15.95" customHeight="1" x14ac:dyDescent="0.3">
      <c r="B16" s="1974"/>
      <c r="C16" s="1998" t="s">
        <v>873</v>
      </c>
      <c r="E16" s="1999" t="s">
        <v>27</v>
      </c>
      <c r="F16" s="1994">
        <v>10</v>
      </c>
      <c r="G16" s="1995">
        <f>'UB mep'!J100</f>
        <v>13000</v>
      </c>
      <c r="H16" s="1996">
        <f>+F16*G16</f>
        <v>130000</v>
      </c>
    </row>
    <row r="17" spans="2:16" s="1553" customFormat="1" ht="15.95" customHeight="1" x14ac:dyDescent="0.3">
      <c r="B17" s="1555"/>
      <c r="C17" s="1998" t="s">
        <v>874</v>
      </c>
      <c r="E17" s="1999" t="s">
        <v>30</v>
      </c>
      <c r="F17" s="1994">
        <v>3</v>
      </c>
      <c r="G17" s="1995">
        <f>'UB mep'!J126</f>
        <v>13000</v>
      </c>
      <c r="H17" s="1996">
        <f>+F17*G17</f>
        <v>39000</v>
      </c>
    </row>
    <row r="18" spans="2:16" s="1553" customFormat="1" ht="15.95" customHeight="1" x14ac:dyDescent="0.3">
      <c r="B18" s="1555"/>
      <c r="C18" s="2000" t="s">
        <v>965</v>
      </c>
      <c r="E18" s="1999" t="s">
        <v>1</v>
      </c>
      <c r="F18" s="1994">
        <v>1</v>
      </c>
      <c r="G18" s="1995">
        <f>'UB mep'!J134</f>
        <v>5000</v>
      </c>
      <c r="H18" s="1996">
        <f>+F18*G18</f>
        <v>5000</v>
      </c>
    </row>
    <row r="19" spans="2:16" s="1553" customFormat="1" ht="15.95" customHeight="1" x14ac:dyDescent="0.3">
      <c r="B19" s="1555"/>
      <c r="E19" s="1976"/>
      <c r="F19" s="2001"/>
      <c r="G19" s="2002" t="s">
        <v>59</v>
      </c>
      <c r="H19" s="1996">
        <f>SUM(H16:H18)</f>
        <v>174000</v>
      </c>
    </row>
    <row r="20" spans="2:16" s="1553" customFormat="1" ht="15.95" customHeight="1" x14ac:dyDescent="0.3">
      <c r="B20" s="1974" t="s">
        <v>411</v>
      </c>
      <c r="C20" s="1554" t="s">
        <v>60</v>
      </c>
      <c r="E20" s="1976"/>
      <c r="F20" s="2001"/>
      <c r="G20" s="2003"/>
      <c r="H20" s="2003"/>
    </row>
    <row r="21" spans="2:16" s="1553" customFormat="1" ht="15.95" customHeight="1" x14ac:dyDescent="0.3">
      <c r="B21" s="1555"/>
      <c r="E21" s="1976"/>
      <c r="F21" s="2001"/>
      <c r="G21" s="2002" t="s">
        <v>61</v>
      </c>
      <c r="H21" s="1996">
        <v>0</v>
      </c>
    </row>
    <row r="22" spans="2:16" s="1553" customFormat="1" ht="15.95" customHeight="1" x14ac:dyDescent="0.3">
      <c r="B22" s="1976" t="s">
        <v>6</v>
      </c>
      <c r="C22" s="1553" t="s">
        <v>875</v>
      </c>
      <c r="E22" s="1980"/>
      <c r="F22" s="1976"/>
      <c r="G22" s="1976"/>
      <c r="H22" s="2003">
        <f>+H21+H19+H14</f>
        <v>259450</v>
      </c>
    </row>
    <row r="23" spans="2:16" s="1553" customFormat="1" ht="15.95" customHeight="1" x14ac:dyDescent="0.3">
      <c r="B23" s="1974" t="s">
        <v>7</v>
      </c>
      <c r="C23" s="1555" t="s">
        <v>100</v>
      </c>
      <c r="E23" s="1980"/>
      <c r="F23" s="1976"/>
      <c r="G23" s="2004">
        <v>0</v>
      </c>
      <c r="H23" s="1981">
        <f>H22*J3</f>
        <v>0</v>
      </c>
    </row>
    <row r="24" spans="2:16" s="1553" customFormat="1" ht="15.95" customHeight="1" x14ac:dyDescent="0.3">
      <c r="B24" s="1976" t="s">
        <v>63</v>
      </c>
      <c r="C24" s="1553" t="s">
        <v>877</v>
      </c>
      <c r="E24" s="1980"/>
      <c r="F24" s="1976"/>
      <c r="G24" s="1976"/>
      <c r="H24" s="1981">
        <f>+H22+H23</f>
        <v>259450</v>
      </c>
    </row>
    <row r="25" spans="2:16" s="1553" customFormat="1" ht="15.95" customHeight="1" x14ac:dyDescent="0.3">
      <c r="C25" s="1554" t="s">
        <v>878</v>
      </c>
      <c r="D25" s="1555"/>
      <c r="E25" s="1555"/>
      <c r="F25" s="1555"/>
      <c r="G25" s="1555"/>
      <c r="H25" s="2005">
        <f>ROUNDDOWN(H24,2)</f>
        <v>259450</v>
      </c>
    </row>
    <row r="26" spans="2:16" ht="15.95" customHeight="1" x14ac:dyDescent="0.3">
      <c r="B26" s="2006"/>
      <c r="C26" s="2007"/>
      <c r="D26" s="2007"/>
      <c r="E26" s="2007"/>
      <c r="F26" s="2007"/>
    </row>
    <row r="27" spans="2:16" s="1555" customFormat="1" ht="15.95" customHeight="1" x14ac:dyDescent="0.2">
      <c r="B27" s="1979" t="s">
        <v>879</v>
      </c>
      <c r="C27" s="1555" t="s">
        <v>880</v>
      </c>
      <c r="E27" s="2009"/>
      <c r="F27" s="1974"/>
      <c r="G27" s="1974"/>
      <c r="H27" s="1981"/>
    </row>
    <row r="28" spans="2:16" s="1976" customFormat="1" ht="15.95" customHeight="1" x14ac:dyDescent="0.3">
      <c r="B28" s="1982" t="s">
        <v>12</v>
      </c>
      <c r="C28" s="1982" t="s">
        <v>36</v>
      </c>
      <c r="D28" s="1982" t="s">
        <v>37</v>
      </c>
      <c r="E28" s="1983" t="s">
        <v>184</v>
      </c>
      <c r="F28" s="1984" t="s">
        <v>868</v>
      </c>
      <c r="G28" s="1983" t="s">
        <v>1063</v>
      </c>
      <c r="H28" s="1983" t="s">
        <v>40</v>
      </c>
      <c r="I28" s="1985"/>
      <c r="J28" s="1986"/>
      <c r="K28" s="1986"/>
      <c r="L28" s="1986"/>
      <c r="M28" s="1986"/>
      <c r="N28" s="1987"/>
      <c r="O28" s="1988"/>
      <c r="P28" s="1989"/>
    </row>
    <row r="29" spans="2:16" s="1553" customFormat="1" ht="15.95" customHeight="1" x14ac:dyDescent="0.3">
      <c r="B29" s="1990" t="s">
        <v>368</v>
      </c>
      <c r="C29" s="1991" t="s">
        <v>42</v>
      </c>
      <c r="D29" s="1990"/>
      <c r="E29" s="1992"/>
      <c r="F29" s="1993"/>
      <c r="G29" s="1992"/>
      <c r="H29" s="1992"/>
    </row>
    <row r="30" spans="2:16" s="1553" customFormat="1" ht="15.95" customHeight="1" x14ac:dyDescent="0.3">
      <c r="B30" s="1990"/>
      <c r="C30" s="1553" t="s">
        <v>71</v>
      </c>
      <c r="D30" s="1985" t="str">
        <f>D10</f>
        <v>L.01</v>
      </c>
      <c r="E30" s="1976" t="s">
        <v>618</v>
      </c>
      <c r="F30" s="1994">
        <v>0.25</v>
      </c>
      <c r="G30" s="1995">
        <f>G10</f>
        <v>115000</v>
      </c>
      <c r="H30" s="1996">
        <f>+F30*G30</f>
        <v>28750</v>
      </c>
    </row>
    <row r="31" spans="2:16" s="1553" customFormat="1" ht="15.95" customHeight="1" x14ac:dyDescent="0.3">
      <c r="B31" s="1990"/>
      <c r="C31" s="1553" t="s">
        <v>871</v>
      </c>
      <c r="D31" s="1985" t="str">
        <f>D11</f>
        <v>L.02</v>
      </c>
      <c r="E31" s="1976" t="s">
        <v>618</v>
      </c>
      <c r="F31" s="1994">
        <v>0.2</v>
      </c>
      <c r="G31" s="1995">
        <f>G11</f>
        <v>170000</v>
      </c>
      <c r="H31" s="1996">
        <f>+F31*G31</f>
        <v>34000</v>
      </c>
    </row>
    <row r="32" spans="2:16" s="1553" customFormat="1" ht="15.95" customHeight="1" x14ac:dyDescent="0.3">
      <c r="B32" s="1990"/>
      <c r="C32" s="1553" t="s">
        <v>605</v>
      </c>
      <c r="D32" s="1985" t="str">
        <f>D12</f>
        <v>L.03</v>
      </c>
      <c r="E32" s="1976" t="s">
        <v>618</v>
      </c>
      <c r="F32" s="1994">
        <v>0.02</v>
      </c>
      <c r="G32" s="1995">
        <f>G12</f>
        <v>185000</v>
      </c>
      <c r="H32" s="1996">
        <f>+F32*G32</f>
        <v>3700</v>
      </c>
    </row>
    <row r="33" spans="2:16" s="1553" customFormat="1" ht="15.95" customHeight="1" x14ac:dyDescent="0.3">
      <c r="B33" s="1990"/>
      <c r="C33" s="1553" t="s">
        <v>50</v>
      </c>
      <c r="D33" s="1985" t="str">
        <f>D13</f>
        <v>L.04</v>
      </c>
      <c r="E33" s="1976" t="s">
        <v>618</v>
      </c>
      <c r="F33" s="1994">
        <v>0.02</v>
      </c>
      <c r="G33" s="1995">
        <f>G13</f>
        <v>200000</v>
      </c>
      <c r="H33" s="1996">
        <f>+F33*G33</f>
        <v>4000</v>
      </c>
    </row>
    <row r="34" spans="2:16" s="1553" customFormat="1" ht="15.95" customHeight="1" x14ac:dyDescent="0.3">
      <c r="B34" s="1990"/>
      <c r="D34" s="1990"/>
      <c r="E34" s="1976"/>
      <c r="F34" s="1980"/>
      <c r="G34" s="1997" t="s">
        <v>52</v>
      </c>
      <c r="H34" s="1996">
        <f>SUM(H30:H33)</f>
        <v>70450</v>
      </c>
    </row>
    <row r="35" spans="2:16" s="1553" customFormat="1" ht="15.95" customHeight="1" x14ac:dyDescent="0.3">
      <c r="B35" s="1990" t="s">
        <v>394</v>
      </c>
      <c r="C35" s="1555" t="s">
        <v>872</v>
      </c>
      <c r="D35" s="1990"/>
      <c r="E35" s="1976"/>
      <c r="F35" s="1980"/>
      <c r="G35" s="1995"/>
      <c r="H35" s="1996"/>
    </row>
    <row r="36" spans="2:16" s="1553" customFormat="1" ht="15.95" customHeight="1" x14ac:dyDescent="0.3">
      <c r="B36" s="1974"/>
      <c r="C36" s="1998" t="s">
        <v>873</v>
      </c>
      <c r="E36" s="1999" t="s">
        <v>27</v>
      </c>
      <c r="F36" s="1234">
        <v>3</v>
      </c>
      <c r="G36" s="1995">
        <f>G16</f>
        <v>13000</v>
      </c>
      <c r="H36" s="1996">
        <f>+F36*G36</f>
        <v>39000</v>
      </c>
    </row>
    <row r="37" spans="2:16" s="1553" customFormat="1" ht="15.95" customHeight="1" x14ac:dyDescent="0.3">
      <c r="B37" s="1555"/>
      <c r="C37" s="1998" t="s">
        <v>874</v>
      </c>
      <c r="E37" s="1999" t="s">
        <v>30</v>
      </c>
      <c r="F37" s="1234">
        <v>1</v>
      </c>
      <c r="G37" s="1995">
        <f>G17</f>
        <v>13000</v>
      </c>
      <c r="H37" s="1996">
        <f>+F37*G37</f>
        <v>13000</v>
      </c>
    </row>
    <row r="38" spans="2:16" s="1553" customFormat="1" ht="15.95" customHeight="1" x14ac:dyDescent="0.3">
      <c r="B38" s="1555"/>
      <c r="C38" s="2000" t="s">
        <v>611</v>
      </c>
      <c r="E38" s="1999" t="s">
        <v>1</v>
      </c>
      <c r="F38" s="1234">
        <v>1</v>
      </c>
      <c r="G38" s="1995">
        <f>G18</f>
        <v>5000</v>
      </c>
      <c r="H38" s="1996">
        <f>+F38*G38</f>
        <v>5000</v>
      </c>
    </row>
    <row r="39" spans="2:16" s="1553" customFormat="1" ht="15.95" customHeight="1" x14ac:dyDescent="0.3">
      <c r="B39" s="1555"/>
      <c r="E39" s="1976"/>
      <c r="F39" s="2001"/>
      <c r="G39" s="2002" t="s">
        <v>59</v>
      </c>
      <c r="H39" s="1996">
        <f>SUM(H36:H38)</f>
        <v>57000</v>
      </c>
    </row>
    <row r="40" spans="2:16" s="1553" customFormat="1" ht="15.95" customHeight="1" x14ac:dyDescent="0.3">
      <c r="B40" s="1974" t="s">
        <v>411</v>
      </c>
      <c r="C40" s="1554" t="s">
        <v>60</v>
      </c>
      <c r="E40" s="1976"/>
      <c r="F40" s="2001"/>
      <c r="G40" s="2003"/>
      <c r="H40" s="2003"/>
    </row>
    <row r="41" spans="2:16" s="1553" customFormat="1" ht="15.95" customHeight="1" x14ac:dyDescent="0.3">
      <c r="B41" s="1555"/>
      <c r="E41" s="1976"/>
      <c r="F41" s="2001"/>
      <c r="G41" s="2002" t="s">
        <v>61</v>
      </c>
      <c r="H41" s="1996">
        <v>0</v>
      </c>
    </row>
    <row r="42" spans="2:16" s="1553" customFormat="1" ht="15.95" customHeight="1" x14ac:dyDescent="0.3">
      <c r="B42" s="1976" t="s">
        <v>6</v>
      </c>
      <c r="C42" s="1553" t="s">
        <v>875</v>
      </c>
      <c r="E42" s="1980"/>
      <c r="F42" s="1976"/>
      <c r="G42" s="1976"/>
      <c r="H42" s="2003">
        <f>+H41+H39+H34</f>
        <v>127450</v>
      </c>
    </row>
    <row r="43" spans="2:16" s="1553" customFormat="1" ht="15.95" customHeight="1" x14ac:dyDescent="0.3">
      <c r="B43" s="1974" t="s">
        <v>7</v>
      </c>
      <c r="C43" s="1555" t="s">
        <v>100</v>
      </c>
      <c r="E43" s="1980"/>
      <c r="F43" s="1976"/>
      <c r="G43" s="2004">
        <v>0</v>
      </c>
      <c r="H43" s="1981">
        <f>H42*J24</f>
        <v>0</v>
      </c>
    </row>
    <row r="44" spans="2:16" s="1553" customFormat="1" ht="15.95" customHeight="1" x14ac:dyDescent="0.3">
      <c r="B44" s="1976" t="s">
        <v>63</v>
      </c>
      <c r="C44" s="1553" t="s">
        <v>877</v>
      </c>
      <c r="E44" s="1980"/>
      <c r="F44" s="1976"/>
      <c r="G44" s="1976"/>
      <c r="H44" s="1981">
        <f>+H42+H43</f>
        <v>127450</v>
      </c>
    </row>
    <row r="45" spans="2:16" s="1553" customFormat="1" ht="15.95" customHeight="1" x14ac:dyDescent="0.3">
      <c r="C45" s="1554" t="s">
        <v>878</v>
      </c>
      <c r="D45" s="1555"/>
      <c r="E45" s="1555"/>
      <c r="F45" s="1555"/>
      <c r="G45" s="1555"/>
      <c r="H45" s="2005">
        <f>ROUNDDOWN(H44,2)</f>
        <v>127450</v>
      </c>
    </row>
    <row r="46" spans="2:16" ht="15.95" customHeight="1" x14ac:dyDescent="0.3">
      <c r="B46" s="2006"/>
      <c r="C46" s="2007"/>
      <c r="D46" s="2007"/>
      <c r="E46" s="2007"/>
      <c r="F46" s="2007"/>
    </row>
    <row r="47" spans="2:16" s="1555" customFormat="1" ht="15.95" customHeight="1" x14ac:dyDescent="0.2">
      <c r="B47" s="2010" t="s">
        <v>881</v>
      </c>
      <c r="C47" s="1555" t="s">
        <v>882</v>
      </c>
      <c r="E47" s="2009"/>
      <c r="F47" s="1974"/>
      <c r="G47" s="1974"/>
      <c r="H47" s="1981"/>
    </row>
    <row r="48" spans="2:16" s="1976" customFormat="1" ht="15.95" customHeight="1" x14ac:dyDescent="0.3">
      <c r="B48" s="1982" t="s">
        <v>12</v>
      </c>
      <c r="C48" s="1982" t="s">
        <v>36</v>
      </c>
      <c r="D48" s="1982" t="s">
        <v>37</v>
      </c>
      <c r="E48" s="1983" t="s">
        <v>184</v>
      </c>
      <c r="F48" s="1984" t="s">
        <v>868</v>
      </c>
      <c r="G48" s="1983" t="s">
        <v>1063</v>
      </c>
      <c r="H48" s="1983" t="s">
        <v>40</v>
      </c>
      <c r="I48" s="1985"/>
      <c r="J48" s="1986"/>
      <c r="K48" s="1986"/>
      <c r="L48" s="1986"/>
      <c r="M48" s="1986"/>
      <c r="N48" s="1987"/>
      <c r="O48" s="1988"/>
      <c r="P48" s="1989"/>
    </row>
    <row r="49" spans="2:8" s="1553" customFormat="1" ht="15.95" customHeight="1" x14ac:dyDescent="0.3">
      <c r="B49" s="1990" t="s">
        <v>368</v>
      </c>
      <c r="C49" s="1991" t="s">
        <v>42</v>
      </c>
      <c r="D49" s="1990"/>
      <c r="E49" s="1992"/>
      <c r="F49" s="1993"/>
      <c r="G49" s="1992"/>
      <c r="H49" s="1992"/>
    </row>
    <row r="50" spans="2:8" s="1553" customFormat="1" ht="15.95" customHeight="1" x14ac:dyDescent="0.3">
      <c r="B50" s="1990"/>
      <c r="C50" s="1553" t="s">
        <v>71</v>
      </c>
      <c r="D50" s="1985" t="str">
        <f>D10</f>
        <v>L.01</v>
      </c>
      <c r="E50" s="1976" t="s">
        <v>618</v>
      </c>
      <c r="F50" s="1994">
        <v>0.3</v>
      </c>
      <c r="G50" s="1995">
        <f>G30</f>
        <v>115000</v>
      </c>
      <c r="H50" s="1996">
        <f>+F50*G50</f>
        <v>34500</v>
      </c>
    </row>
    <row r="51" spans="2:8" s="1553" customFormat="1" ht="15.95" customHeight="1" x14ac:dyDescent="0.3">
      <c r="B51" s="1990"/>
      <c r="C51" s="1553" t="s">
        <v>871</v>
      </c>
      <c r="D51" s="1985" t="str">
        <f>D11</f>
        <v>L.02</v>
      </c>
      <c r="E51" s="1976" t="s">
        <v>618</v>
      </c>
      <c r="F51" s="1994">
        <v>0.2</v>
      </c>
      <c r="G51" s="1995">
        <f>G31</f>
        <v>170000</v>
      </c>
      <c r="H51" s="1996">
        <f>+F51*G51</f>
        <v>34000</v>
      </c>
    </row>
    <row r="52" spans="2:8" s="1553" customFormat="1" ht="15.95" customHeight="1" x14ac:dyDescent="0.3">
      <c r="B52" s="1990"/>
      <c r="C52" s="1553" t="s">
        <v>605</v>
      </c>
      <c r="D52" s="1985" t="str">
        <f>D12</f>
        <v>L.03</v>
      </c>
      <c r="E52" s="1976" t="s">
        <v>618</v>
      </c>
      <c r="F52" s="1994">
        <v>2.5000000000000001E-2</v>
      </c>
      <c r="G52" s="1995">
        <f>G32</f>
        <v>185000</v>
      </c>
      <c r="H52" s="1996">
        <f>+F52*G52</f>
        <v>4625</v>
      </c>
    </row>
    <row r="53" spans="2:8" s="1553" customFormat="1" ht="15.95" customHeight="1" x14ac:dyDescent="0.3">
      <c r="B53" s="1990"/>
      <c r="C53" s="1553" t="s">
        <v>50</v>
      </c>
      <c r="D53" s="1985" t="str">
        <f>D13</f>
        <v>L.04</v>
      </c>
      <c r="E53" s="1976" t="s">
        <v>618</v>
      </c>
      <c r="F53" s="1994">
        <v>0.03</v>
      </c>
      <c r="G53" s="1995">
        <f>G33</f>
        <v>200000</v>
      </c>
      <c r="H53" s="1996">
        <f>+F53*G53</f>
        <v>6000</v>
      </c>
    </row>
    <row r="54" spans="2:8" s="1553" customFormat="1" ht="15.95" customHeight="1" x14ac:dyDescent="0.3">
      <c r="B54" s="1990"/>
      <c r="D54" s="1990"/>
      <c r="E54" s="1976"/>
      <c r="F54" s="1980"/>
      <c r="G54" s="1997" t="s">
        <v>52</v>
      </c>
      <c r="H54" s="1996">
        <f>SUM(H50:H53)</f>
        <v>79125</v>
      </c>
    </row>
    <row r="55" spans="2:8" s="1553" customFormat="1" ht="15.95" customHeight="1" x14ac:dyDescent="0.3">
      <c r="B55" s="1990" t="s">
        <v>394</v>
      </c>
      <c r="C55" s="1555" t="s">
        <v>872</v>
      </c>
      <c r="D55" s="1990"/>
      <c r="E55" s="1976"/>
      <c r="F55" s="1980"/>
      <c r="G55" s="1995"/>
      <c r="H55" s="1996"/>
    </row>
    <row r="56" spans="2:8" s="1553" customFormat="1" ht="15.95" customHeight="1" x14ac:dyDescent="0.3">
      <c r="B56" s="1974"/>
      <c r="C56" s="1998" t="s">
        <v>883</v>
      </c>
      <c r="E56" s="1999" t="s">
        <v>27</v>
      </c>
      <c r="F56" s="1234">
        <v>10</v>
      </c>
      <c r="G56" s="1995">
        <f>'UB mep'!J101</f>
        <v>15500</v>
      </c>
      <c r="H56" s="1996">
        <f>+F56*G56</f>
        <v>155000</v>
      </c>
    </row>
    <row r="57" spans="2:8" s="1553" customFormat="1" ht="15.95" customHeight="1" x14ac:dyDescent="0.3">
      <c r="B57" s="1555"/>
      <c r="C57" s="1998" t="s">
        <v>874</v>
      </c>
      <c r="E57" s="1999" t="s">
        <v>30</v>
      </c>
      <c r="F57" s="1234">
        <v>4</v>
      </c>
      <c r="G57" s="1995">
        <f>G37</f>
        <v>13000</v>
      </c>
      <c r="H57" s="1996">
        <f>+F57*G57</f>
        <v>52000</v>
      </c>
    </row>
    <row r="58" spans="2:8" s="1553" customFormat="1" ht="15.95" customHeight="1" x14ac:dyDescent="0.3">
      <c r="B58" s="1555"/>
      <c r="C58" s="2000" t="s">
        <v>611</v>
      </c>
      <c r="E58" s="1999" t="s">
        <v>1</v>
      </c>
      <c r="F58" s="1234">
        <v>1</v>
      </c>
      <c r="G58" s="1995">
        <f>G38</f>
        <v>5000</v>
      </c>
      <c r="H58" s="1996">
        <f>+F58*G58</f>
        <v>5000</v>
      </c>
    </row>
    <row r="59" spans="2:8" s="1553" customFormat="1" ht="15.95" customHeight="1" x14ac:dyDescent="0.3">
      <c r="B59" s="1555"/>
      <c r="E59" s="1976"/>
      <c r="F59" s="2001"/>
      <c r="G59" s="2002" t="s">
        <v>59</v>
      </c>
      <c r="H59" s="1996">
        <f>SUM(H56:H58)</f>
        <v>212000</v>
      </c>
    </row>
    <row r="60" spans="2:8" s="1553" customFormat="1" ht="15.95" customHeight="1" x14ac:dyDescent="0.3">
      <c r="B60" s="1974" t="s">
        <v>411</v>
      </c>
      <c r="C60" s="1554" t="s">
        <v>60</v>
      </c>
      <c r="E60" s="1976"/>
      <c r="F60" s="2001"/>
      <c r="G60" s="2003"/>
      <c r="H60" s="2003"/>
    </row>
    <row r="61" spans="2:8" s="1553" customFormat="1" ht="15.95" customHeight="1" x14ac:dyDescent="0.3">
      <c r="B61" s="1555"/>
      <c r="E61" s="1976"/>
      <c r="F61" s="2001"/>
      <c r="G61" s="2002" t="s">
        <v>61</v>
      </c>
      <c r="H61" s="1996">
        <v>0</v>
      </c>
    </row>
    <row r="62" spans="2:8" s="1553" customFormat="1" ht="15.95" customHeight="1" x14ac:dyDescent="0.3">
      <c r="B62" s="1976" t="s">
        <v>6</v>
      </c>
      <c r="C62" s="1553" t="s">
        <v>875</v>
      </c>
      <c r="E62" s="1980"/>
      <c r="F62" s="1976"/>
      <c r="G62" s="1976"/>
      <c r="H62" s="2003">
        <f>+H61+H59+H54</f>
        <v>291125</v>
      </c>
    </row>
    <row r="63" spans="2:8" ht="15.95" customHeight="1" x14ac:dyDescent="0.3">
      <c r="B63" s="1974" t="s">
        <v>7</v>
      </c>
      <c r="C63" s="1555" t="s">
        <v>100</v>
      </c>
      <c r="D63" s="1553"/>
      <c r="E63" s="1980"/>
      <c r="F63" s="1976"/>
      <c r="G63" s="2004">
        <v>0</v>
      </c>
      <c r="H63" s="1981">
        <f>H62*J43</f>
        <v>0</v>
      </c>
    </row>
    <row r="64" spans="2:8" s="1553" customFormat="1" ht="15.95" customHeight="1" x14ac:dyDescent="0.3">
      <c r="B64" s="1976" t="s">
        <v>63</v>
      </c>
      <c r="C64" s="1553" t="s">
        <v>877</v>
      </c>
      <c r="E64" s="1980"/>
      <c r="F64" s="1976"/>
      <c r="G64" s="1976"/>
      <c r="H64" s="1981">
        <f>+H62+H63</f>
        <v>291125</v>
      </c>
    </row>
    <row r="65" spans="2:16" s="1553" customFormat="1" ht="15.95" customHeight="1" x14ac:dyDescent="0.3">
      <c r="C65" s="1554" t="s">
        <v>878</v>
      </c>
      <c r="D65" s="1555"/>
      <c r="E65" s="1555"/>
      <c r="F65" s="1555"/>
      <c r="G65" s="1555"/>
      <c r="H65" s="2005">
        <f>ROUNDDOWN(H64,2)</f>
        <v>291125</v>
      </c>
    </row>
    <row r="66" spans="2:16" ht="15.95" customHeight="1" x14ac:dyDescent="0.3">
      <c r="C66" s="2011"/>
      <c r="D66" s="2012"/>
      <c r="E66" s="2012"/>
      <c r="F66" s="2012"/>
      <c r="G66" s="2012"/>
      <c r="H66" s="2013"/>
    </row>
    <row r="67" spans="2:16" s="1555" customFormat="1" ht="15.95" customHeight="1" x14ac:dyDescent="0.2">
      <c r="B67" s="1979" t="s">
        <v>884</v>
      </c>
      <c r="C67" s="1555" t="s">
        <v>885</v>
      </c>
      <c r="E67" s="2009"/>
      <c r="F67" s="1974"/>
      <c r="G67" s="1974"/>
      <c r="H67" s="1981"/>
    </row>
    <row r="68" spans="2:16" s="1976" customFormat="1" ht="15.95" customHeight="1" x14ac:dyDescent="0.3">
      <c r="B68" s="1982" t="s">
        <v>12</v>
      </c>
      <c r="C68" s="1982" t="s">
        <v>36</v>
      </c>
      <c r="D68" s="1982" t="s">
        <v>37</v>
      </c>
      <c r="E68" s="1983" t="s">
        <v>184</v>
      </c>
      <c r="F68" s="1984" t="s">
        <v>868</v>
      </c>
      <c r="G68" s="1983" t="s">
        <v>1063</v>
      </c>
      <c r="H68" s="1983" t="s">
        <v>40</v>
      </c>
      <c r="I68" s="1985"/>
      <c r="J68" s="1986"/>
      <c r="K68" s="1986"/>
      <c r="L68" s="1986"/>
      <c r="M68" s="1986"/>
      <c r="N68" s="1987"/>
      <c r="O68" s="1988"/>
      <c r="P68" s="1989"/>
    </row>
    <row r="69" spans="2:16" s="1553" customFormat="1" ht="15.95" customHeight="1" x14ac:dyDescent="0.3">
      <c r="B69" s="1990" t="s">
        <v>368</v>
      </c>
      <c r="C69" s="1991" t="s">
        <v>42</v>
      </c>
      <c r="D69" s="1990"/>
      <c r="E69" s="1992"/>
      <c r="F69" s="1993"/>
      <c r="G69" s="1992"/>
      <c r="H69" s="1992"/>
    </row>
    <row r="70" spans="2:16" s="1553" customFormat="1" ht="15.95" customHeight="1" x14ac:dyDescent="0.3">
      <c r="B70" s="1990"/>
      <c r="C70" s="1553" t="s">
        <v>71</v>
      </c>
      <c r="D70" s="1985">
        <f>D49</f>
        <v>0</v>
      </c>
      <c r="E70" s="1976" t="s">
        <v>618</v>
      </c>
      <c r="F70" s="2014">
        <v>0.04</v>
      </c>
      <c r="G70" s="1995">
        <f>G50</f>
        <v>115000</v>
      </c>
      <c r="H70" s="1996">
        <f>+F70*G70</f>
        <v>4600</v>
      </c>
    </row>
    <row r="71" spans="2:16" s="1553" customFormat="1" ht="15.95" customHeight="1" x14ac:dyDescent="0.3">
      <c r="B71" s="1990"/>
      <c r="C71" s="1553" t="s">
        <v>871</v>
      </c>
      <c r="D71" s="1985" t="str">
        <f>D50</f>
        <v>L.01</v>
      </c>
      <c r="E71" s="1976" t="s">
        <v>618</v>
      </c>
      <c r="F71" s="2014">
        <v>4.0000000000000001E-3</v>
      </c>
      <c r="G71" s="1995">
        <f>G51</f>
        <v>170000</v>
      </c>
      <c r="H71" s="1996">
        <f>+F71*G71</f>
        <v>680</v>
      </c>
    </row>
    <row r="72" spans="2:16" s="1553" customFormat="1" ht="15.95" customHeight="1" x14ac:dyDescent="0.3">
      <c r="B72" s="1990"/>
      <c r="C72" s="1553" t="s">
        <v>605</v>
      </c>
      <c r="D72" s="1985" t="str">
        <f>D51</f>
        <v>L.02</v>
      </c>
      <c r="E72" s="1976" t="s">
        <v>618</v>
      </c>
      <c r="F72" s="2014">
        <v>1E-3</v>
      </c>
      <c r="G72" s="1995">
        <f>G52</f>
        <v>185000</v>
      </c>
      <c r="H72" s="1996">
        <f>+F72*G72</f>
        <v>185</v>
      </c>
    </row>
    <row r="73" spans="2:16" s="1553" customFormat="1" ht="15.95" customHeight="1" x14ac:dyDescent="0.3">
      <c r="B73" s="1990"/>
      <c r="C73" s="1553" t="s">
        <v>50</v>
      </c>
      <c r="D73" s="1985" t="str">
        <f>D52</f>
        <v>L.03</v>
      </c>
      <c r="E73" s="1976" t="s">
        <v>618</v>
      </c>
      <c r="F73" s="2014">
        <v>1E-3</v>
      </c>
      <c r="G73" s="1995">
        <f>G53</f>
        <v>200000</v>
      </c>
      <c r="H73" s="1996">
        <f>+F73*G73</f>
        <v>200</v>
      </c>
    </row>
    <row r="74" spans="2:16" s="1553" customFormat="1" ht="15.95" customHeight="1" x14ac:dyDescent="0.3">
      <c r="B74" s="1990"/>
      <c r="D74" s="1990"/>
      <c r="E74" s="1976"/>
      <c r="F74" s="1980"/>
      <c r="G74" s="1997" t="s">
        <v>52</v>
      </c>
      <c r="H74" s="1996">
        <f>SUM(H70:H73)</f>
        <v>5665</v>
      </c>
    </row>
    <row r="75" spans="2:16" s="1553" customFormat="1" ht="15.95" customHeight="1" x14ac:dyDescent="0.3">
      <c r="B75" s="1990" t="s">
        <v>394</v>
      </c>
      <c r="C75" s="1555" t="s">
        <v>872</v>
      </c>
      <c r="D75" s="1990"/>
      <c r="E75" s="1976"/>
      <c r="F75" s="1980"/>
      <c r="G75" s="1995"/>
      <c r="H75" s="1996"/>
      <c r="N75" s="1553">
        <f>11000/3</f>
        <v>3666.6666666666665</v>
      </c>
    </row>
    <row r="76" spans="2:16" s="1553" customFormat="1" ht="15.95" customHeight="1" x14ac:dyDescent="0.3">
      <c r="B76" s="1974"/>
      <c r="C76" s="1998" t="s">
        <v>883</v>
      </c>
      <c r="E76" s="1999" t="s">
        <v>27</v>
      </c>
      <c r="F76" s="1234">
        <v>1</v>
      </c>
      <c r="G76" s="1995">
        <f>G56</f>
        <v>15500</v>
      </c>
      <c r="H76" s="1996">
        <f>+F76*G76</f>
        <v>15500</v>
      </c>
    </row>
    <row r="77" spans="2:16" s="1553" customFormat="1" ht="15.95" customHeight="1" x14ac:dyDescent="0.3">
      <c r="B77" s="1555"/>
      <c r="C77" s="1998" t="s">
        <v>874</v>
      </c>
      <c r="E77" s="1999" t="s">
        <v>27</v>
      </c>
      <c r="F77" s="1234">
        <v>1</v>
      </c>
      <c r="G77" s="1995">
        <f>G57</f>
        <v>13000</v>
      </c>
      <c r="H77" s="1996">
        <f>+F77*G77</f>
        <v>13000</v>
      </c>
    </row>
    <row r="78" spans="2:16" s="1553" customFormat="1" ht="15.95" customHeight="1" x14ac:dyDescent="0.3">
      <c r="B78" s="1555"/>
      <c r="C78" s="2000" t="s">
        <v>611</v>
      </c>
      <c r="E78" s="1999" t="s">
        <v>1</v>
      </c>
      <c r="F78" s="1234">
        <v>1</v>
      </c>
      <c r="G78" s="1995">
        <f>G58</f>
        <v>5000</v>
      </c>
      <c r="H78" s="1996">
        <f>+F78*G78</f>
        <v>5000</v>
      </c>
    </row>
    <row r="79" spans="2:16" s="1553" customFormat="1" ht="15.95" customHeight="1" x14ac:dyDescent="0.3">
      <c r="B79" s="1555"/>
      <c r="E79" s="1976"/>
      <c r="F79" s="2001"/>
      <c r="G79" s="2002" t="s">
        <v>59</v>
      </c>
      <c r="H79" s="1996">
        <f>SUM(H76:H78)</f>
        <v>33500</v>
      </c>
    </row>
    <row r="80" spans="2:16" s="1553" customFormat="1" ht="15.95" customHeight="1" x14ac:dyDescent="0.3">
      <c r="B80" s="1974" t="s">
        <v>411</v>
      </c>
      <c r="C80" s="1554" t="s">
        <v>60</v>
      </c>
      <c r="E80" s="1976"/>
      <c r="F80" s="2001"/>
      <c r="G80" s="2003"/>
      <c r="H80" s="2003"/>
    </row>
    <row r="81" spans="2:16" s="1553" customFormat="1" ht="15.95" customHeight="1" x14ac:dyDescent="0.3">
      <c r="B81" s="1555"/>
      <c r="E81" s="1976"/>
      <c r="F81" s="2001"/>
      <c r="G81" s="2002" t="s">
        <v>61</v>
      </c>
      <c r="H81" s="1996">
        <v>0</v>
      </c>
    </row>
    <row r="82" spans="2:16" s="1553" customFormat="1" ht="15.95" customHeight="1" x14ac:dyDescent="0.3">
      <c r="B82" s="1976" t="s">
        <v>6</v>
      </c>
      <c r="C82" s="1553" t="s">
        <v>875</v>
      </c>
      <c r="E82" s="1980"/>
      <c r="F82" s="1976"/>
      <c r="G82" s="1976"/>
      <c r="H82" s="2003">
        <f>+H81+H79+H74</f>
        <v>39165</v>
      </c>
    </row>
    <row r="83" spans="2:16" s="1553" customFormat="1" ht="15.95" customHeight="1" x14ac:dyDescent="0.3">
      <c r="B83" s="1974" t="s">
        <v>7</v>
      </c>
      <c r="C83" s="1555" t="s">
        <v>100</v>
      </c>
      <c r="E83" s="1980"/>
      <c r="F83" s="1976"/>
      <c r="G83" s="2004">
        <v>0</v>
      </c>
      <c r="H83" s="1981">
        <f>H82*J63</f>
        <v>0</v>
      </c>
    </row>
    <row r="84" spans="2:16" s="1553" customFormat="1" ht="15.95" customHeight="1" x14ac:dyDescent="0.3">
      <c r="B84" s="1976" t="s">
        <v>63</v>
      </c>
      <c r="C84" s="1553" t="s">
        <v>877</v>
      </c>
      <c r="E84" s="1980"/>
      <c r="F84" s="1976"/>
      <c r="G84" s="1976"/>
      <c r="H84" s="1981">
        <f>+H82+H83</f>
        <v>39165</v>
      </c>
    </row>
    <row r="85" spans="2:16" s="1553" customFormat="1" ht="15.95" customHeight="1" x14ac:dyDescent="0.3">
      <c r="C85" s="1554" t="s">
        <v>878</v>
      </c>
      <c r="D85" s="1555"/>
      <c r="E85" s="1555"/>
      <c r="F85" s="1555"/>
      <c r="G85" s="1555"/>
      <c r="H85" s="2005">
        <f>ROUNDDOWN(H84,2)</f>
        <v>39165</v>
      </c>
    </row>
    <row r="86" spans="2:16" ht="15.95" customHeight="1" x14ac:dyDescent="0.3">
      <c r="C86" s="2011"/>
      <c r="D86" s="2012"/>
      <c r="E86" s="2012"/>
      <c r="F86" s="2012"/>
      <c r="G86" s="2012"/>
      <c r="H86" s="2013"/>
    </row>
    <row r="87" spans="2:16" ht="15.95" customHeight="1" x14ac:dyDescent="0.3">
      <c r="B87" s="2015" t="s">
        <v>1069</v>
      </c>
      <c r="C87" s="2015"/>
      <c r="D87" s="2015"/>
      <c r="E87" s="2015"/>
      <c r="F87" s="2015"/>
      <c r="G87" s="2015"/>
      <c r="H87" s="2016"/>
    </row>
    <row r="88" spans="2:16" ht="15.95" customHeight="1" x14ac:dyDescent="0.3">
      <c r="B88" s="1979" t="s">
        <v>886</v>
      </c>
      <c r="C88" s="1555" t="s">
        <v>887</v>
      </c>
      <c r="E88" s="2017"/>
      <c r="F88" s="2007"/>
      <c r="H88" s="2018"/>
    </row>
    <row r="89" spans="2:16" s="1976" customFormat="1" ht="15.95" customHeight="1" x14ac:dyDescent="0.3">
      <c r="B89" s="1982" t="s">
        <v>12</v>
      </c>
      <c r="C89" s="1982" t="s">
        <v>36</v>
      </c>
      <c r="D89" s="1982" t="s">
        <v>37</v>
      </c>
      <c r="E89" s="1983" t="s">
        <v>184</v>
      </c>
      <c r="F89" s="1984" t="s">
        <v>868</v>
      </c>
      <c r="G89" s="1983" t="s">
        <v>1063</v>
      </c>
      <c r="H89" s="1983" t="s">
        <v>40</v>
      </c>
      <c r="I89" s="1985"/>
      <c r="J89" s="1986"/>
      <c r="K89" s="1986"/>
      <c r="L89" s="1986"/>
      <c r="M89" s="1986"/>
      <c r="N89" s="1987"/>
      <c r="O89" s="1988"/>
      <c r="P89" s="1989"/>
    </row>
    <row r="90" spans="2:16" s="1553" customFormat="1" ht="15.95" customHeight="1" x14ac:dyDescent="0.3">
      <c r="B90" s="1990" t="s">
        <v>368</v>
      </c>
      <c r="C90" s="1991" t="s">
        <v>42</v>
      </c>
      <c r="D90" s="1990"/>
      <c r="E90" s="1992"/>
      <c r="F90" s="1993"/>
      <c r="G90" s="1992"/>
      <c r="H90" s="1992"/>
    </row>
    <row r="91" spans="2:16" s="1553" customFormat="1" ht="15.95" customHeight="1" x14ac:dyDescent="0.3">
      <c r="B91" s="1990"/>
      <c r="C91" s="1553" t="s">
        <v>71</v>
      </c>
      <c r="D91" s="1985" t="s">
        <v>888</v>
      </c>
      <c r="E91" s="1976" t="s">
        <v>618</v>
      </c>
      <c r="F91" s="2014">
        <v>7.0000000000000007E-2</v>
      </c>
      <c r="G91" s="1995">
        <f>G70</f>
        <v>115000</v>
      </c>
      <c r="H91" s="1996">
        <f>+F91*G91</f>
        <v>8050.0000000000009</v>
      </c>
    </row>
    <row r="92" spans="2:16" s="1553" customFormat="1" ht="15.95" customHeight="1" x14ac:dyDescent="0.3">
      <c r="B92" s="1990"/>
      <c r="C92" s="1553" t="s">
        <v>871</v>
      </c>
      <c r="D92" s="1985" t="s">
        <v>889</v>
      </c>
      <c r="E92" s="1976" t="s">
        <v>618</v>
      </c>
      <c r="F92" s="2014">
        <v>7.0000000000000007E-2</v>
      </c>
      <c r="G92" s="1995">
        <f>G71</f>
        <v>170000</v>
      </c>
      <c r="H92" s="1996">
        <f>+F92*G92</f>
        <v>11900.000000000002</v>
      </c>
    </row>
    <row r="93" spans="2:16" s="1553" customFormat="1" ht="15.95" customHeight="1" x14ac:dyDescent="0.3">
      <c r="B93" s="1990"/>
      <c r="C93" s="1553" t="s">
        <v>605</v>
      </c>
      <c r="D93" s="1985" t="s">
        <v>890</v>
      </c>
      <c r="E93" s="1976" t="s">
        <v>618</v>
      </c>
      <c r="F93" s="2014">
        <v>0.06</v>
      </c>
      <c r="G93" s="1995">
        <f>G72</f>
        <v>185000</v>
      </c>
      <c r="H93" s="1996">
        <f>+F93*G93</f>
        <v>11100</v>
      </c>
    </row>
    <row r="94" spans="2:16" s="1553" customFormat="1" ht="15.95" customHeight="1" x14ac:dyDescent="0.3">
      <c r="B94" s="1990"/>
      <c r="C94" s="1553" t="s">
        <v>50</v>
      </c>
      <c r="D94" s="1985" t="s">
        <v>891</v>
      </c>
      <c r="E94" s="1976" t="s">
        <v>618</v>
      </c>
      <c r="F94" s="2014">
        <v>0.02</v>
      </c>
      <c r="G94" s="1995">
        <f>G73</f>
        <v>200000</v>
      </c>
      <c r="H94" s="1996">
        <f>+F94*G94</f>
        <v>4000</v>
      </c>
    </row>
    <row r="95" spans="2:16" s="1553" customFormat="1" ht="15.95" customHeight="1" x14ac:dyDescent="0.3">
      <c r="B95" s="1990"/>
      <c r="D95" s="1990"/>
      <c r="E95" s="1976"/>
      <c r="F95" s="2001"/>
      <c r="G95" s="1997" t="s">
        <v>52</v>
      </c>
      <c r="H95" s="1996">
        <f>SUM(H91:H94)</f>
        <v>35050</v>
      </c>
    </row>
    <row r="96" spans="2:16" s="1553" customFormat="1" ht="15.95" customHeight="1" x14ac:dyDescent="0.3">
      <c r="B96" s="1990" t="s">
        <v>394</v>
      </c>
      <c r="C96" s="1555" t="s">
        <v>872</v>
      </c>
      <c r="D96" s="1990"/>
      <c r="E96" s="1992"/>
      <c r="F96" s="1993"/>
      <c r="G96" s="1992"/>
      <c r="H96" s="1992"/>
    </row>
    <row r="97" spans="2:16" s="1553" customFormat="1" ht="15.95" customHeight="1" x14ac:dyDescent="0.3">
      <c r="B97" s="1555"/>
      <c r="C97" s="1998" t="s">
        <v>1064</v>
      </c>
      <c r="E97" s="1999" t="s">
        <v>27</v>
      </c>
      <c r="F97" s="1980">
        <v>1</v>
      </c>
      <c r="G97" s="1995">
        <f>'UB mep'!J106</f>
        <v>269000</v>
      </c>
      <c r="H97" s="1996">
        <f>+F97*G97</f>
        <v>269000</v>
      </c>
    </row>
    <row r="98" spans="2:16" s="1553" customFormat="1" ht="15.95" customHeight="1" x14ac:dyDescent="0.3">
      <c r="B98" s="1555"/>
      <c r="C98" s="2000" t="s">
        <v>892</v>
      </c>
      <c r="E98" s="1976" t="s">
        <v>1</v>
      </c>
      <c r="F98" s="2019">
        <v>0.2</v>
      </c>
      <c r="G98" s="1995">
        <f>SUM(G97:G97)</f>
        <v>269000</v>
      </c>
      <c r="H98" s="1996">
        <f>F98*G98/100</f>
        <v>538</v>
      </c>
    </row>
    <row r="99" spans="2:16" s="1553" customFormat="1" ht="15.95" customHeight="1" x14ac:dyDescent="0.3">
      <c r="B99" s="1555"/>
      <c r="E99" s="1976"/>
      <c r="F99" s="2001"/>
      <c r="G99" s="2002" t="s">
        <v>59</v>
      </c>
      <c r="H99" s="1996">
        <f>SUM(H97:H98)</f>
        <v>269538</v>
      </c>
    </row>
    <row r="100" spans="2:16" s="1553" customFormat="1" ht="15.95" customHeight="1" x14ac:dyDescent="0.3">
      <c r="B100" s="1974" t="s">
        <v>411</v>
      </c>
      <c r="C100" s="1554" t="s">
        <v>60</v>
      </c>
      <c r="E100" s="1976"/>
      <c r="F100" s="2001"/>
      <c r="G100" s="2003"/>
      <c r="H100" s="2003"/>
    </row>
    <row r="101" spans="2:16" s="1553" customFormat="1" ht="15.95" customHeight="1" x14ac:dyDescent="0.3">
      <c r="B101" s="1555"/>
      <c r="E101" s="1976"/>
      <c r="F101" s="2001"/>
      <c r="G101" s="2002" t="s">
        <v>61</v>
      </c>
      <c r="H101" s="1996">
        <v>0</v>
      </c>
    </row>
    <row r="102" spans="2:16" s="1553" customFormat="1" ht="15.95" customHeight="1" x14ac:dyDescent="0.3">
      <c r="B102" s="1976" t="s">
        <v>6</v>
      </c>
      <c r="C102" s="1553" t="s">
        <v>875</v>
      </c>
      <c r="E102" s="1980"/>
      <c r="F102" s="1976"/>
      <c r="G102" s="1976"/>
      <c r="H102" s="2003">
        <f>+H101+H99+H95</f>
        <v>304588</v>
      </c>
    </row>
    <row r="103" spans="2:16" s="1553" customFormat="1" ht="15.95" customHeight="1" x14ac:dyDescent="0.3">
      <c r="B103" s="1974" t="s">
        <v>7</v>
      </c>
      <c r="C103" s="1555" t="s">
        <v>100</v>
      </c>
      <c r="E103" s="1980"/>
      <c r="F103" s="1976"/>
      <c r="G103" s="2004">
        <v>0</v>
      </c>
      <c r="H103" s="1981">
        <f>H102*J83</f>
        <v>0</v>
      </c>
    </row>
    <row r="104" spans="2:16" s="1553" customFormat="1" ht="15.95" customHeight="1" x14ac:dyDescent="0.3">
      <c r="B104" s="1976" t="s">
        <v>63</v>
      </c>
      <c r="C104" s="1553" t="s">
        <v>877</v>
      </c>
      <c r="E104" s="1980"/>
      <c r="F104" s="1976"/>
      <c r="G104" s="1976"/>
      <c r="H104" s="1981">
        <f>SUM(H102:H103)</f>
        <v>304588</v>
      </c>
    </row>
    <row r="105" spans="2:16" s="1553" customFormat="1" ht="15.95" customHeight="1" x14ac:dyDescent="0.3">
      <c r="C105" s="1554" t="s">
        <v>878</v>
      </c>
      <c r="D105" s="1555"/>
      <c r="E105" s="1555"/>
      <c r="F105" s="1555"/>
      <c r="G105" s="1555"/>
      <c r="H105" s="2005">
        <f>ROUNDDOWN(H104,2)</f>
        <v>304588</v>
      </c>
    </row>
    <row r="106" spans="2:16" ht="15.95" customHeight="1" x14ac:dyDescent="0.3">
      <c r="C106" s="2011"/>
      <c r="D106" s="2012"/>
      <c r="E106" s="2012"/>
      <c r="F106" s="2012"/>
      <c r="G106" s="2012"/>
      <c r="H106" s="2013"/>
    </row>
    <row r="107" spans="2:16" ht="15.95" customHeight="1" x14ac:dyDescent="0.3">
      <c r="B107" s="1979" t="s">
        <v>893</v>
      </c>
      <c r="C107" s="1555" t="s">
        <v>894</v>
      </c>
      <c r="E107" s="2017"/>
      <c r="F107" s="2007"/>
      <c r="H107" s="2018"/>
    </row>
    <row r="108" spans="2:16" s="1976" customFormat="1" ht="15.95" customHeight="1" x14ac:dyDescent="0.3">
      <c r="B108" s="1982" t="s">
        <v>12</v>
      </c>
      <c r="C108" s="1982" t="s">
        <v>36</v>
      </c>
      <c r="D108" s="1982" t="s">
        <v>37</v>
      </c>
      <c r="E108" s="1983" t="s">
        <v>184</v>
      </c>
      <c r="F108" s="1984" t="s">
        <v>868</v>
      </c>
      <c r="G108" s="1983" t="s">
        <v>1063</v>
      </c>
      <c r="H108" s="1983" t="s">
        <v>40</v>
      </c>
      <c r="I108" s="1985"/>
      <c r="J108" s="1986"/>
      <c r="K108" s="1986"/>
      <c r="L108" s="1986"/>
      <c r="M108" s="1986"/>
      <c r="N108" s="1987"/>
      <c r="O108" s="1988"/>
      <c r="P108" s="1989"/>
    </row>
    <row r="109" spans="2:16" s="1553" customFormat="1" ht="15.95" customHeight="1" x14ac:dyDescent="0.3">
      <c r="B109" s="1990" t="s">
        <v>368</v>
      </c>
      <c r="C109" s="1991" t="s">
        <v>42</v>
      </c>
      <c r="D109" s="1990"/>
      <c r="E109" s="1992"/>
      <c r="F109" s="1993"/>
      <c r="G109" s="1992"/>
      <c r="H109" s="1992"/>
    </row>
    <row r="110" spans="2:16" s="1553" customFormat="1" ht="15.95" customHeight="1" x14ac:dyDescent="0.3">
      <c r="B110" s="1990"/>
      <c r="C110" s="1553" t="s">
        <v>71</v>
      </c>
      <c r="D110" s="1985" t="s">
        <v>888</v>
      </c>
      <c r="E110" s="1976" t="s">
        <v>618</v>
      </c>
      <c r="F110" s="2014">
        <v>0.05</v>
      </c>
      <c r="G110" s="1995">
        <f>G91</f>
        <v>115000</v>
      </c>
      <c r="H110" s="1996">
        <f>+F110*G110</f>
        <v>5750</v>
      </c>
    </row>
    <row r="111" spans="2:16" s="1553" customFormat="1" ht="15.95" customHeight="1" x14ac:dyDescent="0.3">
      <c r="B111" s="1990"/>
      <c r="C111" s="1553" t="s">
        <v>871</v>
      </c>
      <c r="D111" s="1985" t="s">
        <v>889</v>
      </c>
      <c r="E111" s="1976" t="s">
        <v>618</v>
      </c>
      <c r="F111" s="2014">
        <v>0.05</v>
      </c>
      <c r="G111" s="1995">
        <f>G92</f>
        <v>170000</v>
      </c>
      <c r="H111" s="1996">
        <f>+F111*G111</f>
        <v>8500</v>
      </c>
    </row>
    <row r="112" spans="2:16" s="1553" customFormat="1" ht="15.95" customHeight="1" x14ac:dyDescent="0.3">
      <c r="B112" s="1990"/>
      <c r="C112" s="1553" t="s">
        <v>605</v>
      </c>
      <c r="D112" s="1985" t="s">
        <v>890</v>
      </c>
      <c r="E112" s="1976" t="s">
        <v>618</v>
      </c>
      <c r="F112" s="2014">
        <v>0.05</v>
      </c>
      <c r="G112" s="1995">
        <f>G93</f>
        <v>185000</v>
      </c>
      <c r="H112" s="1996">
        <f>+F112*G112</f>
        <v>9250</v>
      </c>
    </row>
    <row r="113" spans="2:16" s="1553" customFormat="1" ht="15.95" customHeight="1" x14ac:dyDescent="0.3">
      <c r="B113" s="1990"/>
      <c r="C113" s="1553" t="s">
        <v>50</v>
      </c>
      <c r="D113" s="1985" t="s">
        <v>891</v>
      </c>
      <c r="E113" s="1976" t="s">
        <v>618</v>
      </c>
      <c r="F113" s="2014">
        <v>1E-3</v>
      </c>
      <c r="G113" s="1995">
        <f>G94</f>
        <v>200000</v>
      </c>
      <c r="H113" s="1996">
        <f>+F113*G113</f>
        <v>200</v>
      </c>
    </row>
    <row r="114" spans="2:16" s="1553" customFormat="1" ht="15.95" customHeight="1" x14ac:dyDescent="0.3">
      <c r="B114" s="1990"/>
      <c r="D114" s="1990"/>
      <c r="E114" s="1976"/>
      <c r="F114" s="2001"/>
      <c r="G114" s="1997" t="s">
        <v>52</v>
      </c>
      <c r="H114" s="1996">
        <f>SUM(H110:H113)</f>
        <v>23700</v>
      </c>
    </row>
    <row r="115" spans="2:16" s="1553" customFormat="1" ht="15.95" customHeight="1" x14ac:dyDescent="0.3">
      <c r="B115" s="1990" t="s">
        <v>394</v>
      </c>
      <c r="C115" s="1555" t="s">
        <v>872</v>
      </c>
      <c r="D115" s="1990"/>
      <c r="E115" s="1992"/>
      <c r="F115" s="1993"/>
      <c r="G115" s="1992"/>
      <c r="H115" s="1992"/>
    </row>
    <row r="116" spans="2:16" s="1553" customFormat="1" ht="15.95" customHeight="1" x14ac:dyDescent="0.3">
      <c r="B116" s="1555"/>
      <c r="C116" s="1998" t="s">
        <v>1065</v>
      </c>
      <c r="E116" s="1976" t="s">
        <v>27</v>
      </c>
      <c r="F116" s="1980">
        <v>1</v>
      </c>
      <c r="G116" s="1995">
        <f>'UB mep'!J107</f>
        <v>197500</v>
      </c>
      <c r="H116" s="1996">
        <f>+F116*G116</f>
        <v>197500</v>
      </c>
    </row>
    <row r="117" spans="2:16" s="1553" customFormat="1" ht="15.95" customHeight="1" x14ac:dyDescent="0.3">
      <c r="B117" s="1555"/>
      <c r="C117" s="1998" t="s">
        <v>895</v>
      </c>
      <c r="E117" s="1976" t="s">
        <v>27</v>
      </c>
      <c r="F117" s="1980">
        <v>1</v>
      </c>
      <c r="G117" s="1995">
        <f>'UB mep'!J119</f>
        <v>35000</v>
      </c>
      <c r="H117" s="1996">
        <f>+F117*G117</f>
        <v>35000</v>
      </c>
    </row>
    <row r="118" spans="2:16" s="1553" customFormat="1" ht="15.95" customHeight="1" x14ac:dyDescent="0.3">
      <c r="B118" s="1555"/>
      <c r="C118" s="2000" t="s">
        <v>892</v>
      </c>
      <c r="E118" s="1976" t="s">
        <v>1</v>
      </c>
      <c r="F118" s="2020">
        <v>0.1</v>
      </c>
      <c r="G118" s="1995">
        <f>SUM(G116:G117)</f>
        <v>232500</v>
      </c>
      <c r="H118" s="1996">
        <f>+F118*G118</f>
        <v>23250</v>
      </c>
    </row>
    <row r="119" spans="2:16" s="1553" customFormat="1" ht="15.95" customHeight="1" x14ac:dyDescent="0.3">
      <c r="B119" s="1555"/>
      <c r="E119" s="1976"/>
      <c r="F119" s="2001"/>
      <c r="G119" s="2002" t="s">
        <v>59</v>
      </c>
      <c r="H119" s="1996">
        <f>SUM(H116:H118)</f>
        <v>255750</v>
      </c>
    </row>
    <row r="120" spans="2:16" s="1553" customFormat="1" ht="15.95" customHeight="1" x14ac:dyDescent="0.3">
      <c r="B120" s="1974" t="s">
        <v>411</v>
      </c>
      <c r="C120" s="1554" t="s">
        <v>60</v>
      </c>
      <c r="E120" s="1976"/>
      <c r="F120" s="2001"/>
      <c r="G120" s="2003"/>
      <c r="H120" s="2003"/>
    </row>
    <row r="121" spans="2:16" s="1553" customFormat="1" ht="15.95" customHeight="1" x14ac:dyDescent="0.3">
      <c r="B121" s="1555"/>
      <c r="E121" s="1976"/>
      <c r="F121" s="2001"/>
      <c r="G121" s="2002" t="s">
        <v>61</v>
      </c>
      <c r="H121" s="1996">
        <v>0</v>
      </c>
    </row>
    <row r="122" spans="2:16" s="1553" customFormat="1" ht="15.95" customHeight="1" x14ac:dyDescent="0.3">
      <c r="B122" s="1976" t="s">
        <v>6</v>
      </c>
      <c r="C122" s="1553" t="s">
        <v>875</v>
      </c>
      <c r="E122" s="1980"/>
      <c r="F122" s="1976"/>
      <c r="G122" s="1976"/>
      <c r="H122" s="2003">
        <f>+H121+H119+H114</f>
        <v>279450</v>
      </c>
    </row>
    <row r="123" spans="2:16" ht="15.95" customHeight="1" x14ac:dyDescent="0.3">
      <c r="B123" s="1974" t="s">
        <v>7</v>
      </c>
      <c r="C123" s="1555" t="s">
        <v>100</v>
      </c>
      <c r="D123" s="1553"/>
      <c r="E123" s="1980"/>
      <c r="F123" s="1976"/>
      <c r="G123" s="2004">
        <v>0</v>
      </c>
      <c r="H123" s="1981">
        <f>H122*J103</f>
        <v>0</v>
      </c>
    </row>
    <row r="124" spans="2:16" s="1553" customFormat="1" ht="15.95" customHeight="1" x14ac:dyDescent="0.3">
      <c r="B124" s="1976" t="s">
        <v>63</v>
      </c>
      <c r="C124" s="1553" t="s">
        <v>877</v>
      </c>
      <c r="E124" s="1980"/>
      <c r="F124" s="1976"/>
      <c r="G124" s="1976"/>
      <c r="H124" s="1981">
        <f>+H122+H123</f>
        <v>279450</v>
      </c>
    </row>
    <row r="125" spans="2:16" ht="15.95" customHeight="1" x14ac:dyDescent="0.3">
      <c r="C125" s="1554" t="s">
        <v>878</v>
      </c>
      <c r="D125" s="1555"/>
      <c r="E125" s="1555"/>
      <c r="F125" s="1555"/>
      <c r="G125" s="1555"/>
      <c r="H125" s="2005">
        <f>ROUNDDOWN(H124,2)</f>
        <v>279450</v>
      </c>
    </row>
    <row r="126" spans="2:16" ht="15.95" customHeight="1" x14ac:dyDescent="0.3">
      <c r="C126" s="2011"/>
      <c r="D126" s="2012"/>
      <c r="E126" s="2012"/>
      <c r="F126" s="2012"/>
      <c r="G126" s="2012"/>
      <c r="H126" s="2013"/>
    </row>
    <row r="127" spans="2:16" ht="15.95" customHeight="1" x14ac:dyDescent="0.3">
      <c r="B127" s="1979" t="s">
        <v>896</v>
      </c>
      <c r="C127" s="1555" t="s">
        <v>897</v>
      </c>
      <c r="E127" s="2017"/>
      <c r="F127" s="2007"/>
      <c r="H127" s="2018"/>
    </row>
    <row r="128" spans="2:16" s="1976" customFormat="1" ht="15.95" customHeight="1" x14ac:dyDescent="0.3">
      <c r="B128" s="1982" t="s">
        <v>12</v>
      </c>
      <c r="C128" s="1982" t="s">
        <v>36</v>
      </c>
      <c r="D128" s="1982" t="s">
        <v>37</v>
      </c>
      <c r="E128" s="1983" t="s">
        <v>184</v>
      </c>
      <c r="F128" s="1984" t="s">
        <v>868</v>
      </c>
      <c r="G128" s="1983" t="s">
        <v>1063</v>
      </c>
      <c r="H128" s="1983" t="s">
        <v>40</v>
      </c>
      <c r="I128" s="1985"/>
      <c r="J128" s="1986"/>
      <c r="K128" s="1986"/>
      <c r="L128" s="1986"/>
      <c r="M128" s="1986"/>
      <c r="N128" s="1987"/>
      <c r="O128" s="1988"/>
      <c r="P128" s="1989"/>
    </row>
    <row r="129" spans="2:8" s="1553" customFormat="1" ht="15.95" customHeight="1" x14ac:dyDescent="0.3">
      <c r="B129" s="1990" t="s">
        <v>368</v>
      </c>
      <c r="C129" s="1991" t="s">
        <v>42</v>
      </c>
      <c r="D129" s="1990"/>
      <c r="E129" s="1992"/>
      <c r="F129" s="1993"/>
      <c r="G129" s="1992"/>
      <c r="H129" s="1992"/>
    </row>
    <row r="130" spans="2:8" s="1553" customFormat="1" ht="15.95" customHeight="1" x14ac:dyDescent="0.3">
      <c r="B130" s="1990"/>
      <c r="C130" s="1553" t="s">
        <v>71</v>
      </c>
      <c r="D130" s="1985" t="s">
        <v>888</v>
      </c>
      <c r="E130" s="1976" t="s">
        <v>618</v>
      </c>
      <c r="F130" s="2014">
        <v>0.05</v>
      </c>
      <c r="G130" s="1995">
        <f>G110</f>
        <v>115000</v>
      </c>
      <c r="H130" s="1996">
        <f>+F130*G130</f>
        <v>5750</v>
      </c>
    </row>
    <row r="131" spans="2:8" s="1553" customFormat="1" ht="15.95" customHeight="1" x14ac:dyDescent="0.3">
      <c r="B131" s="1990"/>
      <c r="C131" s="1553" t="s">
        <v>871</v>
      </c>
      <c r="D131" s="1985" t="s">
        <v>889</v>
      </c>
      <c r="E131" s="1976" t="s">
        <v>618</v>
      </c>
      <c r="F131" s="2014">
        <v>0.05</v>
      </c>
      <c r="G131" s="1995">
        <f>G111</f>
        <v>170000</v>
      </c>
      <c r="H131" s="1996">
        <f>+F131*G131</f>
        <v>8500</v>
      </c>
    </row>
    <row r="132" spans="2:8" s="1553" customFormat="1" ht="15.95" customHeight="1" x14ac:dyDescent="0.3">
      <c r="B132" s="1990"/>
      <c r="C132" s="1553" t="s">
        <v>605</v>
      </c>
      <c r="D132" s="1985" t="s">
        <v>890</v>
      </c>
      <c r="E132" s="1976" t="s">
        <v>618</v>
      </c>
      <c r="F132" s="2014">
        <v>0.05</v>
      </c>
      <c r="G132" s="1995">
        <f>G112</f>
        <v>185000</v>
      </c>
      <c r="H132" s="1996">
        <f>+F132*G132</f>
        <v>9250</v>
      </c>
    </row>
    <row r="133" spans="2:8" s="1553" customFormat="1" ht="15.95" customHeight="1" x14ac:dyDescent="0.3">
      <c r="B133" s="1990"/>
      <c r="C133" s="1553" t="s">
        <v>50</v>
      </c>
      <c r="D133" s="1985" t="s">
        <v>891</v>
      </c>
      <c r="E133" s="1976" t="s">
        <v>618</v>
      </c>
      <c r="F133" s="2014">
        <v>1E-3</v>
      </c>
      <c r="G133" s="1995">
        <f>G113</f>
        <v>200000</v>
      </c>
      <c r="H133" s="1996">
        <f>+F133*G133</f>
        <v>200</v>
      </c>
    </row>
    <row r="134" spans="2:8" s="1553" customFormat="1" ht="15.95" customHeight="1" x14ac:dyDescent="0.3">
      <c r="B134" s="1990"/>
      <c r="D134" s="1990"/>
      <c r="E134" s="1976"/>
      <c r="F134" s="2001"/>
      <c r="G134" s="1997" t="s">
        <v>52</v>
      </c>
      <c r="H134" s="1996">
        <f>SUM(H130:H133)</f>
        <v>23700</v>
      </c>
    </row>
    <row r="135" spans="2:8" s="1553" customFormat="1" ht="15.95" customHeight="1" x14ac:dyDescent="0.3">
      <c r="B135" s="1990" t="s">
        <v>394</v>
      </c>
      <c r="C135" s="1555" t="s">
        <v>872</v>
      </c>
      <c r="D135" s="1990"/>
      <c r="E135" s="1992"/>
      <c r="F135" s="1993"/>
      <c r="G135" s="1992"/>
      <c r="H135" s="1992"/>
    </row>
    <row r="136" spans="2:8" s="1553" customFormat="1" ht="15.95" customHeight="1" x14ac:dyDescent="0.3">
      <c r="B136" s="1555"/>
      <c r="C136" s="1998" t="s">
        <v>898</v>
      </c>
      <c r="E136" s="1976" t="s">
        <v>27</v>
      </c>
      <c r="F136" s="1980">
        <v>1</v>
      </c>
      <c r="G136" s="1995">
        <f>'UB mep'!J108</f>
        <v>128000</v>
      </c>
      <c r="H136" s="1996">
        <f>+F136*G136</f>
        <v>128000</v>
      </c>
    </row>
    <row r="137" spans="2:8" s="1553" customFormat="1" ht="15.95" customHeight="1" x14ac:dyDescent="0.3">
      <c r="B137" s="1555"/>
      <c r="C137" s="1998" t="s">
        <v>899</v>
      </c>
      <c r="E137" s="1976" t="s">
        <v>27</v>
      </c>
      <c r="F137" s="1980">
        <v>1</v>
      </c>
      <c r="G137" s="1995">
        <f>'UB mep'!J120</f>
        <v>25000</v>
      </c>
      <c r="H137" s="1996">
        <f>+F137*G137</f>
        <v>25000</v>
      </c>
    </row>
    <row r="138" spans="2:8" s="1553" customFormat="1" ht="15.95" customHeight="1" x14ac:dyDescent="0.3">
      <c r="B138" s="1555"/>
      <c r="C138" s="2000" t="s">
        <v>892</v>
      </c>
      <c r="E138" s="1976" t="s">
        <v>1</v>
      </c>
      <c r="F138" s="1980">
        <v>1</v>
      </c>
      <c r="G138" s="1995">
        <f>G18</f>
        <v>5000</v>
      </c>
      <c r="H138" s="1996">
        <f>+F138*G138</f>
        <v>5000</v>
      </c>
    </row>
    <row r="139" spans="2:8" s="1553" customFormat="1" ht="15.95" customHeight="1" x14ac:dyDescent="0.3">
      <c r="B139" s="1555"/>
      <c r="E139" s="1976"/>
      <c r="F139" s="2001"/>
      <c r="G139" s="2002" t="s">
        <v>59</v>
      </c>
      <c r="H139" s="1996">
        <f>SUM(H136:H138)</f>
        <v>158000</v>
      </c>
    </row>
    <row r="140" spans="2:8" s="1553" customFormat="1" ht="15.95" customHeight="1" x14ac:dyDescent="0.3">
      <c r="B140" s="1974" t="s">
        <v>411</v>
      </c>
      <c r="C140" s="1554" t="s">
        <v>60</v>
      </c>
      <c r="E140" s="1976"/>
      <c r="F140" s="2001"/>
      <c r="G140" s="2003"/>
      <c r="H140" s="2003"/>
    </row>
    <row r="141" spans="2:8" s="1553" customFormat="1" ht="15.95" customHeight="1" x14ac:dyDescent="0.3">
      <c r="B141" s="1555"/>
      <c r="E141" s="1976"/>
      <c r="F141" s="2001"/>
      <c r="G141" s="2002" t="s">
        <v>61</v>
      </c>
      <c r="H141" s="1996">
        <v>0</v>
      </c>
    </row>
    <row r="142" spans="2:8" s="1553" customFormat="1" ht="15.95" customHeight="1" x14ac:dyDescent="0.3">
      <c r="B142" s="1976" t="s">
        <v>6</v>
      </c>
      <c r="C142" s="1553" t="s">
        <v>875</v>
      </c>
      <c r="E142" s="1980"/>
      <c r="F142" s="1976"/>
      <c r="G142" s="1976"/>
      <c r="H142" s="2003">
        <f>+H141+H139+H134</f>
        <v>181700</v>
      </c>
    </row>
    <row r="143" spans="2:8" s="1553" customFormat="1" ht="15.95" customHeight="1" x14ac:dyDescent="0.3">
      <c r="B143" s="1974" t="s">
        <v>7</v>
      </c>
      <c r="C143" s="1555" t="s">
        <v>100</v>
      </c>
      <c r="E143" s="1980"/>
      <c r="F143" s="1976"/>
      <c r="G143" s="2004">
        <v>0</v>
      </c>
      <c r="H143" s="1981">
        <f>H142*J123</f>
        <v>0</v>
      </c>
    </row>
    <row r="144" spans="2:8" s="1553" customFormat="1" ht="15.95" customHeight="1" x14ac:dyDescent="0.3">
      <c r="B144" s="1976" t="s">
        <v>63</v>
      </c>
      <c r="C144" s="1553" t="s">
        <v>877</v>
      </c>
      <c r="E144" s="1980"/>
      <c r="F144" s="1976"/>
      <c r="G144" s="1976"/>
      <c r="H144" s="1981">
        <f>+H142+H143</f>
        <v>181700</v>
      </c>
    </row>
    <row r="145" spans="2:16" s="1553" customFormat="1" ht="15.95" customHeight="1" x14ac:dyDescent="0.3">
      <c r="C145" s="1554" t="s">
        <v>878</v>
      </c>
      <c r="D145" s="1555"/>
      <c r="E145" s="1555"/>
      <c r="F145" s="1555"/>
      <c r="G145" s="1555"/>
      <c r="H145" s="2005">
        <f>ROUNDDOWN(H144,2)</f>
        <v>181700</v>
      </c>
    </row>
    <row r="146" spans="2:16" ht="15.95" customHeight="1" x14ac:dyDescent="0.3">
      <c r="C146" s="2011"/>
      <c r="D146" s="2012"/>
      <c r="E146" s="2012"/>
      <c r="F146" s="2012"/>
      <c r="G146" s="2012"/>
      <c r="H146" s="2013"/>
    </row>
    <row r="147" spans="2:16" ht="15.95" customHeight="1" x14ac:dyDescent="0.3">
      <c r="B147" s="1979" t="s">
        <v>900</v>
      </c>
      <c r="C147" s="1554" t="s">
        <v>901</v>
      </c>
      <c r="E147" s="2017"/>
      <c r="F147" s="2007"/>
      <c r="H147" s="2018"/>
    </row>
    <row r="148" spans="2:16" s="1976" customFormat="1" ht="15.95" customHeight="1" x14ac:dyDescent="0.3">
      <c r="B148" s="1982" t="s">
        <v>12</v>
      </c>
      <c r="C148" s="1982" t="s">
        <v>36</v>
      </c>
      <c r="D148" s="1982" t="s">
        <v>37</v>
      </c>
      <c r="E148" s="1983" t="s">
        <v>184</v>
      </c>
      <c r="F148" s="1984" t="s">
        <v>868</v>
      </c>
      <c r="G148" s="1983" t="s">
        <v>1063</v>
      </c>
      <c r="H148" s="1983" t="s">
        <v>40</v>
      </c>
      <c r="I148" s="1985"/>
      <c r="J148" s="1986"/>
      <c r="K148" s="1986"/>
      <c r="L148" s="1986"/>
      <c r="M148" s="1986"/>
      <c r="N148" s="1987"/>
      <c r="O148" s="1988"/>
      <c r="P148" s="1989"/>
    </row>
    <row r="149" spans="2:16" ht="15.95" customHeight="1" x14ac:dyDescent="0.3">
      <c r="B149" s="1990" t="s">
        <v>368</v>
      </c>
      <c r="C149" s="1991" t="s">
        <v>42</v>
      </c>
      <c r="D149" s="1990"/>
      <c r="E149" s="1992"/>
      <c r="F149" s="1993"/>
      <c r="G149" s="1992"/>
      <c r="H149" s="1992"/>
    </row>
    <row r="150" spans="2:16" ht="15.95" customHeight="1" x14ac:dyDescent="0.3">
      <c r="B150" s="1990"/>
      <c r="C150" s="1553" t="s">
        <v>71</v>
      </c>
      <c r="D150" s="1985" t="s">
        <v>888</v>
      </c>
      <c r="E150" s="1976" t="s">
        <v>618</v>
      </c>
      <c r="F150" s="2014">
        <v>0.05</v>
      </c>
      <c r="G150" s="1995">
        <f>G10</f>
        <v>115000</v>
      </c>
      <c r="H150" s="1996">
        <f>+F150*G150</f>
        <v>5750</v>
      </c>
    </row>
    <row r="151" spans="2:16" ht="15.95" customHeight="1" x14ac:dyDescent="0.3">
      <c r="B151" s="1990"/>
      <c r="C151" s="1553" t="s">
        <v>871</v>
      </c>
      <c r="D151" s="1985" t="s">
        <v>889</v>
      </c>
      <c r="E151" s="1976" t="s">
        <v>618</v>
      </c>
      <c r="F151" s="2014">
        <v>0.03</v>
      </c>
      <c r="G151" s="1995">
        <f>G11</f>
        <v>170000</v>
      </c>
      <c r="H151" s="1996">
        <f>+F151*G151</f>
        <v>5100</v>
      </c>
    </row>
    <row r="152" spans="2:16" ht="15.95" customHeight="1" x14ac:dyDescent="0.3">
      <c r="B152" s="1990"/>
      <c r="C152" s="1553" t="s">
        <v>605</v>
      </c>
      <c r="D152" s="1985" t="s">
        <v>890</v>
      </c>
      <c r="E152" s="1976" t="s">
        <v>618</v>
      </c>
      <c r="F152" s="2014">
        <v>0.04</v>
      </c>
      <c r="G152" s="1995">
        <f>G12</f>
        <v>185000</v>
      </c>
      <c r="H152" s="1996">
        <f>+F152*G152</f>
        <v>7400</v>
      </c>
    </row>
    <row r="153" spans="2:16" ht="15.95" customHeight="1" x14ac:dyDescent="0.3">
      <c r="B153" s="1990"/>
      <c r="C153" s="1553" t="s">
        <v>50</v>
      </c>
      <c r="D153" s="1985" t="s">
        <v>891</v>
      </c>
      <c r="E153" s="1976" t="s">
        <v>618</v>
      </c>
      <c r="F153" s="2014">
        <v>1E-3</v>
      </c>
      <c r="G153" s="1995">
        <f>G13</f>
        <v>200000</v>
      </c>
      <c r="H153" s="1996">
        <f>+F153*G153</f>
        <v>200</v>
      </c>
    </row>
    <row r="154" spans="2:16" ht="15.95" customHeight="1" x14ac:dyDescent="0.3">
      <c r="B154" s="1990"/>
      <c r="C154" s="1553"/>
      <c r="D154" s="1990"/>
      <c r="E154" s="1976"/>
      <c r="F154" s="2001"/>
      <c r="G154" s="1997" t="s">
        <v>52</v>
      </c>
      <c r="H154" s="1996">
        <f>SUM(H150:H153)</f>
        <v>18450</v>
      </c>
    </row>
    <row r="155" spans="2:16" ht="15.95" customHeight="1" x14ac:dyDescent="0.3">
      <c r="B155" s="1990" t="s">
        <v>394</v>
      </c>
      <c r="C155" s="1555" t="s">
        <v>872</v>
      </c>
      <c r="D155" s="1990"/>
      <c r="E155" s="1992"/>
      <c r="F155" s="1993"/>
      <c r="G155" s="1992"/>
      <c r="H155" s="1992"/>
    </row>
    <row r="156" spans="2:16" ht="15.95" customHeight="1" x14ac:dyDescent="0.3">
      <c r="B156" s="1555"/>
      <c r="C156" s="1998" t="s">
        <v>902</v>
      </c>
      <c r="D156" s="1553"/>
      <c r="E156" s="1976" t="s">
        <v>27</v>
      </c>
      <c r="F156" s="1980">
        <v>1</v>
      </c>
      <c r="G156" s="1995">
        <f>'UB mep'!J109</f>
        <v>88500</v>
      </c>
      <c r="H156" s="1996">
        <f>+F156*G156</f>
        <v>88500</v>
      </c>
    </row>
    <row r="157" spans="2:16" ht="15.95" customHeight="1" x14ac:dyDescent="0.3">
      <c r="B157" s="1555"/>
      <c r="C157" s="1998" t="s">
        <v>903</v>
      </c>
      <c r="D157" s="1553"/>
      <c r="E157" s="1976" t="s">
        <v>27</v>
      </c>
      <c r="F157" s="1980">
        <v>1</v>
      </c>
      <c r="G157" s="1995">
        <f>'UB mep'!J121</f>
        <v>9000</v>
      </c>
      <c r="H157" s="1996">
        <f>+F157*G157</f>
        <v>9000</v>
      </c>
    </row>
    <row r="158" spans="2:16" ht="15.95" customHeight="1" x14ac:dyDescent="0.3">
      <c r="B158" s="1555"/>
      <c r="C158" s="2000" t="s">
        <v>892</v>
      </c>
      <c r="D158" s="1553"/>
      <c r="E158" s="1976" t="s">
        <v>1</v>
      </c>
      <c r="F158" s="1980">
        <v>1</v>
      </c>
      <c r="G158" s="1995">
        <f>G18</f>
        <v>5000</v>
      </c>
      <c r="H158" s="1996">
        <f>+F158*G158</f>
        <v>5000</v>
      </c>
    </row>
    <row r="159" spans="2:16" ht="15.95" customHeight="1" x14ac:dyDescent="0.3">
      <c r="B159" s="1555"/>
      <c r="C159" s="1553"/>
      <c r="D159" s="1553"/>
      <c r="E159" s="1976"/>
      <c r="F159" s="2001"/>
      <c r="G159" s="2002" t="s">
        <v>59</v>
      </c>
      <c r="H159" s="1996">
        <f>SUM(H156:H158)</f>
        <v>102500</v>
      </c>
    </row>
    <row r="160" spans="2:16" ht="15.95" customHeight="1" x14ac:dyDescent="0.3">
      <c r="B160" s="1974" t="s">
        <v>411</v>
      </c>
      <c r="C160" s="1554" t="s">
        <v>60</v>
      </c>
      <c r="D160" s="1553"/>
      <c r="E160" s="1976"/>
      <c r="F160" s="2001"/>
      <c r="G160" s="2003"/>
      <c r="H160" s="2003"/>
    </row>
    <row r="161" spans="2:16" ht="15.95" customHeight="1" x14ac:dyDescent="0.3">
      <c r="B161" s="1555"/>
      <c r="C161" s="1553"/>
      <c r="D161" s="1553"/>
      <c r="E161" s="1976"/>
      <c r="F161" s="2001"/>
      <c r="G161" s="2002" t="s">
        <v>61</v>
      </c>
      <c r="H161" s="1996">
        <v>0</v>
      </c>
    </row>
    <row r="162" spans="2:16" ht="15.95" customHeight="1" x14ac:dyDescent="0.3">
      <c r="B162" s="1976" t="s">
        <v>6</v>
      </c>
      <c r="C162" s="1553" t="s">
        <v>875</v>
      </c>
      <c r="D162" s="1553"/>
      <c r="E162" s="1980"/>
      <c r="F162" s="1976"/>
      <c r="G162" s="1976"/>
      <c r="H162" s="2003">
        <f>+H161+H159+H154</f>
        <v>120950</v>
      </c>
    </row>
    <row r="163" spans="2:16" ht="15.95" customHeight="1" x14ac:dyDescent="0.3">
      <c r="B163" s="1974" t="s">
        <v>7</v>
      </c>
      <c r="C163" s="1555" t="s">
        <v>100</v>
      </c>
      <c r="D163" s="1553"/>
      <c r="E163" s="1980"/>
      <c r="F163" s="1976"/>
      <c r="G163" s="2004">
        <v>0</v>
      </c>
      <c r="H163" s="1981">
        <f>H162*J144</f>
        <v>0</v>
      </c>
    </row>
    <row r="164" spans="2:16" ht="15.95" customHeight="1" x14ac:dyDescent="0.3">
      <c r="B164" s="1976" t="s">
        <v>63</v>
      </c>
      <c r="C164" s="1553" t="s">
        <v>877</v>
      </c>
      <c r="D164" s="1553"/>
      <c r="E164" s="1980"/>
      <c r="F164" s="1976"/>
      <c r="G164" s="1976"/>
      <c r="H164" s="1981">
        <f>+H162+H163</f>
        <v>120950</v>
      </c>
    </row>
    <row r="165" spans="2:16" ht="15.95" customHeight="1" x14ac:dyDescent="0.3">
      <c r="B165" s="1553"/>
      <c r="C165" s="1554" t="s">
        <v>878</v>
      </c>
      <c r="D165" s="1555"/>
      <c r="E165" s="1555"/>
      <c r="F165" s="1555"/>
      <c r="G165" s="1555"/>
      <c r="H165" s="2005">
        <f>ROUNDDOWN(H164,2)</f>
        <v>120950</v>
      </c>
    </row>
    <row r="166" spans="2:16" ht="15.95" customHeight="1" x14ac:dyDescent="0.3">
      <c r="C166" s="2011"/>
      <c r="D166" s="2012"/>
      <c r="E166" s="2012"/>
      <c r="F166" s="2012"/>
      <c r="G166" s="2012"/>
      <c r="H166" s="2013"/>
    </row>
    <row r="167" spans="2:16" s="1555" customFormat="1" ht="15.95" customHeight="1" x14ac:dyDescent="0.2">
      <c r="B167" s="1979" t="s">
        <v>904</v>
      </c>
      <c r="C167" s="1555" t="s">
        <v>905</v>
      </c>
      <c r="E167" s="2009"/>
      <c r="F167" s="1974"/>
      <c r="G167" s="1974"/>
      <c r="H167" s="1981"/>
    </row>
    <row r="168" spans="2:16" s="1976" customFormat="1" ht="15.95" customHeight="1" x14ac:dyDescent="0.3">
      <c r="B168" s="1982" t="s">
        <v>12</v>
      </c>
      <c r="C168" s="1982" t="s">
        <v>36</v>
      </c>
      <c r="D168" s="1982" t="s">
        <v>37</v>
      </c>
      <c r="E168" s="1983" t="s">
        <v>184</v>
      </c>
      <c r="F168" s="1984" t="s">
        <v>868</v>
      </c>
      <c r="G168" s="1983" t="s">
        <v>1063</v>
      </c>
      <c r="H168" s="1983" t="s">
        <v>40</v>
      </c>
      <c r="I168" s="1985"/>
      <c r="J168" s="1986"/>
      <c r="K168" s="1986"/>
      <c r="L168" s="1986"/>
      <c r="M168" s="1986"/>
      <c r="N168" s="1987"/>
      <c r="O168" s="1988"/>
      <c r="P168" s="1989"/>
    </row>
    <row r="169" spans="2:16" ht="15.95" customHeight="1" x14ac:dyDescent="0.3">
      <c r="B169" s="1990" t="s">
        <v>368</v>
      </c>
      <c r="C169" s="1991" t="s">
        <v>42</v>
      </c>
      <c r="D169" s="1990"/>
      <c r="E169" s="1992"/>
      <c r="F169" s="1993"/>
      <c r="G169" s="1992"/>
      <c r="H169" s="1992"/>
    </row>
    <row r="170" spans="2:16" ht="15.95" customHeight="1" x14ac:dyDescent="0.3">
      <c r="B170" s="1990"/>
      <c r="C170" s="1553" t="s">
        <v>71</v>
      </c>
      <c r="D170" s="1985" t="s">
        <v>888</v>
      </c>
      <c r="E170" s="1976" t="s">
        <v>618</v>
      </c>
      <c r="F170" s="2014">
        <v>0.05</v>
      </c>
      <c r="G170" s="1995">
        <f>G10</f>
        <v>115000</v>
      </c>
      <c r="H170" s="1996">
        <f>+F170*G170</f>
        <v>5750</v>
      </c>
    </row>
    <row r="171" spans="2:16" ht="15.95" customHeight="1" x14ac:dyDescent="0.3">
      <c r="B171" s="1990"/>
      <c r="C171" s="1553" t="s">
        <v>871</v>
      </c>
      <c r="D171" s="1985" t="s">
        <v>889</v>
      </c>
      <c r="E171" s="1976" t="s">
        <v>618</v>
      </c>
      <c r="F171" s="2014">
        <v>0.03</v>
      </c>
      <c r="G171" s="1995">
        <f>G11</f>
        <v>170000</v>
      </c>
      <c r="H171" s="1996">
        <f>+F171*G171</f>
        <v>5100</v>
      </c>
    </row>
    <row r="172" spans="2:16" ht="15.95" customHeight="1" x14ac:dyDescent="0.3">
      <c r="B172" s="1990"/>
      <c r="C172" s="1553" t="s">
        <v>605</v>
      </c>
      <c r="D172" s="1985" t="s">
        <v>890</v>
      </c>
      <c r="E172" s="1976" t="s">
        <v>618</v>
      </c>
      <c r="F172" s="2014">
        <v>0.04</v>
      </c>
      <c r="G172" s="1995">
        <f>G12</f>
        <v>185000</v>
      </c>
      <c r="H172" s="1996">
        <f>+F172*G172</f>
        <v>7400</v>
      </c>
    </row>
    <row r="173" spans="2:16" ht="15.95" customHeight="1" x14ac:dyDescent="0.3">
      <c r="B173" s="1990"/>
      <c r="C173" s="1553" t="s">
        <v>50</v>
      </c>
      <c r="D173" s="1985" t="s">
        <v>891</v>
      </c>
      <c r="E173" s="1976" t="s">
        <v>618</v>
      </c>
      <c r="F173" s="2014">
        <v>1E-3</v>
      </c>
      <c r="G173" s="1995">
        <f>G13</f>
        <v>200000</v>
      </c>
      <c r="H173" s="1996">
        <f>+F173*G173</f>
        <v>200</v>
      </c>
    </row>
    <row r="174" spans="2:16" ht="15.95" customHeight="1" x14ac:dyDescent="0.3">
      <c r="B174" s="1990"/>
      <c r="C174" s="1553"/>
      <c r="D174" s="1990"/>
      <c r="E174" s="1976"/>
      <c r="F174" s="2001"/>
      <c r="G174" s="1997" t="s">
        <v>52</v>
      </c>
      <c r="H174" s="1996">
        <f>SUM(H170:H173)</f>
        <v>18450</v>
      </c>
    </row>
    <row r="175" spans="2:16" ht="15.95" customHeight="1" x14ac:dyDescent="0.3">
      <c r="B175" s="1990" t="s">
        <v>394</v>
      </c>
      <c r="C175" s="1555" t="s">
        <v>872</v>
      </c>
      <c r="D175" s="1990"/>
      <c r="E175" s="1992"/>
      <c r="F175" s="1993"/>
      <c r="G175" s="1992"/>
      <c r="H175" s="1992"/>
    </row>
    <row r="176" spans="2:16" ht="15.95" customHeight="1" x14ac:dyDescent="0.3">
      <c r="B176" s="1555"/>
      <c r="C176" s="1998" t="s">
        <v>902</v>
      </c>
      <c r="D176" s="1553"/>
      <c r="E176" s="1976" t="s">
        <v>27</v>
      </c>
      <c r="F176" s="1980">
        <v>1</v>
      </c>
      <c r="G176" s="1995">
        <f>'UB mep'!J109</f>
        <v>88500</v>
      </c>
      <c r="H176" s="1996">
        <f>+F176*G176</f>
        <v>88500</v>
      </c>
    </row>
    <row r="177" spans="2:16" ht="15.95" customHeight="1" x14ac:dyDescent="0.3">
      <c r="B177" s="1555"/>
      <c r="C177" s="1998" t="s">
        <v>906</v>
      </c>
      <c r="D177" s="1553"/>
      <c r="E177" s="1976" t="s">
        <v>27</v>
      </c>
      <c r="F177" s="1980">
        <v>1</v>
      </c>
      <c r="G177" s="1995">
        <f>'UB mep'!J121</f>
        <v>9000</v>
      </c>
      <c r="H177" s="1996">
        <f>+F177*G177</f>
        <v>9000</v>
      </c>
    </row>
    <row r="178" spans="2:16" ht="15.95" customHeight="1" x14ac:dyDescent="0.3">
      <c r="B178" s="1555"/>
      <c r="C178" s="2000" t="s">
        <v>892</v>
      </c>
      <c r="D178" s="1553"/>
      <c r="E178" s="1976" t="s">
        <v>1</v>
      </c>
      <c r="F178" s="1980">
        <v>1</v>
      </c>
      <c r="G178" s="1995">
        <f>G18</f>
        <v>5000</v>
      </c>
      <c r="H178" s="1996">
        <f>+F178*G178</f>
        <v>5000</v>
      </c>
    </row>
    <row r="179" spans="2:16" ht="15.95" customHeight="1" x14ac:dyDescent="0.3">
      <c r="B179" s="1555"/>
      <c r="C179" s="1553"/>
      <c r="D179" s="1553"/>
      <c r="E179" s="1976"/>
      <c r="F179" s="2001"/>
      <c r="G179" s="2002" t="s">
        <v>59</v>
      </c>
      <c r="H179" s="1996">
        <f>SUM(H176:H178)</f>
        <v>102500</v>
      </c>
    </row>
    <row r="180" spans="2:16" ht="15.95" customHeight="1" x14ac:dyDescent="0.3">
      <c r="B180" s="1974" t="s">
        <v>411</v>
      </c>
      <c r="C180" s="1554" t="s">
        <v>60</v>
      </c>
      <c r="D180" s="1553"/>
      <c r="E180" s="1976"/>
      <c r="F180" s="2001"/>
      <c r="G180" s="2003"/>
      <c r="H180" s="2003"/>
    </row>
    <row r="181" spans="2:16" ht="15.95" customHeight="1" x14ac:dyDescent="0.3">
      <c r="B181" s="1555"/>
      <c r="C181" s="1553"/>
      <c r="D181" s="1553"/>
      <c r="E181" s="1976"/>
      <c r="F181" s="2001"/>
      <c r="G181" s="2002" t="s">
        <v>61</v>
      </c>
      <c r="H181" s="1996">
        <v>0</v>
      </c>
    </row>
    <row r="182" spans="2:16" ht="15.95" customHeight="1" x14ac:dyDescent="0.3">
      <c r="B182" s="1976" t="s">
        <v>6</v>
      </c>
      <c r="C182" s="1553" t="s">
        <v>875</v>
      </c>
      <c r="D182" s="1553"/>
      <c r="E182" s="1980"/>
      <c r="F182" s="1976"/>
      <c r="G182" s="1976"/>
      <c r="H182" s="2003">
        <f>+H181+H179+H174</f>
        <v>120950</v>
      </c>
    </row>
    <row r="183" spans="2:16" ht="15.95" customHeight="1" x14ac:dyDescent="0.3">
      <c r="B183" s="1974" t="s">
        <v>7</v>
      </c>
      <c r="C183" s="1555" t="s">
        <v>100</v>
      </c>
      <c r="D183" s="1553"/>
      <c r="E183" s="1980"/>
      <c r="F183" s="1976"/>
      <c r="G183" s="2004">
        <v>0</v>
      </c>
      <c r="H183" s="1981">
        <f>H182*J165</f>
        <v>0</v>
      </c>
    </row>
    <row r="184" spans="2:16" ht="15.95" customHeight="1" x14ac:dyDescent="0.3">
      <c r="B184" s="1976" t="s">
        <v>63</v>
      </c>
      <c r="C184" s="1553" t="s">
        <v>877</v>
      </c>
      <c r="D184" s="1553"/>
      <c r="E184" s="1980"/>
      <c r="F184" s="1976"/>
      <c r="G184" s="1976"/>
      <c r="H184" s="1981">
        <f>+H182+H183</f>
        <v>120950</v>
      </c>
    </row>
    <row r="185" spans="2:16" ht="15.95" customHeight="1" x14ac:dyDescent="0.3">
      <c r="B185" s="1553"/>
      <c r="C185" s="1554" t="s">
        <v>878</v>
      </c>
      <c r="D185" s="1555"/>
      <c r="E185" s="1555"/>
      <c r="F185" s="1555"/>
      <c r="G185" s="1555"/>
      <c r="H185" s="2005">
        <f>ROUNDDOWN(H184,2)</f>
        <v>120950</v>
      </c>
    </row>
    <row r="186" spans="2:16" ht="15.95" customHeight="1" x14ac:dyDescent="0.3">
      <c r="C186" s="2011"/>
      <c r="D186" s="2012"/>
      <c r="E186" s="2012"/>
      <c r="F186" s="2012"/>
      <c r="G186" s="2012"/>
      <c r="H186" s="2013"/>
    </row>
    <row r="187" spans="2:16" ht="15.95" customHeight="1" x14ac:dyDescent="0.3">
      <c r="B187" s="1979" t="s">
        <v>907</v>
      </c>
      <c r="C187" s="1555" t="s">
        <v>908</v>
      </c>
      <c r="E187" s="2017"/>
      <c r="F187" s="2007"/>
      <c r="H187" s="2018"/>
    </row>
    <row r="188" spans="2:16" s="1976" customFormat="1" ht="15.95" customHeight="1" x14ac:dyDescent="0.3">
      <c r="B188" s="1982" t="s">
        <v>12</v>
      </c>
      <c r="C188" s="1982" t="s">
        <v>36</v>
      </c>
      <c r="D188" s="1982" t="s">
        <v>37</v>
      </c>
      <c r="E188" s="1983" t="s">
        <v>184</v>
      </c>
      <c r="F188" s="1984" t="s">
        <v>868</v>
      </c>
      <c r="G188" s="1983" t="s">
        <v>1063</v>
      </c>
      <c r="H188" s="1983" t="s">
        <v>40</v>
      </c>
      <c r="I188" s="1985"/>
      <c r="J188" s="1986"/>
      <c r="K188" s="1986"/>
      <c r="L188" s="1986"/>
      <c r="M188" s="1986"/>
      <c r="N188" s="1987"/>
      <c r="O188" s="1988"/>
      <c r="P188" s="1989"/>
    </row>
    <row r="189" spans="2:16" s="1553" customFormat="1" ht="15.95" customHeight="1" x14ac:dyDescent="0.3">
      <c r="B189" s="1990" t="s">
        <v>368</v>
      </c>
      <c r="C189" s="1991" t="s">
        <v>42</v>
      </c>
      <c r="D189" s="1990"/>
      <c r="E189" s="1992"/>
      <c r="F189" s="1993"/>
      <c r="G189" s="1992"/>
      <c r="H189" s="1992"/>
    </row>
    <row r="190" spans="2:16" s="1553" customFormat="1" ht="15.95" customHeight="1" x14ac:dyDescent="0.3">
      <c r="B190" s="1990"/>
      <c r="C190" s="1553" t="s">
        <v>71</v>
      </c>
      <c r="D190" s="1985" t="s">
        <v>888</v>
      </c>
      <c r="E190" s="1976" t="s">
        <v>618</v>
      </c>
      <c r="F190" s="2014">
        <v>0.05</v>
      </c>
      <c r="G190" s="1995">
        <f>G10</f>
        <v>115000</v>
      </c>
      <c r="H190" s="1996">
        <f>+F190*G190</f>
        <v>5750</v>
      </c>
    </row>
    <row r="191" spans="2:16" s="1553" customFormat="1" ht="15.95" customHeight="1" x14ac:dyDescent="0.3">
      <c r="B191" s="1990"/>
      <c r="C191" s="1553" t="s">
        <v>871</v>
      </c>
      <c r="D191" s="1985" t="s">
        <v>889</v>
      </c>
      <c r="E191" s="1976" t="s">
        <v>618</v>
      </c>
      <c r="F191" s="2014">
        <v>0.03</v>
      </c>
      <c r="G191" s="1995">
        <f>G11</f>
        <v>170000</v>
      </c>
      <c r="H191" s="1996">
        <f>+F191*G191</f>
        <v>5100</v>
      </c>
    </row>
    <row r="192" spans="2:16" s="1553" customFormat="1" ht="15.95" customHeight="1" x14ac:dyDescent="0.3">
      <c r="B192" s="1990"/>
      <c r="C192" s="1553" t="s">
        <v>605</v>
      </c>
      <c r="D192" s="1985" t="s">
        <v>890</v>
      </c>
      <c r="E192" s="1976" t="s">
        <v>618</v>
      </c>
      <c r="F192" s="2014">
        <v>0.04</v>
      </c>
      <c r="G192" s="1995">
        <f>G12</f>
        <v>185000</v>
      </c>
      <c r="H192" s="1996">
        <f>+F192*G192</f>
        <v>7400</v>
      </c>
    </row>
    <row r="193" spans="2:16" s="1553" customFormat="1" ht="15.95" customHeight="1" x14ac:dyDescent="0.3">
      <c r="B193" s="1990"/>
      <c r="C193" s="1553" t="s">
        <v>50</v>
      </c>
      <c r="D193" s="1985" t="s">
        <v>891</v>
      </c>
      <c r="E193" s="1976" t="s">
        <v>618</v>
      </c>
      <c r="F193" s="2014">
        <v>1E-3</v>
      </c>
      <c r="G193" s="1995">
        <f>G13</f>
        <v>200000</v>
      </c>
      <c r="H193" s="1996">
        <f>+F193*G193</f>
        <v>200</v>
      </c>
    </row>
    <row r="194" spans="2:16" s="1553" customFormat="1" ht="15.95" customHeight="1" x14ac:dyDescent="0.3">
      <c r="B194" s="1990"/>
      <c r="D194" s="1990"/>
      <c r="E194" s="1976"/>
      <c r="F194" s="2001"/>
      <c r="G194" s="1997" t="s">
        <v>52</v>
      </c>
      <c r="H194" s="1996">
        <f>SUM(H190:H193)</f>
        <v>18450</v>
      </c>
    </row>
    <row r="195" spans="2:16" s="1553" customFormat="1" ht="15.95" customHeight="1" x14ac:dyDescent="0.3">
      <c r="B195" s="1990" t="s">
        <v>394</v>
      </c>
      <c r="C195" s="1555" t="s">
        <v>872</v>
      </c>
      <c r="D195" s="1990"/>
      <c r="E195" s="1992"/>
      <c r="F195" s="1993"/>
      <c r="G195" s="1992"/>
      <c r="H195" s="1992"/>
    </row>
    <row r="196" spans="2:16" s="1553" customFormat="1" ht="15.95" customHeight="1" x14ac:dyDescent="0.3">
      <c r="B196" s="1555"/>
      <c r="C196" s="1998" t="s">
        <v>909</v>
      </c>
      <c r="E196" s="1976" t="s">
        <v>27</v>
      </c>
      <c r="F196" s="1980">
        <v>1</v>
      </c>
      <c r="G196" s="1995">
        <f>'UB mep'!J110</f>
        <v>59000</v>
      </c>
      <c r="H196" s="1996">
        <f>+F196*G196</f>
        <v>59000</v>
      </c>
    </row>
    <row r="197" spans="2:16" s="1553" customFormat="1" ht="15.95" customHeight="1" x14ac:dyDescent="0.3">
      <c r="B197" s="1555"/>
      <c r="C197" s="1998" t="s">
        <v>910</v>
      </c>
      <c r="E197" s="1976" t="s">
        <v>27</v>
      </c>
      <c r="F197" s="1980">
        <v>1</v>
      </c>
      <c r="G197" s="1995">
        <f>'UB mep'!J122</f>
        <v>7500</v>
      </c>
      <c r="H197" s="1996">
        <f>+F197*G197</f>
        <v>7500</v>
      </c>
    </row>
    <row r="198" spans="2:16" s="1553" customFormat="1" ht="15.95" customHeight="1" x14ac:dyDescent="0.3">
      <c r="B198" s="1555"/>
      <c r="C198" s="2000" t="s">
        <v>892</v>
      </c>
      <c r="E198" s="1976" t="s">
        <v>1</v>
      </c>
      <c r="F198" s="1980">
        <v>1</v>
      </c>
      <c r="G198" s="1995">
        <f>G18</f>
        <v>5000</v>
      </c>
      <c r="H198" s="1996">
        <f>+F198*G198</f>
        <v>5000</v>
      </c>
    </row>
    <row r="199" spans="2:16" s="1553" customFormat="1" ht="15.95" customHeight="1" x14ac:dyDescent="0.3">
      <c r="B199" s="1555"/>
      <c r="E199" s="1976"/>
      <c r="F199" s="2001"/>
      <c r="G199" s="2002" t="s">
        <v>59</v>
      </c>
      <c r="H199" s="1996">
        <f>SUM(H196:H198)</f>
        <v>71500</v>
      </c>
    </row>
    <row r="200" spans="2:16" s="1553" customFormat="1" ht="15.95" customHeight="1" x14ac:dyDescent="0.3">
      <c r="B200" s="1974" t="s">
        <v>411</v>
      </c>
      <c r="C200" s="1554" t="s">
        <v>60</v>
      </c>
      <c r="E200" s="1976"/>
      <c r="F200" s="2001"/>
      <c r="G200" s="2003"/>
      <c r="H200" s="2003"/>
    </row>
    <row r="201" spans="2:16" s="1553" customFormat="1" ht="15.95" customHeight="1" x14ac:dyDescent="0.3">
      <c r="B201" s="1555"/>
      <c r="E201" s="1976"/>
      <c r="F201" s="2001"/>
      <c r="G201" s="2002" t="s">
        <v>61</v>
      </c>
      <c r="H201" s="1996">
        <v>0</v>
      </c>
    </row>
    <row r="202" spans="2:16" s="1553" customFormat="1" ht="15.95" customHeight="1" x14ac:dyDescent="0.3">
      <c r="B202" s="1976" t="s">
        <v>6</v>
      </c>
      <c r="C202" s="1553" t="s">
        <v>875</v>
      </c>
      <c r="E202" s="1980"/>
      <c r="F202" s="1976"/>
      <c r="G202" s="1976"/>
      <c r="H202" s="2003">
        <f>+H201+H199+H194</f>
        <v>89950</v>
      </c>
    </row>
    <row r="203" spans="2:16" s="1553" customFormat="1" ht="15.95" customHeight="1" x14ac:dyDescent="0.3">
      <c r="B203" s="1974" t="s">
        <v>7</v>
      </c>
      <c r="C203" s="1555" t="s">
        <v>100</v>
      </c>
      <c r="E203" s="1980"/>
      <c r="F203" s="1976"/>
      <c r="G203" s="2004">
        <v>0</v>
      </c>
      <c r="H203" s="1981">
        <f>H202*J185</f>
        <v>0</v>
      </c>
    </row>
    <row r="204" spans="2:16" s="1553" customFormat="1" ht="15.95" customHeight="1" x14ac:dyDescent="0.3">
      <c r="B204" s="1976" t="s">
        <v>63</v>
      </c>
      <c r="C204" s="1553" t="s">
        <v>877</v>
      </c>
      <c r="E204" s="1980"/>
      <c r="F204" s="1976"/>
      <c r="G204" s="1976"/>
      <c r="H204" s="1981">
        <f>+H202+H203</f>
        <v>89950</v>
      </c>
    </row>
    <row r="205" spans="2:16" s="1553" customFormat="1" ht="15.95" customHeight="1" x14ac:dyDescent="0.3">
      <c r="C205" s="1554" t="s">
        <v>878</v>
      </c>
      <c r="D205" s="1555"/>
      <c r="E205" s="1555"/>
      <c r="F205" s="1555"/>
      <c r="G205" s="1555"/>
      <c r="H205" s="2005">
        <f>ROUNDDOWN(H204,2)</f>
        <v>89950</v>
      </c>
    </row>
    <row r="206" spans="2:16" ht="15.95" customHeight="1" x14ac:dyDescent="0.3">
      <c r="C206" s="2011"/>
      <c r="D206" s="2012"/>
      <c r="E206" s="2012"/>
      <c r="F206" s="2012"/>
      <c r="G206" s="2012"/>
      <c r="H206" s="2013"/>
    </row>
    <row r="207" spans="2:16" s="1553" customFormat="1" ht="15.95" customHeight="1" x14ac:dyDescent="0.3">
      <c r="B207" s="1979" t="s">
        <v>911</v>
      </c>
      <c r="C207" s="1555" t="s">
        <v>912</v>
      </c>
      <c r="E207" s="1980"/>
      <c r="F207" s="1976"/>
      <c r="G207" s="1976"/>
      <c r="H207" s="1981"/>
    </row>
    <row r="208" spans="2:16" s="1976" customFormat="1" ht="15.95" customHeight="1" x14ac:dyDescent="0.3">
      <c r="B208" s="1982" t="s">
        <v>12</v>
      </c>
      <c r="C208" s="1982" t="s">
        <v>36</v>
      </c>
      <c r="D208" s="1982" t="s">
        <v>37</v>
      </c>
      <c r="E208" s="1983" t="s">
        <v>184</v>
      </c>
      <c r="F208" s="1984" t="s">
        <v>868</v>
      </c>
      <c r="G208" s="1983" t="s">
        <v>1063</v>
      </c>
      <c r="H208" s="1983" t="s">
        <v>40</v>
      </c>
      <c r="I208" s="1985"/>
      <c r="J208" s="1986"/>
      <c r="K208" s="1986"/>
      <c r="L208" s="1986"/>
      <c r="M208" s="1986"/>
      <c r="N208" s="1987"/>
      <c r="O208" s="1988"/>
      <c r="P208" s="1989"/>
    </row>
    <row r="209" spans="2:8" s="1553" customFormat="1" ht="15.95" customHeight="1" x14ac:dyDescent="0.3">
      <c r="B209" s="1990" t="s">
        <v>368</v>
      </c>
      <c r="C209" s="1991" t="s">
        <v>42</v>
      </c>
      <c r="D209" s="1990"/>
      <c r="E209" s="1992"/>
      <c r="F209" s="1993"/>
      <c r="G209" s="1992"/>
      <c r="H209" s="1992"/>
    </row>
    <row r="210" spans="2:8" s="1553" customFormat="1" ht="15.95" customHeight="1" x14ac:dyDescent="0.3">
      <c r="B210" s="1990"/>
      <c r="C210" s="1553" t="s">
        <v>71</v>
      </c>
      <c r="D210" s="1985" t="s">
        <v>888</v>
      </c>
      <c r="E210" s="1976" t="s">
        <v>618</v>
      </c>
      <c r="F210" s="2014">
        <v>0.03</v>
      </c>
      <c r="G210" s="1995">
        <f>G10</f>
        <v>115000</v>
      </c>
      <c r="H210" s="1996">
        <f>+F210*G210</f>
        <v>3450</v>
      </c>
    </row>
    <row r="211" spans="2:8" s="1553" customFormat="1" ht="15.95" customHeight="1" x14ac:dyDescent="0.3">
      <c r="B211" s="1990"/>
      <c r="C211" s="1553" t="s">
        <v>871</v>
      </c>
      <c r="D211" s="1985" t="s">
        <v>889</v>
      </c>
      <c r="E211" s="1976" t="s">
        <v>618</v>
      </c>
      <c r="F211" s="2014">
        <v>0.03</v>
      </c>
      <c r="G211" s="1995">
        <f>G11</f>
        <v>170000</v>
      </c>
      <c r="H211" s="1996">
        <f>+F211*G211</f>
        <v>5100</v>
      </c>
    </row>
    <row r="212" spans="2:8" s="1553" customFormat="1" ht="15.95" customHeight="1" x14ac:dyDescent="0.3">
      <c r="B212" s="1990"/>
      <c r="C212" s="1553" t="s">
        <v>605</v>
      </c>
      <c r="D212" s="1985" t="s">
        <v>890</v>
      </c>
      <c r="E212" s="1976" t="s">
        <v>618</v>
      </c>
      <c r="F212" s="2014">
        <v>0.04</v>
      </c>
      <c r="G212" s="1995">
        <f>G12</f>
        <v>185000</v>
      </c>
      <c r="H212" s="1996">
        <f>+F212*G212</f>
        <v>7400</v>
      </c>
    </row>
    <row r="213" spans="2:8" s="1553" customFormat="1" ht="15.95" customHeight="1" x14ac:dyDescent="0.3">
      <c r="B213" s="1990"/>
      <c r="C213" s="1553" t="s">
        <v>50</v>
      </c>
      <c r="D213" s="1985" t="s">
        <v>891</v>
      </c>
      <c r="E213" s="1976" t="s">
        <v>618</v>
      </c>
      <c r="F213" s="2014">
        <v>1E-3</v>
      </c>
      <c r="G213" s="1995">
        <f>G13</f>
        <v>200000</v>
      </c>
      <c r="H213" s="1996">
        <f>+F213*G213</f>
        <v>200</v>
      </c>
    </row>
    <row r="214" spans="2:8" s="1553" customFormat="1" ht="15.95" customHeight="1" x14ac:dyDescent="0.3">
      <c r="B214" s="1990"/>
      <c r="D214" s="1990"/>
      <c r="E214" s="1976"/>
      <c r="F214" s="2001"/>
      <c r="G214" s="1997" t="s">
        <v>52</v>
      </c>
      <c r="H214" s="1996">
        <f>SUM(H210:H213)</f>
        <v>16150</v>
      </c>
    </row>
    <row r="215" spans="2:8" s="1553" customFormat="1" ht="15.95" customHeight="1" x14ac:dyDescent="0.3">
      <c r="B215" s="1990" t="s">
        <v>394</v>
      </c>
      <c r="C215" s="1555" t="s">
        <v>872</v>
      </c>
      <c r="D215" s="1990"/>
      <c r="E215" s="1992"/>
      <c r="F215" s="1993"/>
      <c r="G215" s="1992"/>
      <c r="H215" s="1992"/>
    </row>
    <row r="216" spans="2:8" s="1553" customFormat="1" ht="15.95" customHeight="1" x14ac:dyDescent="0.3">
      <c r="B216" s="1555"/>
      <c r="C216" s="1998" t="s">
        <v>909</v>
      </c>
      <c r="E216" s="1976" t="s">
        <v>27</v>
      </c>
      <c r="F216" s="1980">
        <v>1</v>
      </c>
      <c r="G216" s="1995">
        <f>'UB mep'!J110</f>
        <v>59000</v>
      </c>
      <c r="H216" s="1996">
        <f>+F216*G216</f>
        <v>59000</v>
      </c>
    </row>
    <row r="217" spans="2:8" s="1553" customFormat="1" ht="15.95" customHeight="1" x14ac:dyDescent="0.3">
      <c r="B217" s="1555"/>
      <c r="C217" s="2000" t="s">
        <v>892</v>
      </c>
      <c r="E217" s="1976" t="s">
        <v>1</v>
      </c>
      <c r="F217" s="1980">
        <v>1</v>
      </c>
      <c r="G217" s="1995">
        <f>G18</f>
        <v>5000</v>
      </c>
      <c r="H217" s="1996">
        <f>+F217*G217</f>
        <v>5000</v>
      </c>
    </row>
    <row r="218" spans="2:8" s="1553" customFormat="1" ht="15.95" customHeight="1" x14ac:dyDescent="0.3">
      <c r="B218" s="1555"/>
      <c r="E218" s="1976"/>
      <c r="F218" s="2001"/>
      <c r="G218" s="2002" t="s">
        <v>59</v>
      </c>
      <c r="H218" s="1996">
        <f>SUM(H216:H217)</f>
        <v>64000</v>
      </c>
    </row>
    <row r="219" spans="2:8" s="1553" customFormat="1" ht="15.95" customHeight="1" x14ac:dyDescent="0.3">
      <c r="B219" s="1974" t="s">
        <v>411</v>
      </c>
      <c r="C219" s="1554" t="s">
        <v>60</v>
      </c>
      <c r="E219" s="1976"/>
      <c r="F219" s="2001"/>
      <c r="G219" s="2003"/>
      <c r="H219" s="2003"/>
    </row>
    <row r="220" spans="2:8" s="1553" customFormat="1" ht="15.95" customHeight="1" x14ac:dyDescent="0.3">
      <c r="B220" s="1555"/>
      <c r="E220" s="1976"/>
      <c r="F220" s="2001"/>
      <c r="G220" s="2002" t="s">
        <v>61</v>
      </c>
      <c r="H220" s="1996">
        <v>0</v>
      </c>
    </row>
    <row r="221" spans="2:8" s="1553" customFormat="1" ht="15.95" customHeight="1" x14ac:dyDescent="0.3">
      <c r="B221" s="1976" t="s">
        <v>6</v>
      </c>
      <c r="C221" s="1553" t="s">
        <v>875</v>
      </c>
      <c r="E221" s="1980"/>
      <c r="F221" s="1976"/>
      <c r="G221" s="1976"/>
      <c r="H221" s="2003">
        <f>+H220+H218+H214</f>
        <v>80150</v>
      </c>
    </row>
    <row r="222" spans="2:8" s="1553" customFormat="1" ht="15.95" customHeight="1" x14ac:dyDescent="0.3">
      <c r="B222" s="1974" t="s">
        <v>7</v>
      </c>
      <c r="C222" s="1555" t="s">
        <v>100</v>
      </c>
      <c r="E222" s="1980"/>
      <c r="F222" s="1976"/>
      <c r="G222" s="2004">
        <v>0</v>
      </c>
      <c r="H222" s="1981">
        <f>H221*J204</f>
        <v>0</v>
      </c>
    </row>
    <row r="223" spans="2:8" s="1553" customFormat="1" ht="15.95" customHeight="1" x14ac:dyDescent="0.3">
      <c r="B223" s="1976" t="s">
        <v>63</v>
      </c>
      <c r="C223" s="1553" t="s">
        <v>877</v>
      </c>
      <c r="E223" s="1980"/>
      <c r="F223" s="1976"/>
      <c r="G223" s="1976"/>
      <c r="H223" s="1981">
        <f>+H221+H222</f>
        <v>80150</v>
      </c>
    </row>
    <row r="224" spans="2:8" s="1553" customFormat="1" ht="15.95" customHeight="1" x14ac:dyDescent="0.3">
      <c r="C224" s="1554" t="s">
        <v>878</v>
      </c>
      <c r="D224" s="1555"/>
      <c r="E224" s="1555"/>
      <c r="F224" s="1555"/>
      <c r="G224" s="1555"/>
      <c r="H224" s="2005">
        <f>ROUNDDOWN(H223,2)</f>
        <v>80150</v>
      </c>
    </row>
    <row r="225" spans="2:16" ht="15.95" customHeight="1" x14ac:dyDescent="0.3">
      <c r="C225" s="2011"/>
      <c r="D225" s="2012"/>
      <c r="E225" s="2012"/>
      <c r="F225" s="2012"/>
      <c r="G225" s="2012"/>
      <c r="H225" s="2013"/>
    </row>
    <row r="226" spans="2:16" ht="15.95" customHeight="1" x14ac:dyDescent="0.3">
      <c r="B226" s="1979" t="s">
        <v>913</v>
      </c>
      <c r="C226" s="1555" t="s">
        <v>914</v>
      </c>
      <c r="E226" s="2017"/>
      <c r="F226" s="2007"/>
      <c r="H226" s="2018"/>
    </row>
    <row r="227" spans="2:16" s="1976" customFormat="1" ht="15.95" customHeight="1" x14ac:dyDescent="0.3">
      <c r="B227" s="1982" t="s">
        <v>12</v>
      </c>
      <c r="C227" s="1982" t="s">
        <v>36</v>
      </c>
      <c r="D227" s="1982" t="s">
        <v>37</v>
      </c>
      <c r="E227" s="1983" t="s">
        <v>184</v>
      </c>
      <c r="F227" s="1984" t="s">
        <v>868</v>
      </c>
      <c r="G227" s="1983" t="s">
        <v>1063</v>
      </c>
      <c r="H227" s="1983" t="s">
        <v>40</v>
      </c>
      <c r="I227" s="1985"/>
      <c r="J227" s="1986"/>
      <c r="K227" s="1986"/>
      <c r="L227" s="1986"/>
      <c r="M227" s="1986"/>
      <c r="N227" s="1987"/>
      <c r="O227" s="1988"/>
      <c r="P227" s="1989"/>
    </row>
    <row r="228" spans="2:16" s="1553" customFormat="1" ht="15.95" customHeight="1" x14ac:dyDescent="0.3">
      <c r="B228" s="1990" t="s">
        <v>368</v>
      </c>
      <c r="C228" s="1991" t="s">
        <v>42</v>
      </c>
      <c r="D228" s="1990"/>
      <c r="E228" s="1992"/>
      <c r="F228" s="1993"/>
      <c r="G228" s="1992"/>
      <c r="H228" s="1992"/>
    </row>
    <row r="229" spans="2:16" s="1553" customFormat="1" ht="15.95" customHeight="1" x14ac:dyDescent="0.3">
      <c r="B229" s="1990"/>
      <c r="C229" s="1553" t="s">
        <v>71</v>
      </c>
      <c r="D229" s="1985" t="s">
        <v>888</v>
      </c>
      <c r="E229" s="1976" t="s">
        <v>618</v>
      </c>
      <c r="F229" s="2014">
        <v>0.02</v>
      </c>
      <c r="G229" s="1995">
        <f>G10</f>
        <v>115000</v>
      </c>
      <c r="H229" s="1996">
        <f>+F229*G229</f>
        <v>2300</v>
      </c>
    </row>
    <row r="230" spans="2:16" s="1553" customFormat="1" ht="15.95" customHeight="1" x14ac:dyDescent="0.3">
      <c r="B230" s="1990"/>
      <c r="C230" s="1553" t="s">
        <v>871</v>
      </c>
      <c r="D230" s="1985" t="s">
        <v>889</v>
      </c>
      <c r="E230" s="1976" t="s">
        <v>618</v>
      </c>
      <c r="F230" s="2014">
        <v>8.9999999999999993E-3</v>
      </c>
      <c r="G230" s="1995">
        <f>G11</f>
        <v>170000</v>
      </c>
      <c r="H230" s="1996">
        <f>+F230*G230</f>
        <v>1529.9999999999998</v>
      </c>
    </row>
    <row r="231" spans="2:16" s="1553" customFormat="1" ht="15.95" customHeight="1" x14ac:dyDescent="0.3">
      <c r="B231" s="1990"/>
      <c r="C231" s="1553" t="s">
        <v>605</v>
      </c>
      <c r="D231" s="1985" t="s">
        <v>890</v>
      </c>
      <c r="E231" s="1976" t="s">
        <v>618</v>
      </c>
      <c r="F231" s="2014">
        <v>0.05</v>
      </c>
      <c r="G231" s="1995">
        <f>G12</f>
        <v>185000</v>
      </c>
      <c r="H231" s="1996">
        <f>+F231*G231</f>
        <v>9250</v>
      </c>
    </row>
    <row r="232" spans="2:16" s="1553" customFormat="1" ht="15.95" customHeight="1" x14ac:dyDescent="0.3">
      <c r="B232" s="1990"/>
      <c r="C232" s="1553" t="s">
        <v>50</v>
      </c>
      <c r="D232" s="1985" t="s">
        <v>891</v>
      </c>
      <c r="E232" s="1976" t="s">
        <v>618</v>
      </c>
      <c r="F232" s="2014">
        <v>1E-3</v>
      </c>
      <c r="G232" s="1995">
        <f>G13</f>
        <v>200000</v>
      </c>
      <c r="H232" s="1996">
        <f>+F232*G232</f>
        <v>200</v>
      </c>
    </row>
    <row r="233" spans="2:16" s="1553" customFormat="1" ht="15.95" customHeight="1" x14ac:dyDescent="0.3">
      <c r="B233" s="1990"/>
      <c r="D233" s="1990"/>
      <c r="E233" s="1976"/>
      <c r="F233" s="2001"/>
      <c r="G233" s="1997" t="s">
        <v>52</v>
      </c>
      <c r="H233" s="1996">
        <f>SUM(H229:H232)</f>
        <v>13280</v>
      </c>
    </row>
    <row r="234" spans="2:16" s="1553" customFormat="1" ht="15.95" customHeight="1" x14ac:dyDescent="0.3">
      <c r="B234" s="1990" t="s">
        <v>394</v>
      </c>
      <c r="C234" s="1555" t="s">
        <v>872</v>
      </c>
      <c r="D234" s="1990"/>
      <c r="E234" s="1992"/>
      <c r="F234" s="1993"/>
      <c r="G234" s="1992"/>
      <c r="H234" s="1992"/>
    </row>
    <row r="235" spans="2:16" s="1553" customFormat="1" ht="15.95" customHeight="1" x14ac:dyDescent="0.3">
      <c r="B235" s="1555"/>
      <c r="C235" s="1998" t="s">
        <v>915</v>
      </c>
      <c r="E235" s="1976" t="s">
        <v>27</v>
      </c>
      <c r="F235" s="1980">
        <v>1</v>
      </c>
      <c r="G235" s="1995">
        <f>'UB mep'!J111</f>
        <v>42000</v>
      </c>
      <c r="H235" s="1996">
        <f>+F235*G235</f>
        <v>42000</v>
      </c>
    </row>
    <row r="236" spans="2:16" s="1553" customFormat="1" ht="15.95" customHeight="1" x14ac:dyDescent="0.3">
      <c r="B236" s="1555"/>
      <c r="C236" s="2000" t="s">
        <v>892</v>
      </c>
      <c r="E236" s="1976" t="s">
        <v>1</v>
      </c>
      <c r="F236" s="1980">
        <v>1</v>
      </c>
      <c r="G236" s="1995">
        <f>G18</f>
        <v>5000</v>
      </c>
      <c r="H236" s="1996">
        <f>+F236*G236</f>
        <v>5000</v>
      </c>
    </row>
    <row r="237" spans="2:16" s="1553" customFormat="1" ht="15.95" customHeight="1" x14ac:dyDescent="0.3">
      <c r="B237" s="1555"/>
      <c r="E237" s="1976"/>
      <c r="F237" s="2001"/>
      <c r="G237" s="2002" t="s">
        <v>59</v>
      </c>
      <c r="H237" s="1996">
        <f>SUM(H235:H236)</f>
        <v>47000</v>
      </c>
    </row>
    <row r="238" spans="2:16" s="1553" customFormat="1" ht="15.95" customHeight="1" x14ac:dyDescent="0.3">
      <c r="B238" s="1974" t="s">
        <v>411</v>
      </c>
      <c r="C238" s="1554" t="s">
        <v>60</v>
      </c>
      <c r="E238" s="1976"/>
      <c r="F238" s="2001"/>
      <c r="G238" s="2003"/>
      <c r="H238" s="2003"/>
    </row>
    <row r="239" spans="2:16" s="1553" customFormat="1" ht="15.95" customHeight="1" x14ac:dyDescent="0.3">
      <c r="B239" s="1555"/>
      <c r="E239" s="1976"/>
      <c r="F239" s="2001"/>
      <c r="G239" s="2002" t="s">
        <v>61</v>
      </c>
      <c r="H239" s="1996">
        <v>0</v>
      </c>
    </row>
    <row r="240" spans="2:16" s="1553" customFormat="1" ht="15.95" customHeight="1" x14ac:dyDescent="0.3">
      <c r="B240" s="1976" t="s">
        <v>6</v>
      </c>
      <c r="C240" s="1553" t="s">
        <v>875</v>
      </c>
      <c r="E240" s="1980"/>
      <c r="F240" s="1976"/>
      <c r="G240" s="1976"/>
      <c r="H240" s="2003">
        <f>+H239+H237+H233</f>
        <v>60280</v>
      </c>
    </row>
    <row r="241" spans="2:16" s="1553" customFormat="1" ht="15.95" customHeight="1" x14ac:dyDescent="0.3">
      <c r="B241" s="1974" t="s">
        <v>7</v>
      </c>
      <c r="C241" s="1555" t="s">
        <v>100</v>
      </c>
      <c r="E241" s="1980"/>
      <c r="F241" s="1976"/>
      <c r="G241" s="2004">
        <v>0</v>
      </c>
      <c r="H241" s="1981">
        <f>H240*J223</f>
        <v>0</v>
      </c>
    </row>
    <row r="242" spans="2:16" s="1553" customFormat="1" ht="15.95" customHeight="1" x14ac:dyDescent="0.3">
      <c r="B242" s="1976" t="s">
        <v>63</v>
      </c>
      <c r="C242" s="1553" t="s">
        <v>877</v>
      </c>
      <c r="E242" s="1980"/>
      <c r="F242" s="1976"/>
      <c r="G242" s="1976"/>
      <c r="H242" s="1981">
        <f>+H240+H241</f>
        <v>60280</v>
      </c>
    </row>
    <row r="243" spans="2:16" s="1553" customFormat="1" ht="15.95" customHeight="1" x14ac:dyDescent="0.3">
      <c r="C243" s="1554" t="s">
        <v>878</v>
      </c>
      <c r="D243" s="1555"/>
      <c r="E243" s="1555"/>
      <c r="F243" s="1555"/>
      <c r="G243" s="1555"/>
      <c r="H243" s="2005">
        <f>ROUNDDOWN(H242,2)</f>
        <v>60280</v>
      </c>
    </row>
    <row r="244" spans="2:16" ht="15.95" customHeight="1" x14ac:dyDescent="0.3">
      <c r="C244" s="2011"/>
      <c r="D244" s="2012"/>
      <c r="E244" s="2012"/>
      <c r="F244" s="2012"/>
      <c r="G244" s="2012"/>
      <c r="H244" s="2013"/>
    </row>
    <row r="245" spans="2:16" ht="15.95" customHeight="1" x14ac:dyDescent="0.3">
      <c r="C245" s="2011"/>
      <c r="D245" s="2012"/>
      <c r="E245" s="2012"/>
      <c r="F245" s="2012"/>
      <c r="G245" s="2012"/>
      <c r="H245" s="2013"/>
    </row>
    <row r="246" spans="2:16" ht="15.95" customHeight="1" x14ac:dyDescent="0.3">
      <c r="B246" s="1979" t="s">
        <v>916</v>
      </c>
      <c r="C246" s="1555" t="s">
        <v>917</v>
      </c>
      <c r="E246" s="2017"/>
      <c r="F246" s="2007"/>
      <c r="H246" s="2018"/>
    </row>
    <row r="247" spans="2:16" s="1976" customFormat="1" ht="15.95" customHeight="1" x14ac:dyDescent="0.3">
      <c r="B247" s="1982" t="s">
        <v>12</v>
      </c>
      <c r="C247" s="1982" t="s">
        <v>36</v>
      </c>
      <c r="D247" s="1982" t="s">
        <v>37</v>
      </c>
      <c r="E247" s="1983" t="s">
        <v>184</v>
      </c>
      <c r="F247" s="1984" t="s">
        <v>868</v>
      </c>
      <c r="G247" s="1983" t="s">
        <v>1063</v>
      </c>
      <c r="H247" s="1983" t="s">
        <v>40</v>
      </c>
      <c r="I247" s="1985"/>
      <c r="J247" s="1986"/>
      <c r="K247" s="1986"/>
      <c r="L247" s="1986"/>
      <c r="M247" s="1986"/>
      <c r="N247" s="1987"/>
      <c r="O247" s="1988"/>
      <c r="P247" s="1989"/>
    </row>
    <row r="248" spans="2:16" s="1553" customFormat="1" ht="15.95" customHeight="1" x14ac:dyDescent="0.3">
      <c r="B248" s="1990" t="s">
        <v>368</v>
      </c>
      <c r="C248" s="1991" t="s">
        <v>42</v>
      </c>
      <c r="D248" s="1990"/>
      <c r="E248" s="1992"/>
      <c r="F248" s="1993"/>
      <c r="G248" s="1992"/>
      <c r="H248" s="1992"/>
    </row>
    <row r="249" spans="2:16" s="1553" customFormat="1" ht="15.95" customHeight="1" x14ac:dyDescent="0.3">
      <c r="B249" s="1990"/>
      <c r="C249" s="1553" t="s">
        <v>71</v>
      </c>
      <c r="D249" s="1985" t="s">
        <v>888</v>
      </c>
      <c r="E249" s="1976" t="s">
        <v>618</v>
      </c>
      <c r="F249" s="2014">
        <v>0.02</v>
      </c>
      <c r="G249" s="1995">
        <f>G10</f>
        <v>115000</v>
      </c>
      <c r="H249" s="1996">
        <f>+F249*G249</f>
        <v>2300</v>
      </c>
    </row>
    <row r="250" spans="2:16" s="1553" customFormat="1" ht="15.95" customHeight="1" x14ac:dyDescent="0.3">
      <c r="B250" s="1990"/>
      <c r="C250" s="1553" t="s">
        <v>871</v>
      </c>
      <c r="D250" s="1985" t="s">
        <v>889</v>
      </c>
      <c r="E250" s="1976" t="s">
        <v>618</v>
      </c>
      <c r="F250" s="2014">
        <v>8.9999999999999993E-3</v>
      </c>
      <c r="G250" s="1995">
        <f>G11</f>
        <v>170000</v>
      </c>
      <c r="H250" s="1996">
        <f>+F250*G250</f>
        <v>1529.9999999999998</v>
      </c>
    </row>
    <row r="251" spans="2:16" s="1553" customFormat="1" ht="15.95" customHeight="1" x14ac:dyDescent="0.3">
      <c r="B251" s="1990"/>
      <c r="C251" s="1553" t="s">
        <v>605</v>
      </c>
      <c r="D251" s="1985" t="s">
        <v>890</v>
      </c>
      <c r="E251" s="1976" t="s">
        <v>618</v>
      </c>
      <c r="F251" s="2014">
        <v>0.05</v>
      </c>
      <c r="G251" s="1995">
        <f>G12</f>
        <v>185000</v>
      </c>
      <c r="H251" s="1996">
        <f>+F251*G251</f>
        <v>9250</v>
      </c>
    </row>
    <row r="252" spans="2:16" s="1553" customFormat="1" ht="15.95" customHeight="1" x14ac:dyDescent="0.3">
      <c r="B252" s="1990"/>
      <c r="C252" s="1553" t="s">
        <v>50</v>
      </c>
      <c r="D252" s="1985" t="s">
        <v>891</v>
      </c>
      <c r="E252" s="1976" t="s">
        <v>618</v>
      </c>
      <c r="F252" s="2014">
        <v>1E-3</v>
      </c>
      <c r="G252" s="1995">
        <f>G13</f>
        <v>200000</v>
      </c>
      <c r="H252" s="1996">
        <f>+F252*G252</f>
        <v>200</v>
      </c>
    </row>
    <row r="253" spans="2:16" s="1553" customFormat="1" ht="15.95" customHeight="1" x14ac:dyDescent="0.3">
      <c r="B253" s="1990"/>
      <c r="D253" s="1990"/>
      <c r="E253" s="1976"/>
      <c r="F253" s="2001"/>
      <c r="G253" s="1997" t="s">
        <v>52</v>
      </c>
      <c r="H253" s="1996">
        <f>SUM(H249:H252)</f>
        <v>13280</v>
      </c>
    </row>
    <row r="254" spans="2:16" s="1553" customFormat="1" ht="15.95" customHeight="1" x14ac:dyDescent="0.3">
      <c r="B254" s="1990" t="s">
        <v>394</v>
      </c>
      <c r="C254" s="1555" t="s">
        <v>872</v>
      </c>
      <c r="D254" s="1990"/>
      <c r="E254" s="1992"/>
      <c r="F254" s="1993"/>
      <c r="G254" s="1992"/>
      <c r="H254" s="1992"/>
    </row>
    <row r="255" spans="2:16" s="1553" customFormat="1" ht="15.95" customHeight="1" x14ac:dyDescent="0.3">
      <c r="B255" s="1555"/>
      <c r="C255" s="1998" t="s">
        <v>918</v>
      </c>
      <c r="E255" s="1976" t="s">
        <v>27</v>
      </c>
      <c r="F255" s="1980">
        <v>1</v>
      </c>
      <c r="G255" s="1995">
        <f>'UB mep'!J112</f>
        <v>35000</v>
      </c>
      <c r="H255" s="1996">
        <f>+F255*G255</f>
        <v>35000</v>
      </c>
    </row>
    <row r="256" spans="2:16" s="1553" customFormat="1" ht="15.95" customHeight="1" x14ac:dyDescent="0.3">
      <c r="B256" s="1555"/>
      <c r="C256" s="2000" t="s">
        <v>892</v>
      </c>
      <c r="E256" s="1976" t="s">
        <v>1</v>
      </c>
      <c r="F256" s="1980">
        <v>1</v>
      </c>
      <c r="G256" s="1995">
        <f>G18</f>
        <v>5000</v>
      </c>
      <c r="H256" s="1996">
        <f>+F256*G256</f>
        <v>5000</v>
      </c>
    </row>
    <row r="257" spans="2:16" s="1553" customFormat="1" ht="15.95" customHeight="1" x14ac:dyDescent="0.3">
      <c r="B257" s="1555"/>
      <c r="E257" s="1976"/>
      <c r="F257" s="2001"/>
      <c r="G257" s="2002" t="s">
        <v>59</v>
      </c>
      <c r="H257" s="1996">
        <f>SUM(H255:H256)</f>
        <v>40000</v>
      </c>
    </row>
    <row r="258" spans="2:16" s="1553" customFormat="1" ht="15.95" customHeight="1" x14ac:dyDescent="0.3">
      <c r="B258" s="1974" t="s">
        <v>411</v>
      </c>
      <c r="C258" s="1554" t="s">
        <v>60</v>
      </c>
      <c r="E258" s="1976"/>
      <c r="F258" s="2001"/>
      <c r="G258" s="2003"/>
      <c r="H258" s="2003"/>
    </row>
    <row r="259" spans="2:16" s="1553" customFormat="1" ht="15.95" customHeight="1" x14ac:dyDescent="0.3">
      <c r="B259" s="1555"/>
      <c r="E259" s="1976"/>
      <c r="F259" s="2001"/>
      <c r="G259" s="2002" t="s">
        <v>61</v>
      </c>
      <c r="H259" s="1996">
        <v>0</v>
      </c>
    </row>
    <row r="260" spans="2:16" s="1553" customFormat="1" ht="15.95" customHeight="1" x14ac:dyDescent="0.3">
      <c r="B260" s="1976" t="s">
        <v>6</v>
      </c>
      <c r="C260" s="1553" t="s">
        <v>875</v>
      </c>
      <c r="E260" s="1980"/>
      <c r="F260" s="1976"/>
      <c r="G260" s="1976"/>
      <c r="H260" s="2003">
        <f>+H259+H257+H253</f>
        <v>53280</v>
      </c>
    </row>
    <row r="261" spans="2:16" s="1553" customFormat="1" ht="15.95" customHeight="1" x14ac:dyDescent="0.3">
      <c r="B261" s="1974" t="s">
        <v>7</v>
      </c>
      <c r="C261" s="1555" t="s">
        <v>100</v>
      </c>
      <c r="E261" s="1980"/>
      <c r="F261" s="1976"/>
      <c r="G261" s="2004">
        <v>0</v>
      </c>
      <c r="H261" s="1981">
        <f>H260*J241</f>
        <v>0</v>
      </c>
    </row>
    <row r="262" spans="2:16" s="1553" customFormat="1" ht="15.95" customHeight="1" x14ac:dyDescent="0.3">
      <c r="B262" s="1976" t="s">
        <v>63</v>
      </c>
      <c r="C262" s="1553" t="s">
        <v>877</v>
      </c>
      <c r="E262" s="1980"/>
      <c r="F262" s="1976"/>
      <c r="G262" s="1976"/>
      <c r="H262" s="1981">
        <f>+H260+H261</f>
        <v>53280</v>
      </c>
    </row>
    <row r="263" spans="2:16" s="1553" customFormat="1" ht="15.95" customHeight="1" x14ac:dyDescent="0.3">
      <c r="C263" s="1554" t="s">
        <v>878</v>
      </c>
      <c r="D263" s="1555"/>
      <c r="E263" s="1555"/>
      <c r="F263" s="1555"/>
      <c r="G263" s="1555"/>
      <c r="H263" s="2005">
        <f>ROUNDDOWN(H262,2)</f>
        <v>53280</v>
      </c>
    </row>
    <row r="264" spans="2:16" ht="15.95" customHeight="1" x14ac:dyDescent="0.3">
      <c r="C264" s="2011"/>
      <c r="D264" s="2012"/>
      <c r="E264" s="2012"/>
      <c r="F264" s="2012"/>
      <c r="G264" s="2012"/>
      <c r="H264" s="2013"/>
    </row>
    <row r="265" spans="2:16" s="1553" customFormat="1" ht="15.95" customHeight="1" x14ac:dyDescent="0.3">
      <c r="B265" s="1979" t="s">
        <v>919</v>
      </c>
      <c r="C265" s="1555" t="s">
        <v>920</v>
      </c>
      <c r="E265" s="1980"/>
      <c r="F265" s="1976"/>
      <c r="G265" s="1976"/>
      <c r="H265" s="1981"/>
    </row>
    <row r="266" spans="2:16" s="1976" customFormat="1" ht="15.95" customHeight="1" x14ac:dyDescent="0.3">
      <c r="B266" s="1982" t="s">
        <v>12</v>
      </c>
      <c r="C266" s="1982" t="s">
        <v>36</v>
      </c>
      <c r="D266" s="1982" t="s">
        <v>37</v>
      </c>
      <c r="E266" s="1983" t="s">
        <v>184</v>
      </c>
      <c r="F266" s="1984" t="s">
        <v>868</v>
      </c>
      <c r="G266" s="1983" t="s">
        <v>1063</v>
      </c>
      <c r="H266" s="1983" t="s">
        <v>40</v>
      </c>
      <c r="I266" s="1985"/>
      <c r="J266" s="1986"/>
      <c r="K266" s="1986"/>
      <c r="L266" s="1986"/>
      <c r="M266" s="1986"/>
      <c r="N266" s="1987"/>
      <c r="O266" s="1988"/>
      <c r="P266" s="1989"/>
    </row>
    <row r="267" spans="2:16" s="1553" customFormat="1" ht="15.95" customHeight="1" x14ac:dyDescent="0.3">
      <c r="B267" s="1990" t="s">
        <v>368</v>
      </c>
      <c r="C267" s="1991" t="s">
        <v>42</v>
      </c>
      <c r="D267" s="1990"/>
      <c r="E267" s="1992"/>
      <c r="F267" s="1993"/>
      <c r="G267" s="1992"/>
      <c r="H267" s="1992"/>
    </row>
    <row r="268" spans="2:16" s="1553" customFormat="1" ht="15.95" customHeight="1" x14ac:dyDescent="0.3">
      <c r="B268" s="1990"/>
      <c r="C268" s="1553" t="s">
        <v>71</v>
      </c>
      <c r="D268" s="1985" t="s">
        <v>888</v>
      </c>
      <c r="E268" s="1976" t="s">
        <v>618</v>
      </c>
      <c r="F268" s="2014">
        <v>0.1</v>
      </c>
      <c r="G268" s="1995">
        <f>G10</f>
        <v>115000</v>
      </c>
      <c r="H268" s="1996">
        <f>+F268*G268</f>
        <v>11500</v>
      </c>
    </row>
    <row r="269" spans="2:16" s="1553" customFormat="1" ht="15.95" customHeight="1" x14ac:dyDescent="0.3">
      <c r="B269" s="1990"/>
      <c r="C269" s="1553" t="s">
        <v>871</v>
      </c>
      <c r="D269" s="1985" t="s">
        <v>889</v>
      </c>
      <c r="E269" s="1976" t="s">
        <v>618</v>
      </c>
      <c r="F269" s="2014">
        <v>0.01</v>
      </c>
      <c r="G269" s="1995">
        <f>G11</f>
        <v>170000</v>
      </c>
      <c r="H269" s="1996">
        <f>+F269*G269</f>
        <v>1700</v>
      </c>
    </row>
    <row r="270" spans="2:16" s="1553" customFormat="1" ht="15.95" customHeight="1" x14ac:dyDescent="0.3">
      <c r="B270" s="1990"/>
      <c r="C270" s="1553" t="s">
        <v>605</v>
      </c>
      <c r="D270" s="1985" t="s">
        <v>890</v>
      </c>
      <c r="E270" s="1976" t="s">
        <v>618</v>
      </c>
      <c r="F270" s="2014">
        <v>0.01</v>
      </c>
      <c r="G270" s="1995">
        <f>G12</f>
        <v>185000</v>
      </c>
      <c r="H270" s="1996">
        <f>+F270*G270</f>
        <v>1850</v>
      </c>
    </row>
    <row r="271" spans="2:16" s="1553" customFormat="1" ht="15.95" customHeight="1" x14ac:dyDescent="0.3">
      <c r="B271" s="1990"/>
      <c r="C271" s="1553" t="s">
        <v>50</v>
      </c>
      <c r="D271" s="1985" t="s">
        <v>891</v>
      </c>
      <c r="E271" s="1976" t="s">
        <v>618</v>
      </c>
      <c r="F271" s="2014">
        <v>1E-3</v>
      </c>
      <c r="G271" s="1995">
        <f>G13</f>
        <v>200000</v>
      </c>
      <c r="H271" s="1996">
        <f>+F271*G271</f>
        <v>200</v>
      </c>
    </row>
    <row r="272" spans="2:16" s="1553" customFormat="1" ht="15.95" customHeight="1" x14ac:dyDescent="0.3">
      <c r="B272" s="1990"/>
      <c r="D272" s="1990"/>
      <c r="E272" s="1976"/>
      <c r="F272" s="2001"/>
      <c r="G272" s="1997" t="s">
        <v>52</v>
      </c>
      <c r="H272" s="1996">
        <f>SUM(H268:H271)</f>
        <v>15250</v>
      </c>
    </row>
    <row r="273" spans="2:16" s="1553" customFormat="1" ht="15.95" customHeight="1" x14ac:dyDescent="0.3">
      <c r="B273" s="1990" t="s">
        <v>394</v>
      </c>
      <c r="C273" s="1555" t="s">
        <v>872</v>
      </c>
      <c r="D273" s="1990"/>
      <c r="E273" s="1992"/>
      <c r="F273" s="1993"/>
      <c r="G273" s="1992"/>
      <c r="H273" s="1992"/>
    </row>
    <row r="274" spans="2:16" s="1553" customFormat="1" ht="15.95" customHeight="1" x14ac:dyDescent="0.3">
      <c r="B274" s="1555"/>
      <c r="C274" s="1998" t="s">
        <v>1073</v>
      </c>
      <c r="E274" s="1976" t="s">
        <v>32</v>
      </c>
      <c r="F274" s="1980">
        <v>1</v>
      </c>
      <c r="G274" s="1995">
        <f>'UB mep'!J113</f>
        <v>22000</v>
      </c>
      <c r="H274" s="1996">
        <f>+F274*G274</f>
        <v>22000</v>
      </c>
    </row>
    <row r="275" spans="2:16" s="1553" customFormat="1" ht="15.95" customHeight="1" x14ac:dyDescent="0.3">
      <c r="B275" s="1555"/>
      <c r="C275" s="2000" t="s">
        <v>892</v>
      </c>
      <c r="E275" s="1976" t="s">
        <v>1</v>
      </c>
      <c r="F275" s="1980">
        <v>1</v>
      </c>
      <c r="G275" s="1995">
        <f>G18</f>
        <v>5000</v>
      </c>
      <c r="H275" s="1996">
        <f>+F275*G275</f>
        <v>5000</v>
      </c>
    </row>
    <row r="276" spans="2:16" s="1553" customFormat="1" ht="15.95" customHeight="1" x14ac:dyDescent="0.3">
      <c r="B276" s="1555"/>
      <c r="E276" s="1976"/>
      <c r="F276" s="2001"/>
      <c r="G276" s="2002" t="s">
        <v>59</v>
      </c>
      <c r="H276" s="1996">
        <f>SUM(H274:H275)</f>
        <v>27000</v>
      </c>
    </row>
    <row r="277" spans="2:16" s="1553" customFormat="1" ht="15.95" customHeight="1" x14ac:dyDescent="0.3">
      <c r="B277" s="1974" t="s">
        <v>411</v>
      </c>
      <c r="C277" s="1554" t="s">
        <v>60</v>
      </c>
      <c r="E277" s="1976"/>
      <c r="F277" s="2001"/>
      <c r="G277" s="2003"/>
      <c r="H277" s="2003"/>
    </row>
    <row r="278" spans="2:16" s="1553" customFormat="1" ht="15.95" customHeight="1" x14ac:dyDescent="0.3">
      <c r="B278" s="1555"/>
      <c r="E278" s="1976"/>
      <c r="F278" s="2001"/>
      <c r="G278" s="2002" t="s">
        <v>61</v>
      </c>
      <c r="H278" s="1996">
        <v>0</v>
      </c>
    </row>
    <row r="279" spans="2:16" s="1553" customFormat="1" ht="15.95" customHeight="1" x14ac:dyDescent="0.3">
      <c r="B279" s="1976" t="s">
        <v>6</v>
      </c>
      <c r="C279" s="1553" t="s">
        <v>875</v>
      </c>
      <c r="E279" s="1980"/>
      <c r="F279" s="1976"/>
      <c r="G279" s="1976"/>
      <c r="H279" s="2003">
        <f>+H278+H276+H272</f>
        <v>42250</v>
      </c>
    </row>
    <row r="280" spans="2:16" s="1553" customFormat="1" ht="15.95" customHeight="1" x14ac:dyDescent="0.3">
      <c r="B280" s="1974" t="s">
        <v>7</v>
      </c>
      <c r="C280" s="1555" t="s">
        <v>100</v>
      </c>
      <c r="E280" s="1980"/>
      <c r="F280" s="1976"/>
      <c r="G280" s="2004">
        <v>0</v>
      </c>
      <c r="H280" s="1981">
        <f>H279*J261</f>
        <v>0</v>
      </c>
    </row>
    <row r="281" spans="2:16" s="1553" customFormat="1" ht="15.95" customHeight="1" x14ac:dyDescent="0.3">
      <c r="B281" s="1976" t="s">
        <v>63</v>
      </c>
      <c r="C281" s="1553" t="s">
        <v>877</v>
      </c>
      <c r="E281" s="1980"/>
      <c r="F281" s="1976"/>
      <c r="G281" s="1976"/>
      <c r="H281" s="1981">
        <f>+H279+H280</f>
        <v>42250</v>
      </c>
    </row>
    <row r="282" spans="2:16" s="1553" customFormat="1" ht="15.95" customHeight="1" x14ac:dyDescent="0.3">
      <c r="C282" s="1554" t="s">
        <v>878</v>
      </c>
      <c r="D282" s="1555"/>
      <c r="E282" s="1555"/>
      <c r="F282" s="1555"/>
      <c r="G282" s="1555"/>
      <c r="H282" s="2005">
        <f>ROUNDDOWN(H281,2)</f>
        <v>42250</v>
      </c>
    </row>
    <row r="283" spans="2:16" ht="15.95" customHeight="1" x14ac:dyDescent="0.3">
      <c r="C283" s="2011"/>
      <c r="D283" s="2012"/>
      <c r="E283" s="2012"/>
      <c r="F283" s="2012"/>
      <c r="G283" s="2012"/>
      <c r="H283" s="2013"/>
    </row>
    <row r="284" spans="2:16" s="1553" customFormat="1" ht="15.95" customHeight="1" x14ac:dyDescent="0.3">
      <c r="B284" s="1979" t="s">
        <v>921</v>
      </c>
      <c r="C284" s="1555" t="s">
        <v>922</v>
      </c>
      <c r="E284" s="1980"/>
      <c r="F284" s="1976"/>
      <c r="G284" s="1976"/>
      <c r="H284" s="1981"/>
    </row>
    <row r="285" spans="2:16" s="1976" customFormat="1" ht="15.95" customHeight="1" x14ac:dyDescent="0.3">
      <c r="B285" s="1982" t="s">
        <v>12</v>
      </c>
      <c r="C285" s="1982" t="s">
        <v>36</v>
      </c>
      <c r="D285" s="1982" t="s">
        <v>37</v>
      </c>
      <c r="E285" s="1983" t="s">
        <v>184</v>
      </c>
      <c r="F285" s="1984" t="s">
        <v>868</v>
      </c>
      <c r="G285" s="1983" t="s">
        <v>1063</v>
      </c>
      <c r="H285" s="1983" t="s">
        <v>40</v>
      </c>
      <c r="I285" s="1985"/>
      <c r="J285" s="1986"/>
      <c r="K285" s="1986"/>
      <c r="L285" s="1986"/>
      <c r="M285" s="1986"/>
      <c r="N285" s="1987"/>
      <c r="O285" s="1988"/>
      <c r="P285" s="1989"/>
    </row>
    <row r="286" spans="2:16" s="1553" customFormat="1" ht="15.95" customHeight="1" x14ac:dyDescent="0.3">
      <c r="B286" s="1990" t="s">
        <v>368</v>
      </c>
      <c r="C286" s="1991" t="s">
        <v>42</v>
      </c>
      <c r="D286" s="1990"/>
      <c r="E286" s="1992"/>
      <c r="F286" s="1993"/>
      <c r="G286" s="1992"/>
      <c r="H286" s="1992"/>
    </row>
    <row r="287" spans="2:16" s="1553" customFormat="1" ht="15.95" customHeight="1" x14ac:dyDescent="0.3">
      <c r="B287" s="1990"/>
      <c r="C287" s="1553" t="s">
        <v>71</v>
      </c>
      <c r="D287" s="1985" t="s">
        <v>888</v>
      </c>
      <c r="E287" s="1976" t="s">
        <v>618</v>
      </c>
      <c r="F287" s="2014">
        <v>0.03</v>
      </c>
      <c r="G287" s="1995">
        <f>G10</f>
        <v>115000</v>
      </c>
      <c r="H287" s="1996">
        <f>+F287*G287</f>
        <v>3450</v>
      </c>
    </row>
    <row r="288" spans="2:16" s="1553" customFormat="1" ht="15.95" customHeight="1" x14ac:dyDescent="0.3">
      <c r="B288" s="1990"/>
      <c r="C288" s="1553" t="s">
        <v>871</v>
      </c>
      <c r="D288" s="1985" t="s">
        <v>889</v>
      </c>
      <c r="E288" s="1976" t="s">
        <v>618</v>
      </c>
      <c r="F288" s="2014">
        <v>0.03</v>
      </c>
      <c r="G288" s="1995">
        <f>G11</f>
        <v>170000</v>
      </c>
      <c r="H288" s="1996">
        <f>+F288*G288</f>
        <v>5100</v>
      </c>
    </row>
    <row r="289" spans="2:16" s="1553" customFormat="1" ht="15.95" customHeight="1" x14ac:dyDescent="0.3">
      <c r="B289" s="1990"/>
      <c r="C289" s="1553" t="s">
        <v>605</v>
      </c>
      <c r="D289" s="1985" t="s">
        <v>890</v>
      </c>
      <c r="E289" s="1976" t="s">
        <v>618</v>
      </c>
      <c r="F289" s="2014">
        <v>0.01</v>
      </c>
      <c r="G289" s="1995">
        <f>G12</f>
        <v>185000</v>
      </c>
      <c r="H289" s="1996">
        <f>+F289*G289</f>
        <v>1850</v>
      </c>
    </row>
    <row r="290" spans="2:16" s="1553" customFormat="1" ht="15.95" customHeight="1" x14ac:dyDescent="0.3">
      <c r="B290" s="1990"/>
      <c r="C290" s="1553" t="s">
        <v>50</v>
      </c>
      <c r="D290" s="1985" t="s">
        <v>891</v>
      </c>
      <c r="E290" s="1976" t="s">
        <v>618</v>
      </c>
      <c r="F290" s="2014">
        <v>1E-3</v>
      </c>
      <c r="G290" s="1995">
        <f>G13</f>
        <v>200000</v>
      </c>
      <c r="H290" s="1996">
        <f>+F290*G290</f>
        <v>200</v>
      </c>
    </row>
    <row r="291" spans="2:16" s="1553" customFormat="1" ht="15.95" customHeight="1" x14ac:dyDescent="0.3">
      <c r="B291" s="1990"/>
      <c r="D291" s="1990"/>
      <c r="E291" s="1976"/>
      <c r="F291" s="2001"/>
      <c r="G291" s="1997" t="s">
        <v>52</v>
      </c>
      <c r="H291" s="1996">
        <f>SUM(H287:H290)</f>
        <v>10600</v>
      </c>
    </row>
    <row r="292" spans="2:16" s="1553" customFormat="1" ht="15.95" customHeight="1" x14ac:dyDescent="0.3">
      <c r="B292" s="1990" t="s">
        <v>394</v>
      </c>
      <c r="C292" s="1555" t="s">
        <v>872</v>
      </c>
      <c r="D292" s="1990"/>
      <c r="E292" s="1992"/>
      <c r="F292" s="1993"/>
      <c r="G292" s="1992"/>
      <c r="H292" s="1992"/>
    </row>
    <row r="293" spans="2:16" s="1553" customFormat="1" ht="15.95" customHeight="1" x14ac:dyDescent="0.3">
      <c r="B293" s="1555"/>
      <c r="C293" s="1998" t="s">
        <v>1072</v>
      </c>
      <c r="E293" s="1976" t="s">
        <v>32</v>
      </c>
      <c r="F293" s="1980">
        <v>1</v>
      </c>
      <c r="G293" s="1995">
        <f>'UB mep'!J114</f>
        <v>11500</v>
      </c>
      <c r="H293" s="1996">
        <f>+F293*G293</f>
        <v>11500</v>
      </c>
    </row>
    <row r="294" spans="2:16" s="1553" customFormat="1" ht="15.95" customHeight="1" x14ac:dyDescent="0.3">
      <c r="B294" s="1555"/>
      <c r="C294" s="2000" t="s">
        <v>892</v>
      </c>
      <c r="E294" s="1976" t="s">
        <v>1</v>
      </c>
      <c r="F294" s="1980">
        <v>1</v>
      </c>
      <c r="G294" s="1995">
        <f>G18</f>
        <v>5000</v>
      </c>
      <c r="H294" s="1996">
        <f>+F294*G294</f>
        <v>5000</v>
      </c>
    </row>
    <row r="295" spans="2:16" s="1553" customFormat="1" ht="15.95" customHeight="1" x14ac:dyDescent="0.3">
      <c r="B295" s="1555"/>
      <c r="E295" s="1976"/>
      <c r="F295" s="2001"/>
      <c r="G295" s="2002" t="s">
        <v>59</v>
      </c>
      <c r="H295" s="1996">
        <f>SUM(H293:H294)</f>
        <v>16500</v>
      </c>
    </row>
    <row r="296" spans="2:16" s="1553" customFormat="1" ht="15.95" customHeight="1" x14ac:dyDescent="0.3">
      <c r="B296" s="1974" t="s">
        <v>411</v>
      </c>
      <c r="C296" s="1554" t="s">
        <v>60</v>
      </c>
      <c r="E296" s="1976"/>
      <c r="F296" s="2001"/>
      <c r="G296" s="2003"/>
      <c r="H296" s="2003"/>
    </row>
    <row r="297" spans="2:16" s="1553" customFormat="1" ht="15.95" customHeight="1" x14ac:dyDescent="0.3">
      <c r="B297" s="1555"/>
      <c r="E297" s="1976"/>
      <c r="F297" s="2001"/>
      <c r="G297" s="2002" t="s">
        <v>61</v>
      </c>
      <c r="H297" s="1996">
        <v>0</v>
      </c>
    </row>
    <row r="298" spans="2:16" s="1553" customFormat="1" ht="15.95" customHeight="1" x14ac:dyDescent="0.3">
      <c r="B298" s="1976" t="s">
        <v>6</v>
      </c>
      <c r="C298" s="1553" t="s">
        <v>875</v>
      </c>
      <c r="E298" s="1980"/>
      <c r="F298" s="1976"/>
      <c r="G298" s="1976"/>
      <c r="H298" s="2003">
        <f>+H297+H295+H291</f>
        <v>27100</v>
      </c>
    </row>
    <row r="299" spans="2:16" s="1553" customFormat="1" ht="15.95" customHeight="1" x14ac:dyDescent="0.3">
      <c r="B299" s="1974" t="s">
        <v>7</v>
      </c>
      <c r="C299" s="1555" t="s">
        <v>100</v>
      </c>
      <c r="E299" s="1980"/>
      <c r="F299" s="1976"/>
      <c r="G299" s="2004">
        <v>0</v>
      </c>
      <c r="H299" s="1981">
        <f>H298*J281</f>
        <v>0</v>
      </c>
    </row>
    <row r="300" spans="2:16" s="1553" customFormat="1" ht="15.95" customHeight="1" x14ac:dyDescent="0.3">
      <c r="B300" s="1976" t="s">
        <v>63</v>
      </c>
      <c r="C300" s="1553" t="s">
        <v>877</v>
      </c>
      <c r="E300" s="1980"/>
      <c r="F300" s="1976"/>
      <c r="G300" s="1976"/>
      <c r="H300" s="1981">
        <f>+H298+H299</f>
        <v>27100</v>
      </c>
    </row>
    <row r="301" spans="2:16" s="1553" customFormat="1" ht="15.95" customHeight="1" x14ac:dyDescent="0.3">
      <c r="C301" s="1554" t="s">
        <v>878</v>
      </c>
      <c r="D301" s="1555"/>
      <c r="E301" s="1555"/>
      <c r="F301" s="1555"/>
      <c r="G301" s="1555"/>
      <c r="H301" s="2005">
        <f>ROUNDDOWN(H300,2)</f>
        <v>27100</v>
      </c>
    </row>
    <row r="302" spans="2:16" ht="15.95" customHeight="1" x14ac:dyDescent="0.3">
      <c r="C302" s="2011"/>
      <c r="D302" s="2012"/>
      <c r="E302" s="2012"/>
      <c r="F302" s="2012"/>
      <c r="G302" s="2012"/>
      <c r="H302" s="2013"/>
    </row>
    <row r="303" spans="2:16" ht="15.95" customHeight="1" x14ac:dyDescent="0.3">
      <c r="B303" s="1979" t="s">
        <v>923</v>
      </c>
      <c r="C303" s="1555" t="s">
        <v>924</v>
      </c>
      <c r="E303" s="2017"/>
      <c r="F303" s="2007"/>
      <c r="H303" s="2018"/>
    </row>
    <row r="304" spans="2:16" s="1976" customFormat="1" ht="15.95" customHeight="1" x14ac:dyDescent="0.3">
      <c r="B304" s="1982" t="s">
        <v>12</v>
      </c>
      <c r="C304" s="1982" t="s">
        <v>36</v>
      </c>
      <c r="D304" s="1982" t="s">
        <v>37</v>
      </c>
      <c r="E304" s="1983" t="s">
        <v>184</v>
      </c>
      <c r="F304" s="1984" t="s">
        <v>868</v>
      </c>
      <c r="G304" s="1983" t="s">
        <v>1063</v>
      </c>
      <c r="H304" s="1983" t="s">
        <v>40</v>
      </c>
      <c r="I304" s="1985"/>
      <c r="J304" s="1986"/>
      <c r="K304" s="1986"/>
      <c r="L304" s="1986"/>
      <c r="M304" s="1986"/>
      <c r="N304" s="1987"/>
      <c r="O304" s="1988"/>
      <c r="P304" s="1989"/>
    </row>
    <row r="305" spans="2:8" s="1553" customFormat="1" ht="15.95" customHeight="1" x14ac:dyDescent="0.3">
      <c r="B305" s="1990" t="s">
        <v>368</v>
      </c>
      <c r="C305" s="1991" t="s">
        <v>42</v>
      </c>
      <c r="D305" s="1990"/>
      <c r="E305" s="1992"/>
      <c r="F305" s="1993"/>
      <c r="G305" s="1992"/>
      <c r="H305" s="1992"/>
    </row>
    <row r="306" spans="2:8" s="1553" customFormat="1" ht="15.95" customHeight="1" x14ac:dyDescent="0.3">
      <c r="B306" s="1990"/>
      <c r="C306" s="1553" t="s">
        <v>71</v>
      </c>
      <c r="D306" s="1985" t="s">
        <v>888</v>
      </c>
      <c r="E306" s="1976" t="s">
        <v>618</v>
      </c>
      <c r="F306" s="2014">
        <v>0.01</v>
      </c>
      <c r="G306" s="1995">
        <f>G287</f>
        <v>115000</v>
      </c>
      <c r="H306" s="1996">
        <f>+F306*G306</f>
        <v>1150</v>
      </c>
    </row>
    <row r="307" spans="2:8" s="1553" customFormat="1" ht="15.95" customHeight="1" x14ac:dyDescent="0.3">
      <c r="B307" s="1990"/>
      <c r="C307" s="1553" t="s">
        <v>871</v>
      </c>
      <c r="D307" s="1985" t="s">
        <v>889</v>
      </c>
      <c r="E307" s="1976" t="s">
        <v>618</v>
      </c>
      <c r="F307" s="2014">
        <v>0.01</v>
      </c>
      <c r="G307" s="1995">
        <f>G288</f>
        <v>170000</v>
      </c>
      <c r="H307" s="1996">
        <f>+F307*G307</f>
        <v>1700</v>
      </c>
    </row>
    <row r="308" spans="2:8" s="1553" customFormat="1" ht="15.95" customHeight="1" x14ac:dyDescent="0.3">
      <c r="B308" s="1990"/>
      <c r="C308" s="1553" t="s">
        <v>605</v>
      </c>
      <c r="D308" s="1985" t="s">
        <v>890</v>
      </c>
      <c r="E308" s="1976" t="s">
        <v>618</v>
      </c>
      <c r="F308" s="2014">
        <v>0.01</v>
      </c>
      <c r="G308" s="1995">
        <f>G289</f>
        <v>185000</v>
      </c>
      <c r="H308" s="1996">
        <f>+F308*G308</f>
        <v>1850</v>
      </c>
    </row>
    <row r="309" spans="2:8" s="1553" customFormat="1" ht="15.95" customHeight="1" x14ac:dyDescent="0.3">
      <c r="B309" s="1990"/>
      <c r="C309" s="1553" t="s">
        <v>50</v>
      </c>
      <c r="D309" s="1985" t="s">
        <v>891</v>
      </c>
      <c r="E309" s="1976" t="s">
        <v>618</v>
      </c>
      <c r="F309" s="2014">
        <v>1E-3</v>
      </c>
      <c r="G309" s="1995">
        <f>G290</f>
        <v>200000</v>
      </c>
      <c r="H309" s="1996">
        <f>+F309*G309</f>
        <v>200</v>
      </c>
    </row>
    <row r="310" spans="2:8" s="1553" customFormat="1" ht="15.95" customHeight="1" x14ac:dyDescent="0.3">
      <c r="B310" s="1990"/>
      <c r="D310" s="1990"/>
      <c r="E310" s="1976"/>
      <c r="F310" s="2001"/>
      <c r="G310" s="1997" t="s">
        <v>52</v>
      </c>
      <c r="H310" s="1996">
        <f>SUM(H306:H309)</f>
        <v>4900</v>
      </c>
    </row>
    <row r="311" spans="2:8" s="1553" customFormat="1" ht="15.95" customHeight="1" x14ac:dyDescent="0.3">
      <c r="B311" s="1990" t="s">
        <v>394</v>
      </c>
      <c r="C311" s="1555" t="s">
        <v>872</v>
      </c>
      <c r="D311" s="1990"/>
      <c r="E311" s="1992"/>
      <c r="F311" s="1993"/>
      <c r="G311" s="1992"/>
      <c r="H311" s="1992"/>
    </row>
    <row r="312" spans="2:8" s="1553" customFormat="1" ht="15.95" customHeight="1" x14ac:dyDescent="0.3">
      <c r="B312" s="1555"/>
      <c r="C312" s="1998" t="s">
        <v>925</v>
      </c>
      <c r="E312" s="1976" t="s">
        <v>32</v>
      </c>
      <c r="F312" s="1980">
        <v>1</v>
      </c>
      <c r="G312" s="1995">
        <f>'UB mep'!J124</f>
        <v>95000</v>
      </c>
      <c r="H312" s="1996">
        <f>+F312*G312</f>
        <v>95000</v>
      </c>
    </row>
    <row r="313" spans="2:8" s="1553" customFormat="1" ht="15.95" customHeight="1" x14ac:dyDescent="0.3">
      <c r="B313" s="1555"/>
      <c r="C313" s="2000" t="s">
        <v>611</v>
      </c>
      <c r="E313" s="1976" t="s">
        <v>1</v>
      </c>
      <c r="F313" s="1980">
        <v>1</v>
      </c>
      <c r="G313" s="1995">
        <f>G18</f>
        <v>5000</v>
      </c>
      <c r="H313" s="1996">
        <f>+F313*G313</f>
        <v>5000</v>
      </c>
    </row>
    <row r="314" spans="2:8" s="1553" customFormat="1" ht="15.95" customHeight="1" x14ac:dyDescent="0.3">
      <c r="B314" s="1555"/>
      <c r="E314" s="1976"/>
      <c r="F314" s="2001"/>
      <c r="G314" s="2002" t="s">
        <v>59</v>
      </c>
      <c r="H314" s="1996">
        <f>SUM(H312:H313)</f>
        <v>100000</v>
      </c>
    </row>
    <row r="315" spans="2:8" s="1553" customFormat="1" ht="15.95" customHeight="1" x14ac:dyDescent="0.3">
      <c r="B315" s="1974" t="s">
        <v>411</v>
      </c>
      <c r="C315" s="1554" t="s">
        <v>60</v>
      </c>
      <c r="E315" s="1976"/>
      <c r="F315" s="2001"/>
      <c r="G315" s="2003"/>
      <c r="H315" s="2003"/>
    </row>
    <row r="316" spans="2:8" s="1553" customFormat="1" ht="15.95" customHeight="1" x14ac:dyDescent="0.3">
      <c r="B316" s="1555"/>
      <c r="E316" s="1976"/>
      <c r="F316" s="2001"/>
      <c r="G316" s="2002" t="s">
        <v>61</v>
      </c>
      <c r="H316" s="1996">
        <v>0</v>
      </c>
    </row>
    <row r="317" spans="2:8" s="1553" customFormat="1" ht="15.95" customHeight="1" x14ac:dyDescent="0.3">
      <c r="B317" s="1976" t="s">
        <v>6</v>
      </c>
      <c r="C317" s="1553" t="s">
        <v>875</v>
      </c>
      <c r="E317" s="1980"/>
      <c r="F317" s="1976"/>
      <c r="G317" s="1976"/>
      <c r="H317" s="2003">
        <f>+H316+H314+H310</f>
        <v>104900</v>
      </c>
    </row>
    <row r="318" spans="2:8" s="1553" customFormat="1" ht="15.95" customHeight="1" x14ac:dyDescent="0.3">
      <c r="B318" s="1974" t="s">
        <v>7</v>
      </c>
      <c r="C318" s="1555" t="s">
        <v>100</v>
      </c>
      <c r="E318" s="1980"/>
      <c r="F318" s="1976"/>
      <c r="G318" s="2004">
        <v>0</v>
      </c>
      <c r="H318" s="1981">
        <f>H317*J300</f>
        <v>0</v>
      </c>
    </row>
    <row r="319" spans="2:8" s="1553" customFormat="1" ht="15.95" customHeight="1" x14ac:dyDescent="0.3">
      <c r="B319" s="1976" t="s">
        <v>63</v>
      </c>
      <c r="C319" s="1553" t="s">
        <v>877</v>
      </c>
      <c r="E319" s="1980"/>
      <c r="F319" s="1976"/>
      <c r="G319" s="1976"/>
      <c r="H319" s="1981">
        <f>+H317+H318</f>
        <v>104900</v>
      </c>
    </row>
    <row r="320" spans="2:8" s="1553" customFormat="1" ht="15.95" customHeight="1" x14ac:dyDescent="0.3">
      <c r="C320" s="1554" t="s">
        <v>878</v>
      </c>
      <c r="D320" s="1555"/>
      <c r="E320" s="1555"/>
      <c r="F320" s="1555"/>
      <c r="G320" s="1555"/>
      <c r="H320" s="2005">
        <f>ROUNDDOWN(H319,2)</f>
        <v>104900</v>
      </c>
    </row>
    <row r="321" spans="2:16" ht="15.95" customHeight="1" x14ac:dyDescent="0.3">
      <c r="C321" s="2011"/>
      <c r="D321" s="2012"/>
      <c r="E321" s="2012"/>
      <c r="F321" s="2012"/>
      <c r="G321" s="2012"/>
      <c r="H321" s="2013"/>
    </row>
    <row r="322" spans="2:16" s="1553" customFormat="1" ht="15.95" customHeight="1" x14ac:dyDescent="0.3">
      <c r="B322" s="1979" t="s">
        <v>926</v>
      </c>
      <c r="C322" s="1555" t="s">
        <v>927</v>
      </c>
      <c r="E322" s="1980"/>
      <c r="F322" s="1976"/>
      <c r="G322" s="1976"/>
      <c r="H322" s="1981"/>
    </row>
    <row r="323" spans="2:16" s="1976" customFormat="1" ht="15.95" customHeight="1" x14ac:dyDescent="0.3">
      <c r="B323" s="1982" t="s">
        <v>12</v>
      </c>
      <c r="C323" s="1982" t="s">
        <v>36</v>
      </c>
      <c r="D323" s="1982" t="s">
        <v>37</v>
      </c>
      <c r="E323" s="1983" t="s">
        <v>184</v>
      </c>
      <c r="F323" s="1984" t="s">
        <v>868</v>
      </c>
      <c r="G323" s="1983" t="s">
        <v>1063</v>
      </c>
      <c r="H323" s="1983" t="s">
        <v>40</v>
      </c>
      <c r="I323" s="1985"/>
      <c r="J323" s="1986"/>
      <c r="K323" s="1986"/>
      <c r="L323" s="1986"/>
      <c r="M323" s="1986"/>
      <c r="N323" s="1987"/>
      <c r="O323" s="1988"/>
      <c r="P323" s="1989"/>
    </row>
    <row r="324" spans="2:16" s="1553" customFormat="1" ht="15.95" customHeight="1" x14ac:dyDescent="0.3">
      <c r="B324" s="1990" t="s">
        <v>368</v>
      </c>
      <c r="C324" s="1991" t="s">
        <v>42</v>
      </c>
      <c r="D324" s="1990"/>
      <c r="E324" s="1992"/>
      <c r="F324" s="1993"/>
      <c r="G324" s="1992"/>
      <c r="H324" s="1992"/>
    </row>
    <row r="325" spans="2:16" s="1553" customFormat="1" ht="15.95" customHeight="1" x14ac:dyDescent="0.3">
      <c r="B325" s="1990"/>
      <c r="C325" s="1553" t="s">
        <v>71</v>
      </c>
      <c r="D325" s="1985" t="s">
        <v>888</v>
      </c>
      <c r="E325" s="1976" t="s">
        <v>618</v>
      </c>
      <c r="F325" s="2014">
        <v>1.4999999999999999E-2</v>
      </c>
      <c r="G325" s="1995">
        <f>G10</f>
        <v>115000</v>
      </c>
      <c r="H325" s="1996">
        <f>+F325*G325</f>
        <v>1725</v>
      </c>
    </row>
    <row r="326" spans="2:16" s="1553" customFormat="1" ht="15.95" customHeight="1" x14ac:dyDescent="0.3">
      <c r="B326" s="1990"/>
      <c r="C326" s="1553" t="s">
        <v>871</v>
      </c>
      <c r="D326" s="1985" t="s">
        <v>889</v>
      </c>
      <c r="E326" s="1976" t="s">
        <v>618</v>
      </c>
      <c r="F326" s="2014">
        <v>0.01</v>
      </c>
      <c r="G326" s="1995">
        <f>G11</f>
        <v>170000</v>
      </c>
      <c r="H326" s="1996">
        <f>+F326*G326</f>
        <v>1700</v>
      </c>
    </row>
    <row r="327" spans="2:16" s="1553" customFormat="1" ht="15.95" customHeight="1" x14ac:dyDescent="0.3">
      <c r="B327" s="1990"/>
      <c r="C327" s="1553" t="s">
        <v>605</v>
      </c>
      <c r="D327" s="1985" t="s">
        <v>890</v>
      </c>
      <c r="E327" s="1976" t="s">
        <v>618</v>
      </c>
      <c r="F327" s="2014">
        <v>3.0000000000000001E-3</v>
      </c>
      <c r="G327" s="1995">
        <f>G12</f>
        <v>185000</v>
      </c>
      <c r="H327" s="1996">
        <f>+F327*G327</f>
        <v>555</v>
      </c>
    </row>
    <row r="328" spans="2:16" s="1553" customFormat="1" ht="15.95" customHeight="1" x14ac:dyDescent="0.3">
      <c r="B328" s="1990"/>
      <c r="C328" s="1553" t="s">
        <v>50</v>
      </c>
      <c r="D328" s="1985" t="s">
        <v>891</v>
      </c>
      <c r="E328" s="1976" t="s">
        <v>618</v>
      </c>
      <c r="F328" s="2014">
        <v>3.0000000000000001E-3</v>
      </c>
      <c r="G328" s="1995">
        <f>G13</f>
        <v>200000</v>
      </c>
      <c r="H328" s="1996">
        <f>+F328*G328</f>
        <v>600</v>
      </c>
    </row>
    <row r="329" spans="2:16" s="1553" customFormat="1" ht="15.95" customHeight="1" x14ac:dyDescent="0.3">
      <c r="B329" s="1990"/>
      <c r="D329" s="1990"/>
      <c r="E329" s="1976"/>
      <c r="F329" s="2001"/>
      <c r="G329" s="1997" t="s">
        <v>52</v>
      </c>
      <c r="H329" s="1996">
        <f>SUM(H325:H328)</f>
        <v>4580</v>
      </c>
    </row>
    <row r="330" spans="2:16" s="1553" customFormat="1" ht="15.95" customHeight="1" x14ac:dyDescent="0.3">
      <c r="B330" s="1990" t="s">
        <v>394</v>
      </c>
      <c r="C330" s="1555" t="s">
        <v>872</v>
      </c>
      <c r="D330" s="1990"/>
      <c r="E330" s="1992"/>
      <c r="F330" s="1993"/>
      <c r="G330" s="1992"/>
      <c r="H330" s="1992"/>
    </row>
    <row r="331" spans="2:16" s="1553" customFormat="1" ht="15.95" customHeight="1" x14ac:dyDescent="0.3">
      <c r="B331" s="1555"/>
      <c r="C331" s="1998" t="s">
        <v>883</v>
      </c>
      <c r="E331" s="1976" t="s">
        <v>32</v>
      </c>
      <c r="F331" s="1980">
        <v>1</v>
      </c>
      <c r="G331" s="1995">
        <f>'UB mep'!J101</f>
        <v>15500</v>
      </c>
      <c r="H331" s="1996">
        <f>+F331*G331</f>
        <v>15500</v>
      </c>
    </row>
    <row r="332" spans="2:16" s="1553" customFormat="1" ht="15.95" customHeight="1" x14ac:dyDescent="0.3">
      <c r="B332" s="1555"/>
      <c r="C332" s="1998" t="s">
        <v>929</v>
      </c>
      <c r="E332" s="1976" t="s">
        <v>30</v>
      </c>
      <c r="F332" s="1980">
        <v>0.25</v>
      </c>
      <c r="G332" s="1995">
        <f>G17</f>
        <v>13000</v>
      </c>
      <c r="H332" s="1996">
        <f>+F332*G332</f>
        <v>3250</v>
      </c>
    </row>
    <row r="333" spans="2:16" s="1553" customFormat="1" ht="15.95" customHeight="1" x14ac:dyDescent="0.3">
      <c r="B333" s="1555"/>
      <c r="C333" s="2000" t="s">
        <v>611</v>
      </c>
      <c r="E333" s="1976" t="s">
        <v>1</v>
      </c>
      <c r="F333" s="1980">
        <v>1</v>
      </c>
      <c r="G333" s="1995">
        <f>G18</f>
        <v>5000</v>
      </c>
      <c r="H333" s="1996">
        <f>+F333*G333</f>
        <v>5000</v>
      </c>
    </row>
    <row r="334" spans="2:16" s="1553" customFormat="1" ht="15.95" customHeight="1" x14ac:dyDescent="0.3">
      <c r="B334" s="1555"/>
      <c r="E334" s="1976"/>
      <c r="F334" s="2001"/>
      <c r="G334" s="2002" t="s">
        <v>59</v>
      </c>
      <c r="H334" s="1996">
        <f>SUM(H331:H333)</f>
        <v>23750</v>
      </c>
    </row>
    <row r="335" spans="2:16" s="1553" customFormat="1" ht="15.95" customHeight="1" x14ac:dyDescent="0.3">
      <c r="B335" s="1974" t="s">
        <v>411</v>
      </c>
      <c r="C335" s="1554" t="s">
        <v>60</v>
      </c>
      <c r="E335" s="1976"/>
      <c r="F335" s="2001"/>
      <c r="G335" s="2003"/>
      <c r="H335" s="2003"/>
    </row>
    <row r="336" spans="2:16" s="1553" customFormat="1" ht="15.95" customHeight="1" x14ac:dyDescent="0.3">
      <c r="B336" s="1555"/>
      <c r="E336" s="1976"/>
      <c r="F336" s="2001"/>
      <c r="G336" s="2002" t="s">
        <v>61</v>
      </c>
      <c r="H336" s="1996">
        <v>0</v>
      </c>
    </row>
    <row r="337" spans="2:16" s="1553" customFormat="1" ht="15.95" customHeight="1" x14ac:dyDescent="0.3">
      <c r="B337" s="1976" t="s">
        <v>6</v>
      </c>
      <c r="C337" s="1553" t="s">
        <v>875</v>
      </c>
      <c r="E337" s="1980"/>
      <c r="F337" s="1976"/>
      <c r="G337" s="1976"/>
      <c r="H337" s="2003">
        <f>+H336+H334+H329</f>
        <v>28330</v>
      </c>
    </row>
    <row r="338" spans="2:16" s="1553" customFormat="1" ht="15.95" customHeight="1" x14ac:dyDescent="0.3">
      <c r="B338" s="1974" t="s">
        <v>7</v>
      </c>
      <c r="C338" s="1555" t="s">
        <v>100</v>
      </c>
      <c r="E338" s="1980"/>
      <c r="F338" s="1976"/>
      <c r="G338" s="2004">
        <v>0</v>
      </c>
      <c r="H338" s="1981">
        <f>H337*J321</f>
        <v>0</v>
      </c>
    </row>
    <row r="339" spans="2:16" ht="15.95" customHeight="1" x14ac:dyDescent="0.3">
      <c r="B339" s="1976" t="s">
        <v>63</v>
      </c>
      <c r="C339" s="1553" t="s">
        <v>877</v>
      </c>
      <c r="D339" s="1553"/>
      <c r="E339" s="1980"/>
      <c r="F339" s="1976"/>
      <c r="G339" s="1976"/>
      <c r="H339" s="1981">
        <f>+H337+H338</f>
        <v>28330</v>
      </c>
    </row>
    <row r="340" spans="2:16" ht="15.95" customHeight="1" x14ac:dyDescent="0.3">
      <c r="B340" s="1553"/>
      <c r="C340" s="1554" t="s">
        <v>878</v>
      </c>
      <c r="D340" s="1555"/>
      <c r="E340" s="1555"/>
      <c r="F340" s="1555"/>
      <c r="G340" s="1555"/>
      <c r="H340" s="2005">
        <f>ROUNDDOWN(H339,2)</f>
        <v>28330</v>
      </c>
    </row>
    <row r="341" spans="2:16" ht="15.95" customHeight="1" x14ac:dyDescent="0.3">
      <c r="C341" s="2011"/>
      <c r="D341" s="2012"/>
      <c r="E341" s="2012"/>
      <c r="F341" s="2012"/>
      <c r="G341" s="2012"/>
      <c r="H341" s="2013"/>
    </row>
    <row r="342" spans="2:16" ht="15.95" customHeight="1" x14ac:dyDescent="0.3">
      <c r="B342" s="1979" t="s">
        <v>930</v>
      </c>
      <c r="C342" s="1555" t="s">
        <v>931</v>
      </c>
      <c r="D342" s="1553"/>
      <c r="E342" s="1980"/>
      <c r="F342" s="1976"/>
      <c r="G342" s="1976"/>
      <c r="H342" s="1981"/>
    </row>
    <row r="343" spans="2:16" s="1976" customFormat="1" ht="15.95" customHeight="1" x14ac:dyDescent="0.3">
      <c r="B343" s="1982" t="s">
        <v>12</v>
      </c>
      <c r="C343" s="1982" t="s">
        <v>36</v>
      </c>
      <c r="D343" s="1982" t="s">
        <v>37</v>
      </c>
      <c r="E343" s="1983" t="s">
        <v>184</v>
      </c>
      <c r="F343" s="1984" t="s">
        <v>868</v>
      </c>
      <c r="G343" s="1983" t="s">
        <v>1063</v>
      </c>
      <c r="H343" s="1983" t="s">
        <v>40</v>
      </c>
      <c r="I343" s="1985"/>
      <c r="J343" s="1986"/>
      <c r="K343" s="1986"/>
      <c r="L343" s="1986"/>
      <c r="M343" s="1986"/>
      <c r="N343" s="1987"/>
      <c r="O343" s="1988"/>
      <c r="P343" s="1989"/>
    </row>
    <row r="344" spans="2:16" ht="15.95" customHeight="1" x14ac:dyDescent="0.3">
      <c r="B344" s="1990" t="s">
        <v>368</v>
      </c>
      <c r="C344" s="1991" t="s">
        <v>42</v>
      </c>
      <c r="D344" s="1990"/>
      <c r="E344" s="1992"/>
      <c r="F344" s="1993"/>
      <c r="G344" s="1992"/>
      <c r="H344" s="1992"/>
    </row>
    <row r="345" spans="2:16" ht="15.95" customHeight="1" x14ac:dyDescent="0.3">
      <c r="B345" s="1990"/>
      <c r="C345" s="1553" t="s">
        <v>71</v>
      </c>
      <c r="D345" s="1985" t="s">
        <v>888</v>
      </c>
      <c r="E345" s="1976" t="s">
        <v>618</v>
      </c>
      <c r="F345" s="2014">
        <v>0.03</v>
      </c>
      <c r="G345" s="1995">
        <f>G10</f>
        <v>115000</v>
      </c>
      <c r="H345" s="1996">
        <f>+F345*G345</f>
        <v>3450</v>
      </c>
    </row>
    <row r="346" spans="2:16" ht="15.95" customHeight="1" x14ac:dyDescent="0.3">
      <c r="B346" s="1990"/>
      <c r="C346" s="1553" t="s">
        <v>871</v>
      </c>
      <c r="D346" s="1985" t="s">
        <v>889</v>
      </c>
      <c r="E346" s="1976" t="s">
        <v>618</v>
      </c>
      <c r="F346" s="2014">
        <v>0.01</v>
      </c>
      <c r="G346" s="1995">
        <f>G11</f>
        <v>170000</v>
      </c>
      <c r="H346" s="1996">
        <f>+F346*G346</f>
        <v>1700</v>
      </c>
    </row>
    <row r="347" spans="2:16" ht="15.95" customHeight="1" x14ac:dyDescent="0.3">
      <c r="B347" s="1990"/>
      <c r="C347" s="1553" t="s">
        <v>605</v>
      </c>
      <c r="D347" s="1985" t="s">
        <v>890</v>
      </c>
      <c r="E347" s="1976" t="s">
        <v>618</v>
      </c>
      <c r="F347" s="2014">
        <v>3.0000000000000001E-3</v>
      </c>
      <c r="G347" s="1995">
        <f>G12</f>
        <v>185000</v>
      </c>
      <c r="H347" s="1996">
        <f>+F347*G347</f>
        <v>555</v>
      </c>
    </row>
    <row r="348" spans="2:16" ht="15.95" customHeight="1" x14ac:dyDescent="0.3">
      <c r="B348" s="1990"/>
      <c r="C348" s="1553" t="s">
        <v>50</v>
      </c>
      <c r="D348" s="1985" t="s">
        <v>891</v>
      </c>
      <c r="E348" s="1976" t="s">
        <v>618</v>
      </c>
      <c r="F348" s="2014">
        <v>3.0000000000000001E-3</v>
      </c>
      <c r="G348" s="1995">
        <f>G13</f>
        <v>200000</v>
      </c>
      <c r="H348" s="1996">
        <f>+F348*G348</f>
        <v>600</v>
      </c>
    </row>
    <row r="349" spans="2:16" ht="15.95" customHeight="1" x14ac:dyDescent="0.3">
      <c r="B349" s="1990"/>
      <c r="C349" s="1553"/>
      <c r="D349" s="1990"/>
      <c r="E349" s="1976"/>
      <c r="F349" s="2001"/>
      <c r="G349" s="1997" t="s">
        <v>52</v>
      </c>
      <c r="H349" s="1996">
        <f>SUM(H345:H348)</f>
        <v>6305</v>
      </c>
    </row>
    <row r="350" spans="2:16" ht="15.95" customHeight="1" x14ac:dyDescent="0.3">
      <c r="B350" s="1990" t="s">
        <v>394</v>
      </c>
      <c r="C350" s="1555" t="s">
        <v>872</v>
      </c>
      <c r="D350" s="1990"/>
      <c r="E350" s="1992"/>
      <c r="F350" s="1993"/>
      <c r="G350" s="1992"/>
      <c r="H350" s="1992"/>
    </row>
    <row r="351" spans="2:16" ht="15.95" customHeight="1" x14ac:dyDescent="0.3">
      <c r="B351" s="1555"/>
      <c r="C351" s="1998" t="s">
        <v>1071</v>
      </c>
      <c r="D351" s="1553"/>
      <c r="E351" s="1976" t="s">
        <v>27</v>
      </c>
      <c r="F351" s="1980">
        <v>1</v>
      </c>
      <c r="G351" s="1995">
        <f>'UB mep'!J103</f>
        <v>24000</v>
      </c>
      <c r="H351" s="1996">
        <f>+F351*G351</f>
        <v>24000</v>
      </c>
    </row>
    <row r="352" spans="2:16" ht="15.95" customHeight="1" x14ac:dyDescent="0.3">
      <c r="B352" s="1555"/>
      <c r="C352" s="1998" t="s">
        <v>929</v>
      </c>
      <c r="D352" s="1553"/>
      <c r="E352" s="1976" t="s">
        <v>30</v>
      </c>
      <c r="F352" s="1980">
        <v>0.25</v>
      </c>
      <c r="G352" s="1995">
        <f>G17</f>
        <v>13000</v>
      </c>
      <c r="H352" s="1996">
        <f>+F352*G352</f>
        <v>3250</v>
      </c>
    </row>
    <row r="353" spans="2:16" ht="15.95" customHeight="1" x14ac:dyDescent="0.3">
      <c r="B353" s="1555"/>
      <c r="C353" s="2000" t="s">
        <v>611</v>
      </c>
      <c r="D353" s="1553"/>
      <c r="E353" s="1976" t="s">
        <v>1</v>
      </c>
      <c r="F353" s="1980">
        <v>1</v>
      </c>
      <c r="G353" s="1995">
        <f>G18</f>
        <v>5000</v>
      </c>
      <c r="H353" s="1996">
        <f>+F353*G353</f>
        <v>5000</v>
      </c>
    </row>
    <row r="354" spans="2:16" ht="15.95" customHeight="1" x14ac:dyDescent="0.3">
      <c r="B354" s="1555"/>
      <c r="C354" s="1553"/>
      <c r="D354" s="1553"/>
      <c r="E354" s="1976"/>
      <c r="F354" s="2001"/>
      <c r="G354" s="2002" t="s">
        <v>59</v>
      </c>
      <c r="H354" s="1996">
        <f>SUM(H351:H353)</f>
        <v>32250</v>
      </c>
    </row>
    <row r="355" spans="2:16" ht="15.95" customHeight="1" x14ac:dyDescent="0.3">
      <c r="B355" s="1974" t="s">
        <v>411</v>
      </c>
      <c r="C355" s="1554" t="s">
        <v>60</v>
      </c>
      <c r="D355" s="1553"/>
      <c r="E355" s="1976"/>
      <c r="F355" s="2001"/>
      <c r="G355" s="2003"/>
      <c r="H355" s="2003"/>
    </row>
    <row r="356" spans="2:16" ht="15.95" customHeight="1" x14ac:dyDescent="0.3">
      <c r="B356" s="1555"/>
      <c r="C356" s="1553"/>
      <c r="D356" s="1553"/>
      <c r="E356" s="1976"/>
      <c r="F356" s="2001"/>
      <c r="G356" s="2002" t="s">
        <v>61</v>
      </c>
      <c r="H356" s="1996">
        <v>0</v>
      </c>
    </row>
    <row r="357" spans="2:16" ht="15.95" customHeight="1" x14ac:dyDescent="0.3">
      <c r="B357" s="1976" t="s">
        <v>6</v>
      </c>
      <c r="C357" s="1553" t="s">
        <v>875</v>
      </c>
      <c r="D357" s="1553"/>
      <c r="E357" s="1980"/>
      <c r="F357" s="1976"/>
      <c r="G357" s="1976"/>
      <c r="H357" s="2003">
        <f>+H356+H354+H349</f>
        <v>38555</v>
      </c>
    </row>
    <row r="358" spans="2:16" ht="15.95" customHeight="1" x14ac:dyDescent="0.3">
      <c r="B358" s="1974" t="s">
        <v>7</v>
      </c>
      <c r="C358" s="1555" t="s">
        <v>100</v>
      </c>
      <c r="D358" s="1553"/>
      <c r="E358" s="1980"/>
      <c r="F358" s="1976"/>
      <c r="G358" s="2004">
        <v>0</v>
      </c>
      <c r="H358" s="1981">
        <f>H357*J340</f>
        <v>0</v>
      </c>
    </row>
    <row r="359" spans="2:16" ht="15.95" customHeight="1" x14ac:dyDescent="0.3">
      <c r="B359" s="1976" t="s">
        <v>63</v>
      </c>
      <c r="C359" s="1553" t="s">
        <v>877</v>
      </c>
      <c r="D359" s="1553"/>
      <c r="E359" s="1980"/>
      <c r="F359" s="1976"/>
      <c r="G359" s="1976"/>
      <c r="H359" s="1981">
        <f>+H357+H358</f>
        <v>38555</v>
      </c>
    </row>
    <row r="360" spans="2:16" ht="15.95" customHeight="1" x14ac:dyDescent="0.3">
      <c r="B360" s="1553"/>
      <c r="C360" s="1554" t="s">
        <v>878</v>
      </c>
      <c r="D360" s="1555"/>
      <c r="E360" s="1555"/>
      <c r="F360" s="1555"/>
      <c r="G360" s="1555"/>
      <c r="H360" s="2005">
        <f>ROUNDDOWN(H359,2)</f>
        <v>38555</v>
      </c>
    </row>
    <row r="361" spans="2:16" ht="15.95" customHeight="1" x14ac:dyDescent="0.3">
      <c r="C361" s="2011"/>
      <c r="D361" s="2012"/>
      <c r="E361" s="2012"/>
      <c r="F361" s="2012"/>
      <c r="G361" s="2012"/>
      <c r="H361" s="2013"/>
    </row>
    <row r="362" spans="2:16" ht="15.95" customHeight="1" x14ac:dyDescent="0.3">
      <c r="B362" s="2015" t="s">
        <v>1070</v>
      </c>
      <c r="C362" s="2015"/>
      <c r="D362" s="2015"/>
      <c r="E362" s="2015"/>
      <c r="F362" s="2015"/>
      <c r="G362" s="2015"/>
      <c r="H362" s="2016"/>
    </row>
    <row r="363" spans="2:16" s="1553" customFormat="1" ht="15.95" customHeight="1" x14ac:dyDescent="0.3">
      <c r="B363" s="1979" t="s">
        <v>932</v>
      </c>
      <c r="C363" s="1555" t="s">
        <v>933</v>
      </c>
      <c r="E363" s="1980"/>
      <c r="F363" s="1976"/>
      <c r="G363" s="1976"/>
      <c r="H363" s="1981"/>
    </row>
    <row r="364" spans="2:16" s="1976" customFormat="1" ht="15.95" customHeight="1" x14ac:dyDescent="0.3">
      <c r="B364" s="1982" t="s">
        <v>12</v>
      </c>
      <c r="C364" s="1982" t="s">
        <v>36</v>
      </c>
      <c r="D364" s="1982" t="s">
        <v>37</v>
      </c>
      <c r="E364" s="1983" t="s">
        <v>184</v>
      </c>
      <c r="F364" s="1984" t="s">
        <v>868</v>
      </c>
      <c r="G364" s="1983" t="s">
        <v>1063</v>
      </c>
      <c r="H364" s="1983" t="s">
        <v>40</v>
      </c>
      <c r="I364" s="1985"/>
      <c r="J364" s="1986"/>
      <c r="K364" s="1986"/>
      <c r="L364" s="1986"/>
      <c r="M364" s="1986"/>
      <c r="N364" s="1987"/>
      <c r="O364" s="1988"/>
      <c r="P364" s="1989"/>
    </row>
    <row r="365" spans="2:16" s="1553" customFormat="1" ht="15.95" customHeight="1" x14ac:dyDescent="0.3">
      <c r="B365" s="1990" t="s">
        <v>368</v>
      </c>
      <c r="C365" s="1991" t="s">
        <v>42</v>
      </c>
      <c r="D365" s="1990"/>
      <c r="E365" s="1992"/>
      <c r="F365" s="1993"/>
      <c r="G365" s="1992"/>
      <c r="H365" s="1992"/>
    </row>
    <row r="366" spans="2:16" s="1553" customFormat="1" ht="15.95" customHeight="1" x14ac:dyDescent="0.3">
      <c r="B366" s="1990"/>
      <c r="C366" s="1553" t="s">
        <v>71</v>
      </c>
      <c r="D366" s="1985" t="s">
        <v>888</v>
      </c>
      <c r="E366" s="1976" t="s">
        <v>618</v>
      </c>
      <c r="F366" s="2014">
        <v>0.04</v>
      </c>
      <c r="G366" s="1995">
        <f>G10</f>
        <v>115000</v>
      </c>
      <c r="H366" s="1996">
        <f>+F366*G366</f>
        <v>4600</v>
      </c>
    </row>
    <row r="367" spans="2:16" s="1553" customFormat="1" ht="15.95" customHeight="1" x14ac:dyDescent="0.3">
      <c r="B367" s="1990"/>
      <c r="C367" s="1553" t="s">
        <v>871</v>
      </c>
      <c r="D367" s="1985" t="s">
        <v>889</v>
      </c>
      <c r="E367" s="1976" t="s">
        <v>618</v>
      </c>
      <c r="F367" s="2014">
        <v>0.04</v>
      </c>
      <c r="G367" s="1995">
        <f>G11</f>
        <v>170000</v>
      </c>
      <c r="H367" s="1996">
        <f>+F367*G367</f>
        <v>6800</v>
      </c>
    </row>
    <row r="368" spans="2:16" s="1553" customFormat="1" ht="15.95" customHeight="1" x14ac:dyDescent="0.3">
      <c r="B368" s="1990"/>
      <c r="C368" s="1553" t="s">
        <v>605</v>
      </c>
      <c r="D368" s="1985" t="s">
        <v>890</v>
      </c>
      <c r="E368" s="1976" t="s">
        <v>618</v>
      </c>
      <c r="F368" s="2014">
        <v>0.04</v>
      </c>
      <c r="G368" s="1995">
        <f>G12</f>
        <v>185000</v>
      </c>
      <c r="H368" s="1996">
        <f>+F368*G368</f>
        <v>7400</v>
      </c>
    </row>
    <row r="369" spans="2:16" s="1553" customFormat="1" ht="15.95" customHeight="1" x14ac:dyDescent="0.3">
      <c r="B369" s="1990"/>
      <c r="C369" s="1553" t="s">
        <v>50</v>
      </c>
      <c r="D369" s="1985" t="s">
        <v>891</v>
      </c>
      <c r="E369" s="1976" t="s">
        <v>618</v>
      </c>
      <c r="F369" s="2014">
        <v>1E-3</v>
      </c>
      <c r="G369" s="1995">
        <f>G13</f>
        <v>200000</v>
      </c>
      <c r="H369" s="1996">
        <f>+F369*G369</f>
        <v>200</v>
      </c>
    </row>
    <row r="370" spans="2:16" s="1553" customFormat="1" ht="15.95" customHeight="1" x14ac:dyDescent="0.3">
      <c r="B370" s="1990"/>
      <c r="D370" s="1990"/>
      <c r="E370" s="1976"/>
      <c r="F370" s="2001"/>
      <c r="G370" s="1997" t="s">
        <v>52</v>
      </c>
      <c r="H370" s="1996">
        <f>SUM(H366:H369)</f>
        <v>19000</v>
      </c>
    </row>
    <row r="371" spans="2:16" s="1553" customFormat="1" ht="15.95" customHeight="1" x14ac:dyDescent="0.3">
      <c r="B371" s="1990" t="s">
        <v>394</v>
      </c>
      <c r="C371" s="1555" t="s">
        <v>872</v>
      </c>
      <c r="D371" s="1990"/>
      <c r="E371" s="1992"/>
      <c r="F371" s="1993"/>
      <c r="G371" s="1992"/>
      <c r="H371" s="1992"/>
    </row>
    <row r="372" spans="2:16" s="1553" customFormat="1" ht="15.95" customHeight="1" x14ac:dyDescent="0.3">
      <c r="B372" s="1555"/>
      <c r="C372" s="1998" t="s">
        <v>934</v>
      </c>
      <c r="E372" s="1976" t="s">
        <v>32</v>
      </c>
      <c r="F372" s="1980">
        <v>1</v>
      </c>
      <c r="G372" s="1995">
        <f>'UB mep'!J127</f>
        <v>15000</v>
      </c>
      <c r="H372" s="1996">
        <f>+F372*G372</f>
        <v>15000</v>
      </c>
    </row>
    <row r="373" spans="2:16" s="1553" customFormat="1" ht="15.95" customHeight="1" x14ac:dyDescent="0.3">
      <c r="B373" s="1555"/>
      <c r="C373" s="2000" t="s">
        <v>611</v>
      </c>
      <c r="E373" s="1976" t="s">
        <v>1</v>
      </c>
      <c r="F373" s="1980">
        <v>1</v>
      </c>
      <c r="G373" s="1995">
        <f>G392</f>
        <v>5000</v>
      </c>
      <c r="H373" s="1996">
        <f>+F373*G373</f>
        <v>5000</v>
      </c>
    </row>
    <row r="374" spans="2:16" s="1553" customFormat="1" ht="15.95" customHeight="1" x14ac:dyDescent="0.3">
      <c r="B374" s="1555"/>
      <c r="E374" s="1976"/>
      <c r="F374" s="2001"/>
      <c r="G374" s="2002" t="s">
        <v>59</v>
      </c>
      <c r="H374" s="1996">
        <f>SUM(H372:H373)</f>
        <v>20000</v>
      </c>
    </row>
    <row r="375" spans="2:16" s="1553" customFormat="1" ht="15.95" customHeight="1" x14ac:dyDescent="0.3">
      <c r="B375" s="1974" t="s">
        <v>411</v>
      </c>
      <c r="C375" s="1554" t="s">
        <v>60</v>
      </c>
      <c r="E375" s="1976"/>
      <c r="F375" s="2001"/>
      <c r="G375" s="2003"/>
      <c r="H375" s="2003"/>
    </row>
    <row r="376" spans="2:16" s="1553" customFormat="1" ht="15.95" customHeight="1" x14ac:dyDescent="0.3">
      <c r="B376" s="1555"/>
      <c r="E376" s="1976"/>
      <c r="F376" s="2001"/>
      <c r="G376" s="2002" t="s">
        <v>61</v>
      </c>
      <c r="H376" s="1996">
        <v>0</v>
      </c>
    </row>
    <row r="377" spans="2:16" s="1553" customFormat="1" ht="15.95" customHeight="1" x14ac:dyDescent="0.3">
      <c r="B377" s="1976" t="s">
        <v>6</v>
      </c>
      <c r="C377" s="1553" t="s">
        <v>875</v>
      </c>
      <c r="E377" s="1980"/>
      <c r="F377" s="1976"/>
      <c r="G377" s="1976"/>
      <c r="H377" s="2003">
        <f>+H376+H374+H370</f>
        <v>39000</v>
      </c>
    </row>
    <row r="378" spans="2:16" ht="15.95" customHeight="1" x14ac:dyDescent="0.3">
      <c r="B378" s="1974" t="s">
        <v>7</v>
      </c>
      <c r="C378" s="1555" t="s">
        <v>100</v>
      </c>
      <c r="D378" s="1553"/>
      <c r="E378" s="1980"/>
      <c r="F378" s="1976"/>
      <c r="G378" s="2004">
        <v>0</v>
      </c>
      <c r="H378" s="1981">
        <f>H377*J359</f>
        <v>0</v>
      </c>
    </row>
    <row r="379" spans="2:16" ht="15.95" customHeight="1" x14ac:dyDescent="0.3">
      <c r="B379" s="1976" t="s">
        <v>63</v>
      </c>
      <c r="C379" s="1553" t="s">
        <v>877</v>
      </c>
      <c r="D379" s="1553"/>
      <c r="E379" s="1980"/>
      <c r="F379" s="1976"/>
      <c r="G379" s="1976"/>
      <c r="H379" s="1981">
        <f>+H377+H378</f>
        <v>39000</v>
      </c>
    </row>
    <row r="380" spans="2:16" ht="15.95" customHeight="1" x14ac:dyDescent="0.3">
      <c r="B380" s="1553"/>
      <c r="C380" s="1554" t="s">
        <v>878</v>
      </c>
      <c r="D380" s="1555"/>
      <c r="E380" s="1555"/>
      <c r="F380" s="1555"/>
      <c r="G380" s="1555"/>
      <c r="H380" s="2005">
        <f>ROUNDDOWN(H379,2)</f>
        <v>39000</v>
      </c>
    </row>
    <row r="381" spans="2:16" ht="15.95" customHeight="1" x14ac:dyDescent="0.3">
      <c r="C381" s="2011"/>
      <c r="D381" s="2012"/>
      <c r="E381" s="2012"/>
      <c r="F381" s="2012"/>
      <c r="G381" s="2012"/>
      <c r="H381" s="2013"/>
    </row>
    <row r="382" spans="2:16" s="1553" customFormat="1" ht="15.95" customHeight="1" x14ac:dyDescent="0.3">
      <c r="B382" s="1979" t="s">
        <v>935</v>
      </c>
      <c r="C382" s="1555" t="s">
        <v>936</v>
      </c>
      <c r="E382" s="1980"/>
      <c r="F382" s="1976"/>
      <c r="G382" s="1976"/>
      <c r="H382" s="1981"/>
    </row>
    <row r="383" spans="2:16" s="1976" customFormat="1" ht="15.95" customHeight="1" x14ac:dyDescent="0.3">
      <c r="B383" s="1982" t="s">
        <v>12</v>
      </c>
      <c r="C383" s="1982" t="s">
        <v>36</v>
      </c>
      <c r="D383" s="1982" t="s">
        <v>37</v>
      </c>
      <c r="E383" s="1983" t="s">
        <v>184</v>
      </c>
      <c r="F383" s="1984" t="s">
        <v>868</v>
      </c>
      <c r="G383" s="1983" t="s">
        <v>1063</v>
      </c>
      <c r="H383" s="1983" t="s">
        <v>40</v>
      </c>
      <c r="I383" s="1985"/>
      <c r="J383" s="1986"/>
      <c r="K383" s="1986"/>
      <c r="L383" s="1986"/>
      <c r="M383" s="1986"/>
      <c r="N383" s="1987"/>
      <c r="O383" s="1988"/>
      <c r="P383" s="1989"/>
    </row>
    <row r="384" spans="2:16" s="1553" customFormat="1" ht="15.95" customHeight="1" x14ac:dyDescent="0.3">
      <c r="B384" s="1990" t="s">
        <v>368</v>
      </c>
      <c r="C384" s="1991" t="s">
        <v>42</v>
      </c>
      <c r="D384" s="1990"/>
      <c r="E384" s="1992"/>
      <c r="F384" s="1993"/>
      <c r="G384" s="1992"/>
      <c r="H384" s="1992"/>
    </row>
    <row r="385" spans="2:8" s="1553" customFormat="1" ht="15.95" customHeight="1" x14ac:dyDescent="0.3">
      <c r="B385" s="1990"/>
      <c r="C385" s="1553" t="s">
        <v>71</v>
      </c>
      <c r="D385" s="1985" t="s">
        <v>888</v>
      </c>
      <c r="E385" s="1976" t="s">
        <v>618</v>
      </c>
      <c r="F385" s="2014">
        <v>0.04</v>
      </c>
      <c r="G385" s="1995">
        <f>G10</f>
        <v>115000</v>
      </c>
      <c r="H385" s="1996">
        <f>+F385*G385</f>
        <v>4600</v>
      </c>
    </row>
    <row r="386" spans="2:8" s="1553" customFormat="1" ht="15.95" customHeight="1" x14ac:dyDescent="0.3">
      <c r="B386" s="1990"/>
      <c r="C386" s="1553" t="s">
        <v>871</v>
      </c>
      <c r="D386" s="1985" t="s">
        <v>889</v>
      </c>
      <c r="E386" s="1976" t="s">
        <v>618</v>
      </c>
      <c r="F386" s="2014">
        <v>0.04</v>
      </c>
      <c r="G386" s="1995">
        <f>G11</f>
        <v>170000</v>
      </c>
      <c r="H386" s="1996">
        <f>+F386*G386</f>
        <v>6800</v>
      </c>
    </row>
    <row r="387" spans="2:8" s="1553" customFormat="1" ht="15.95" customHeight="1" x14ac:dyDescent="0.3">
      <c r="B387" s="1990"/>
      <c r="C387" s="1553" t="s">
        <v>605</v>
      </c>
      <c r="D387" s="1985" t="s">
        <v>890</v>
      </c>
      <c r="E387" s="1976" t="s">
        <v>618</v>
      </c>
      <c r="F387" s="2014">
        <v>0.04</v>
      </c>
      <c r="G387" s="1995">
        <f>G12</f>
        <v>185000</v>
      </c>
      <c r="H387" s="1996">
        <f>+F387*G387</f>
        <v>7400</v>
      </c>
    </row>
    <row r="388" spans="2:8" s="1553" customFormat="1" ht="15.95" customHeight="1" x14ac:dyDescent="0.3">
      <c r="B388" s="1990"/>
      <c r="C388" s="1553" t="s">
        <v>50</v>
      </c>
      <c r="D388" s="1985" t="s">
        <v>891</v>
      </c>
      <c r="E388" s="1976" t="s">
        <v>618</v>
      </c>
      <c r="F388" s="2014">
        <v>1E-3</v>
      </c>
      <c r="G388" s="1995">
        <f>G13</f>
        <v>200000</v>
      </c>
      <c r="H388" s="1996">
        <f>+F388*G388</f>
        <v>200</v>
      </c>
    </row>
    <row r="389" spans="2:8" s="1553" customFormat="1" ht="15.95" customHeight="1" x14ac:dyDescent="0.3">
      <c r="B389" s="1990"/>
      <c r="D389" s="1990"/>
      <c r="E389" s="1976"/>
      <c r="F389" s="2001"/>
      <c r="G389" s="1997" t="s">
        <v>52</v>
      </c>
      <c r="H389" s="1996">
        <f>SUM(H385:H388)</f>
        <v>19000</v>
      </c>
    </row>
    <row r="390" spans="2:8" s="1553" customFormat="1" ht="15.95" customHeight="1" x14ac:dyDescent="0.3">
      <c r="B390" s="1990" t="s">
        <v>394</v>
      </c>
      <c r="C390" s="1555" t="s">
        <v>872</v>
      </c>
      <c r="D390" s="1990"/>
      <c r="E390" s="1992"/>
      <c r="F390" s="1993"/>
      <c r="G390" s="1992"/>
      <c r="H390" s="1992"/>
    </row>
    <row r="391" spans="2:8" s="1553" customFormat="1" ht="15.95" customHeight="1" x14ac:dyDescent="0.3">
      <c r="B391" s="1555"/>
      <c r="C391" s="1998" t="s">
        <v>937</v>
      </c>
      <c r="E391" s="1976" t="s">
        <v>32</v>
      </c>
      <c r="F391" s="1980">
        <v>1</v>
      </c>
      <c r="G391" s="1995">
        <f>'UB mep'!J129</f>
        <v>42500</v>
      </c>
      <c r="H391" s="1996">
        <f>+F391*G391</f>
        <v>42500</v>
      </c>
    </row>
    <row r="392" spans="2:8" s="1553" customFormat="1" ht="15.95" customHeight="1" x14ac:dyDescent="0.3">
      <c r="B392" s="1555"/>
      <c r="C392" s="2000" t="s">
        <v>611</v>
      </c>
      <c r="E392" s="1976" t="s">
        <v>1</v>
      </c>
      <c r="F392" s="1980">
        <v>1</v>
      </c>
      <c r="G392" s="1995">
        <f>G411</f>
        <v>5000</v>
      </c>
      <c r="H392" s="1996">
        <f>+F392*G392</f>
        <v>5000</v>
      </c>
    </row>
    <row r="393" spans="2:8" s="1553" customFormat="1" ht="15.95" customHeight="1" x14ac:dyDescent="0.3">
      <c r="B393" s="1555"/>
      <c r="E393" s="1976"/>
      <c r="F393" s="2001"/>
      <c r="G393" s="2002" t="s">
        <v>59</v>
      </c>
      <c r="H393" s="1996">
        <f>SUM(H391:H392)</f>
        <v>47500</v>
      </c>
    </row>
    <row r="394" spans="2:8" s="1553" customFormat="1" ht="15.95" customHeight="1" x14ac:dyDescent="0.3">
      <c r="B394" s="1974" t="s">
        <v>411</v>
      </c>
      <c r="C394" s="1554" t="s">
        <v>60</v>
      </c>
      <c r="E394" s="1976"/>
      <c r="F394" s="2001"/>
      <c r="G394" s="2003"/>
      <c r="H394" s="2003"/>
    </row>
    <row r="395" spans="2:8" s="1553" customFormat="1" ht="15.95" customHeight="1" x14ac:dyDescent="0.3">
      <c r="B395" s="1555"/>
      <c r="E395" s="1976"/>
      <c r="F395" s="2001"/>
      <c r="G395" s="2002" t="s">
        <v>61</v>
      </c>
      <c r="H395" s="1996">
        <v>0</v>
      </c>
    </row>
    <row r="396" spans="2:8" s="1553" customFormat="1" ht="15.95" customHeight="1" x14ac:dyDescent="0.3">
      <c r="B396" s="1976" t="s">
        <v>6</v>
      </c>
      <c r="C396" s="1553" t="s">
        <v>875</v>
      </c>
      <c r="E396" s="1980"/>
      <c r="F396" s="1976"/>
      <c r="G396" s="1976"/>
      <c r="H396" s="2003">
        <f>+H395+H393+H389</f>
        <v>66500</v>
      </c>
    </row>
    <row r="397" spans="2:8" s="1553" customFormat="1" ht="15.95" customHeight="1" x14ac:dyDescent="0.3">
      <c r="B397" s="1974" t="s">
        <v>7</v>
      </c>
      <c r="C397" s="1555" t="s">
        <v>100</v>
      </c>
      <c r="E397" s="1980"/>
      <c r="F397" s="1976"/>
      <c r="G397" s="2004">
        <v>0</v>
      </c>
      <c r="H397" s="1981">
        <f>H396*J379</f>
        <v>0</v>
      </c>
    </row>
    <row r="398" spans="2:8" s="1553" customFormat="1" ht="15.95" customHeight="1" x14ac:dyDescent="0.3">
      <c r="B398" s="1976" t="s">
        <v>63</v>
      </c>
      <c r="C398" s="1553" t="s">
        <v>877</v>
      </c>
      <c r="E398" s="1980"/>
      <c r="F398" s="1976"/>
      <c r="G398" s="1976"/>
      <c r="H398" s="1981">
        <f>+H396+H397</f>
        <v>66500</v>
      </c>
    </row>
    <row r="399" spans="2:8" s="1553" customFormat="1" ht="15.95" customHeight="1" x14ac:dyDescent="0.3">
      <c r="C399" s="1554" t="s">
        <v>878</v>
      </c>
      <c r="D399" s="1555"/>
      <c r="E399" s="1555"/>
      <c r="F399" s="1555"/>
      <c r="G399" s="1555"/>
      <c r="H399" s="2005">
        <f>ROUNDDOWN(H398,2)</f>
        <v>66500</v>
      </c>
    </row>
    <row r="400" spans="2:8" ht="15.95" customHeight="1" x14ac:dyDescent="0.3">
      <c r="C400" s="2011"/>
      <c r="D400" s="2012"/>
      <c r="E400" s="2012"/>
      <c r="F400" s="2012"/>
      <c r="G400" s="2012"/>
      <c r="H400" s="2013"/>
    </row>
    <row r="401" spans="2:16" s="1553" customFormat="1" ht="15.95" customHeight="1" x14ac:dyDescent="0.3">
      <c r="B401" s="1979" t="s">
        <v>938</v>
      </c>
      <c r="C401" s="1555" t="s">
        <v>939</v>
      </c>
      <c r="E401" s="1980"/>
      <c r="F401" s="1976"/>
      <c r="G401" s="1976"/>
      <c r="H401" s="1981"/>
    </row>
    <row r="402" spans="2:16" s="1976" customFormat="1" ht="15.95" customHeight="1" x14ac:dyDescent="0.3">
      <c r="B402" s="1982" t="s">
        <v>12</v>
      </c>
      <c r="C402" s="1982" t="s">
        <v>36</v>
      </c>
      <c r="D402" s="1982" t="s">
        <v>37</v>
      </c>
      <c r="E402" s="1983" t="s">
        <v>184</v>
      </c>
      <c r="F402" s="1984" t="s">
        <v>868</v>
      </c>
      <c r="G402" s="1983" t="s">
        <v>1063</v>
      </c>
      <c r="H402" s="1983" t="s">
        <v>40</v>
      </c>
      <c r="I402" s="1985"/>
      <c r="J402" s="1986"/>
      <c r="K402" s="1986"/>
      <c r="L402" s="1986"/>
      <c r="M402" s="1986"/>
      <c r="N402" s="1987"/>
      <c r="O402" s="1988"/>
      <c r="P402" s="1989"/>
    </row>
    <row r="403" spans="2:16" s="1553" customFormat="1" ht="15.95" customHeight="1" x14ac:dyDescent="0.3">
      <c r="B403" s="1990" t="s">
        <v>368</v>
      </c>
      <c r="C403" s="1991" t="s">
        <v>42</v>
      </c>
      <c r="D403" s="1990"/>
      <c r="E403" s="1992"/>
      <c r="F403" s="1993"/>
      <c r="G403" s="1992"/>
      <c r="H403" s="1992"/>
    </row>
    <row r="404" spans="2:16" s="1553" customFormat="1" ht="15.95" customHeight="1" x14ac:dyDescent="0.3">
      <c r="B404" s="1990"/>
      <c r="C404" s="1553" t="s">
        <v>71</v>
      </c>
      <c r="D404" s="1985" t="str">
        <f>D366</f>
        <v>L1</v>
      </c>
      <c r="E404" s="1976" t="s">
        <v>618</v>
      </c>
      <c r="F404" s="2014">
        <v>0.04</v>
      </c>
      <c r="G404" s="1995">
        <f>G10</f>
        <v>115000</v>
      </c>
      <c r="H404" s="1996">
        <f>+F404*G404</f>
        <v>4600</v>
      </c>
    </row>
    <row r="405" spans="2:16" s="1553" customFormat="1" ht="15.95" customHeight="1" x14ac:dyDescent="0.3">
      <c r="B405" s="1990"/>
      <c r="C405" s="1553" t="s">
        <v>871</v>
      </c>
      <c r="D405" s="1985" t="str">
        <f>D367</f>
        <v>L2</v>
      </c>
      <c r="E405" s="1976" t="s">
        <v>618</v>
      </c>
      <c r="F405" s="2014">
        <v>0.04</v>
      </c>
      <c r="G405" s="1995">
        <f>G11</f>
        <v>170000</v>
      </c>
      <c r="H405" s="1996">
        <f>+F405*G405</f>
        <v>6800</v>
      </c>
    </row>
    <row r="406" spans="2:16" s="1553" customFormat="1" ht="15.95" customHeight="1" x14ac:dyDescent="0.3">
      <c r="B406" s="1990"/>
      <c r="C406" s="1553" t="s">
        <v>605</v>
      </c>
      <c r="D406" s="1985" t="str">
        <f>D368</f>
        <v>L3</v>
      </c>
      <c r="E406" s="1976" t="s">
        <v>618</v>
      </c>
      <c r="F406" s="2014">
        <v>0.04</v>
      </c>
      <c r="G406" s="1995">
        <f>G12</f>
        <v>185000</v>
      </c>
      <c r="H406" s="1996">
        <f>+F406*G406</f>
        <v>7400</v>
      </c>
    </row>
    <row r="407" spans="2:16" s="1553" customFormat="1" ht="15.95" customHeight="1" x14ac:dyDescent="0.3">
      <c r="B407" s="1990"/>
      <c r="C407" s="1553" t="s">
        <v>50</v>
      </c>
      <c r="D407" s="1985" t="str">
        <f>D369</f>
        <v>L4</v>
      </c>
      <c r="E407" s="1976" t="s">
        <v>618</v>
      </c>
      <c r="F407" s="2014">
        <v>1E-3</v>
      </c>
      <c r="G407" s="1995">
        <f>G13</f>
        <v>200000</v>
      </c>
      <c r="H407" s="1996">
        <f>+F407*G407</f>
        <v>200</v>
      </c>
    </row>
    <row r="408" spans="2:16" s="1553" customFormat="1" ht="15.95" customHeight="1" x14ac:dyDescent="0.3">
      <c r="B408" s="1990"/>
      <c r="D408" s="1990"/>
      <c r="E408" s="1976"/>
      <c r="F408" s="2001"/>
      <c r="G408" s="1997" t="s">
        <v>52</v>
      </c>
      <c r="H408" s="1996">
        <f>SUM(H404:H407)</f>
        <v>19000</v>
      </c>
    </row>
    <row r="409" spans="2:16" s="1553" customFormat="1" ht="15.95" customHeight="1" x14ac:dyDescent="0.3">
      <c r="B409" s="1990" t="s">
        <v>394</v>
      </c>
      <c r="C409" s="1555" t="s">
        <v>872</v>
      </c>
      <c r="D409" s="1990"/>
      <c r="E409" s="1992"/>
      <c r="F409" s="1993"/>
      <c r="G409" s="1992"/>
      <c r="H409" s="1992"/>
    </row>
    <row r="410" spans="2:16" s="1553" customFormat="1" ht="15.95" customHeight="1" x14ac:dyDescent="0.3">
      <c r="B410" s="1555"/>
      <c r="C410" s="1998" t="s">
        <v>804</v>
      </c>
      <c r="E410" s="1976" t="s">
        <v>32</v>
      </c>
      <c r="F410" s="1980">
        <v>1</v>
      </c>
      <c r="G410" s="1995">
        <f>'UB mep'!J130</f>
        <v>19500</v>
      </c>
      <c r="H410" s="1996">
        <f>+F410*G410</f>
        <v>19500</v>
      </c>
    </row>
    <row r="411" spans="2:16" s="1553" customFormat="1" ht="15.95" customHeight="1" x14ac:dyDescent="0.3">
      <c r="B411" s="1555"/>
      <c r="C411" s="2000" t="s">
        <v>611</v>
      </c>
      <c r="E411" s="1976" t="s">
        <v>1</v>
      </c>
      <c r="F411" s="1980">
        <v>1</v>
      </c>
      <c r="G411" s="1995">
        <f>G430</f>
        <v>5000</v>
      </c>
      <c r="H411" s="1996">
        <f>+F411*G411</f>
        <v>5000</v>
      </c>
    </row>
    <row r="412" spans="2:16" s="1553" customFormat="1" ht="15.95" customHeight="1" x14ac:dyDescent="0.3">
      <c r="B412" s="1555"/>
      <c r="E412" s="1976"/>
      <c r="F412" s="2001"/>
      <c r="G412" s="2002" t="s">
        <v>59</v>
      </c>
      <c r="H412" s="1996">
        <f>SUM(H410:H411)</f>
        <v>24500</v>
      </c>
    </row>
    <row r="413" spans="2:16" s="1553" customFormat="1" ht="15.95" customHeight="1" x14ac:dyDescent="0.3">
      <c r="B413" s="1974" t="s">
        <v>411</v>
      </c>
      <c r="C413" s="1554" t="s">
        <v>60</v>
      </c>
      <c r="E413" s="1976"/>
      <c r="F413" s="2001"/>
      <c r="G413" s="2003"/>
      <c r="H413" s="2003"/>
    </row>
    <row r="414" spans="2:16" s="1553" customFormat="1" ht="15.95" customHeight="1" x14ac:dyDescent="0.3">
      <c r="B414" s="1555"/>
      <c r="E414" s="1976"/>
      <c r="F414" s="2001"/>
      <c r="G414" s="2002" t="s">
        <v>61</v>
      </c>
      <c r="H414" s="1996">
        <v>0</v>
      </c>
    </row>
    <row r="415" spans="2:16" s="1553" customFormat="1" ht="15.95" customHeight="1" x14ac:dyDescent="0.3">
      <c r="B415" s="1976" t="s">
        <v>6</v>
      </c>
      <c r="C415" s="1553" t="s">
        <v>875</v>
      </c>
      <c r="E415" s="1980"/>
      <c r="F415" s="1976"/>
      <c r="G415" s="1976"/>
      <c r="H415" s="2003">
        <f>+H414+H412+H408</f>
        <v>43500</v>
      </c>
    </row>
    <row r="416" spans="2:16" s="1553" customFormat="1" ht="15.95" customHeight="1" x14ac:dyDescent="0.3">
      <c r="B416" s="1974" t="s">
        <v>7</v>
      </c>
      <c r="C416" s="1555" t="s">
        <v>100</v>
      </c>
      <c r="E416" s="1980"/>
      <c r="F416" s="1976"/>
      <c r="G416" s="2004">
        <v>0</v>
      </c>
      <c r="H416" s="1981">
        <f>H415*J397</f>
        <v>0</v>
      </c>
    </row>
    <row r="417" spans="2:16" s="1553" customFormat="1" ht="15.95" customHeight="1" x14ac:dyDescent="0.3">
      <c r="B417" s="1976" t="s">
        <v>63</v>
      </c>
      <c r="C417" s="1553" t="s">
        <v>877</v>
      </c>
      <c r="E417" s="1980"/>
      <c r="F417" s="1976"/>
      <c r="G417" s="1976"/>
      <c r="H417" s="1981">
        <f>+H415+H416</f>
        <v>43500</v>
      </c>
    </row>
    <row r="418" spans="2:16" s="1553" customFormat="1" ht="15.95" customHeight="1" x14ac:dyDescent="0.3">
      <c r="C418" s="1554" t="s">
        <v>878</v>
      </c>
      <c r="D418" s="1555"/>
      <c r="E418" s="1555"/>
      <c r="F418" s="1555"/>
      <c r="G418" s="1555"/>
      <c r="H418" s="2005">
        <f>ROUNDDOWN(H417,2)</f>
        <v>43500</v>
      </c>
    </row>
    <row r="419" spans="2:16" ht="15.95" customHeight="1" x14ac:dyDescent="0.3">
      <c r="C419" s="2011"/>
      <c r="D419" s="2012"/>
      <c r="E419" s="2012"/>
      <c r="F419" s="2012"/>
      <c r="G419" s="2012"/>
      <c r="H419" s="2013"/>
    </row>
    <row r="420" spans="2:16" s="1553" customFormat="1" ht="15.95" customHeight="1" x14ac:dyDescent="0.3">
      <c r="B420" s="1979" t="s">
        <v>940</v>
      </c>
      <c r="C420" s="1555" t="s">
        <v>941</v>
      </c>
      <c r="E420" s="1980"/>
      <c r="F420" s="1976"/>
      <c r="G420" s="1976"/>
      <c r="H420" s="1981"/>
    </row>
    <row r="421" spans="2:16" s="1976" customFormat="1" ht="15.95" customHeight="1" x14ac:dyDescent="0.3">
      <c r="B421" s="1982" t="s">
        <v>12</v>
      </c>
      <c r="C421" s="1982" t="s">
        <v>36</v>
      </c>
      <c r="D421" s="1982" t="s">
        <v>37</v>
      </c>
      <c r="E421" s="1983" t="s">
        <v>184</v>
      </c>
      <c r="F421" s="1984" t="s">
        <v>868</v>
      </c>
      <c r="G421" s="1983" t="s">
        <v>1063</v>
      </c>
      <c r="H421" s="1983" t="s">
        <v>40</v>
      </c>
      <c r="I421" s="1985"/>
      <c r="J421" s="1986"/>
      <c r="K421" s="1986"/>
      <c r="L421" s="1986"/>
      <c r="M421" s="1986"/>
      <c r="N421" s="1987"/>
      <c r="O421" s="1988"/>
      <c r="P421" s="1989"/>
    </row>
    <row r="422" spans="2:16" s="1553" customFormat="1" ht="15.95" customHeight="1" x14ac:dyDescent="0.3">
      <c r="B422" s="1990" t="s">
        <v>368</v>
      </c>
      <c r="C422" s="1991" t="s">
        <v>42</v>
      </c>
      <c r="D422" s="1990"/>
      <c r="E422" s="1992"/>
      <c r="F422" s="1993"/>
      <c r="G422" s="1992"/>
      <c r="H422" s="1992"/>
    </row>
    <row r="423" spans="2:16" s="1553" customFormat="1" ht="15.95" customHeight="1" x14ac:dyDescent="0.3">
      <c r="B423" s="1990"/>
      <c r="C423" s="1553" t="s">
        <v>71</v>
      </c>
      <c r="D423" s="1985" t="str">
        <f>D404</f>
        <v>L1</v>
      </c>
      <c r="E423" s="1976" t="s">
        <v>618</v>
      </c>
      <c r="F423" s="2014">
        <v>0.04</v>
      </c>
      <c r="G423" s="1995">
        <f>G70</f>
        <v>115000</v>
      </c>
      <c r="H423" s="1996">
        <f>+F423*G423</f>
        <v>4600</v>
      </c>
    </row>
    <row r="424" spans="2:16" s="1553" customFormat="1" ht="15.95" customHeight="1" x14ac:dyDescent="0.3">
      <c r="B424" s="1990"/>
      <c r="C424" s="1553" t="s">
        <v>871</v>
      </c>
      <c r="D424" s="1985" t="str">
        <f>D405</f>
        <v>L2</v>
      </c>
      <c r="E424" s="1976" t="s">
        <v>618</v>
      </c>
      <c r="F424" s="2014">
        <v>0.04</v>
      </c>
      <c r="G424" s="1995">
        <f>G71</f>
        <v>170000</v>
      </c>
      <c r="H424" s="1996">
        <f>+F424*G424</f>
        <v>6800</v>
      </c>
    </row>
    <row r="425" spans="2:16" s="1553" customFormat="1" ht="15.95" customHeight="1" x14ac:dyDescent="0.3">
      <c r="B425" s="1990"/>
      <c r="C425" s="1553" t="s">
        <v>605</v>
      </c>
      <c r="D425" s="1985" t="str">
        <f>D406</f>
        <v>L3</v>
      </c>
      <c r="E425" s="1976" t="s">
        <v>618</v>
      </c>
      <c r="F425" s="2014">
        <v>0.04</v>
      </c>
      <c r="G425" s="1995">
        <f>G72</f>
        <v>185000</v>
      </c>
      <c r="H425" s="1996">
        <f>+F425*G425</f>
        <v>7400</v>
      </c>
    </row>
    <row r="426" spans="2:16" s="1553" customFormat="1" ht="15.95" customHeight="1" x14ac:dyDescent="0.3">
      <c r="B426" s="1990"/>
      <c r="C426" s="1553" t="s">
        <v>50</v>
      </c>
      <c r="D426" s="1985" t="str">
        <f>D407</f>
        <v>L4</v>
      </c>
      <c r="E426" s="1976" t="s">
        <v>618</v>
      </c>
      <c r="F426" s="2014">
        <v>1E-3</v>
      </c>
      <c r="G426" s="1995">
        <f>G73</f>
        <v>200000</v>
      </c>
      <c r="H426" s="1996">
        <f>+F426*G426</f>
        <v>200</v>
      </c>
    </row>
    <row r="427" spans="2:16" s="1553" customFormat="1" ht="15.95" customHeight="1" x14ac:dyDescent="0.3">
      <c r="B427" s="1990"/>
      <c r="D427" s="1990"/>
      <c r="E427" s="1976"/>
      <c r="F427" s="2001"/>
      <c r="G427" s="1997" t="s">
        <v>52</v>
      </c>
      <c r="H427" s="1996">
        <f>SUM(H423:H426)</f>
        <v>19000</v>
      </c>
    </row>
    <row r="428" spans="2:16" s="1553" customFormat="1" ht="15.95" customHeight="1" x14ac:dyDescent="0.3">
      <c r="B428" s="1990" t="s">
        <v>394</v>
      </c>
      <c r="C428" s="1555" t="s">
        <v>872</v>
      </c>
      <c r="D428" s="1990"/>
      <c r="E428" s="1992"/>
      <c r="F428" s="1993"/>
      <c r="G428" s="1992"/>
      <c r="H428" s="1992"/>
    </row>
    <row r="429" spans="2:16" s="1553" customFormat="1" ht="15.95" customHeight="1" x14ac:dyDescent="0.3">
      <c r="B429" s="1555"/>
      <c r="C429" s="1998" t="s">
        <v>942</v>
      </c>
      <c r="E429" s="1976" t="s">
        <v>32</v>
      </c>
      <c r="F429" s="1980">
        <v>1</v>
      </c>
      <c r="G429" s="1995">
        <f>'UB mep'!J131</f>
        <v>24000</v>
      </c>
      <c r="H429" s="1996">
        <f>+F429*G429</f>
        <v>24000</v>
      </c>
    </row>
    <row r="430" spans="2:16" s="1553" customFormat="1" ht="15.95" customHeight="1" x14ac:dyDescent="0.3">
      <c r="B430" s="1555"/>
      <c r="C430" s="2000" t="s">
        <v>611</v>
      </c>
      <c r="E430" s="1976" t="s">
        <v>1</v>
      </c>
      <c r="F430" s="1980">
        <v>1</v>
      </c>
      <c r="G430" s="1995">
        <f>G449</f>
        <v>5000</v>
      </c>
      <c r="H430" s="1996">
        <f>+F430*G430</f>
        <v>5000</v>
      </c>
    </row>
    <row r="431" spans="2:16" s="1553" customFormat="1" ht="15.95" customHeight="1" x14ac:dyDescent="0.3">
      <c r="B431" s="1555"/>
      <c r="E431" s="1976"/>
      <c r="F431" s="2001"/>
      <c r="G431" s="2002" t="s">
        <v>59</v>
      </c>
      <c r="H431" s="1996">
        <f>SUM(H429:H430)</f>
        <v>29000</v>
      </c>
    </row>
    <row r="432" spans="2:16" s="1553" customFormat="1" ht="15.95" customHeight="1" x14ac:dyDescent="0.3">
      <c r="B432" s="1974" t="s">
        <v>411</v>
      </c>
      <c r="C432" s="1554" t="s">
        <v>60</v>
      </c>
      <c r="E432" s="1976"/>
      <c r="F432" s="2001"/>
      <c r="G432" s="2003"/>
      <c r="H432" s="2003"/>
    </row>
    <row r="433" spans="2:16" s="1553" customFormat="1" ht="15.95" customHeight="1" x14ac:dyDescent="0.3">
      <c r="B433" s="1555"/>
      <c r="E433" s="1976"/>
      <c r="F433" s="2001"/>
      <c r="G433" s="2002" t="s">
        <v>61</v>
      </c>
      <c r="H433" s="1996">
        <v>0</v>
      </c>
    </row>
    <row r="434" spans="2:16" s="1553" customFormat="1" ht="15.95" customHeight="1" x14ac:dyDescent="0.3">
      <c r="B434" s="1976" t="s">
        <v>6</v>
      </c>
      <c r="C434" s="1553" t="s">
        <v>875</v>
      </c>
      <c r="E434" s="1980"/>
      <c r="F434" s="1976"/>
      <c r="G434" s="1976"/>
      <c r="H434" s="2003">
        <f>+H433+H431+H427</f>
        <v>48000</v>
      </c>
    </row>
    <row r="435" spans="2:16" s="1553" customFormat="1" ht="15.95" customHeight="1" x14ac:dyDescent="0.3">
      <c r="B435" s="1974" t="s">
        <v>7</v>
      </c>
      <c r="C435" s="1555" t="s">
        <v>100</v>
      </c>
      <c r="E435" s="1980"/>
      <c r="F435" s="1976"/>
      <c r="G435" s="2004">
        <v>0</v>
      </c>
      <c r="H435" s="1981">
        <f>H434*J416</f>
        <v>0</v>
      </c>
    </row>
    <row r="436" spans="2:16" s="1553" customFormat="1" ht="15.95" customHeight="1" x14ac:dyDescent="0.3">
      <c r="B436" s="1976" t="s">
        <v>63</v>
      </c>
      <c r="C436" s="1553" t="s">
        <v>877</v>
      </c>
      <c r="E436" s="1980"/>
      <c r="F436" s="1976"/>
      <c r="G436" s="1976"/>
      <c r="H436" s="1981">
        <f>+H434+H435</f>
        <v>48000</v>
      </c>
    </row>
    <row r="437" spans="2:16" s="1553" customFormat="1" ht="15.95" customHeight="1" x14ac:dyDescent="0.3">
      <c r="C437" s="1554" t="s">
        <v>878</v>
      </c>
      <c r="D437" s="1555"/>
      <c r="E437" s="1555"/>
      <c r="F437" s="1555"/>
      <c r="G437" s="1555"/>
      <c r="H437" s="2005">
        <f>ROUNDDOWN(H436,2)</f>
        <v>48000</v>
      </c>
    </row>
    <row r="438" spans="2:16" ht="15.95" customHeight="1" x14ac:dyDescent="0.3">
      <c r="C438" s="2011"/>
      <c r="D438" s="2012"/>
      <c r="E438" s="2012"/>
      <c r="F438" s="2012"/>
      <c r="G438" s="2012"/>
      <c r="H438" s="2013"/>
    </row>
    <row r="439" spans="2:16" ht="15.95" customHeight="1" x14ac:dyDescent="0.3">
      <c r="B439" s="1979" t="s">
        <v>943</v>
      </c>
      <c r="C439" s="1555" t="s">
        <v>944</v>
      </c>
      <c r="E439" s="2017"/>
      <c r="F439" s="2007"/>
      <c r="H439" s="2018"/>
    </row>
    <row r="440" spans="2:16" s="1976" customFormat="1" ht="15.95" customHeight="1" x14ac:dyDescent="0.3">
      <c r="B440" s="1982" t="s">
        <v>12</v>
      </c>
      <c r="C440" s="1982" t="s">
        <v>36</v>
      </c>
      <c r="D440" s="1982" t="s">
        <v>37</v>
      </c>
      <c r="E440" s="1983" t="s">
        <v>184</v>
      </c>
      <c r="F440" s="1984" t="s">
        <v>868</v>
      </c>
      <c r="G440" s="1983" t="s">
        <v>1063</v>
      </c>
      <c r="H440" s="1983" t="s">
        <v>40</v>
      </c>
      <c r="I440" s="1985"/>
      <c r="J440" s="1986"/>
      <c r="K440" s="1986"/>
      <c r="L440" s="1986"/>
      <c r="M440" s="1986"/>
      <c r="N440" s="1987"/>
      <c r="O440" s="1988"/>
      <c r="P440" s="1989"/>
    </row>
    <row r="441" spans="2:16" s="1553" customFormat="1" ht="15.95" customHeight="1" x14ac:dyDescent="0.3">
      <c r="B441" s="1990" t="s">
        <v>368</v>
      </c>
      <c r="C441" s="1991" t="s">
        <v>42</v>
      </c>
      <c r="D441" s="1990"/>
      <c r="E441" s="1992"/>
      <c r="F441" s="1993"/>
      <c r="G441" s="1992"/>
      <c r="H441" s="1992"/>
    </row>
    <row r="442" spans="2:16" s="1553" customFormat="1" ht="15.95" customHeight="1" x14ac:dyDescent="0.3">
      <c r="B442" s="1990"/>
      <c r="C442" s="1553" t="s">
        <v>71</v>
      </c>
      <c r="D442" s="1985" t="str">
        <f>D423</f>
        <v>L1</v>
      </c>
      <c r="E442" s="1976" t="s">
        <v>618</v>
      </c>
      <c r="F442" s="2014">
        <v>0.05</v>
      </c>
      <c r="G442" s="1995">
        <f>G70</f>
        <v>115000</v>
      </c>
      <c r="H442" s="1996">
        <f>+F442*G442</f>
        <v>5750</v>
      </c>
    </row>
    <row r="443" spans="2:16" s="1553" customFormat="1" ht="15.95" customHeight="1" x14ac:dyDescent="0.3">
      <c r="B443" s="1990"/>
      <c r="C443" s="1553" t="s">
        <v>871</v>
      </c>
      <c r="D443" s="1985" t="str">
        <f>D424</f>
        <v>L2</v>
      </c>
      <c r="E443" s="1976" t="s">
        <v>618</v>
      </c>
      <c r="F443" s="2014">
        <v>0.05</v>
      </c>
      <c r="G443" s="1995">
        <f>G71</f>
        <v>170000</v>
      </c>
      <c r="H443" s="1996">
        <f>+F443*G443</f>
        <v>8500</v>
      </c>
    </row>
    <row r="444" spans="2:16" s="1553" customFormat="1" ht="15.95" customHeight="1" x14ac:dyDescent="0.3">
      <c r="B444" s="1990"/>
      <c r="C444" s="1553" t="s">
        <v>605</v>
      </c>
      <c r="D444" s="1985" t="str">
        <f>D425</f>
        <v>L3</v>
      </c>
      <c r="E444" s="1976" t="s">
        <v>618</v>
      </c>
      <c r="F444" s="2014">
        <v>0.05</v>
      </c>
      <c r="G444" s="1995">
        <f>G72</f>
        <v>185000</v>
      </c>
      <c r="H444" s="1996">
        <f>+F444*G444</f>
        <v>9250</v>
      </c>
    </row>
    <row r="445" spans="2:16" s="1553" customFormat="1" ht="15.95" customHeight="1" x14ac:dyDescent="0.3">
      <c r="B445" s="1990"/>
      <c r="C445" s="1553" t="s">
        <v>50</v>
      </c>
      <c r="D445" s="1985" t="str">
        <f>D426</f>
        <v>L4</v>
      </c>
      <c r="E445" s="1976" t="s">
        <v>618</v>
      </c>
      <c r="F445" s="2014">
        <v>1E-3</v>
      </c>
      <c r="G445" s="1995">
        <f>G73</f>
        <v>200000</v>
      </c>
      <c r="H445" s="1996">
        <f>+F445*G445</f>
        <v>200</v>
      </c>
    </row>
    <row r="446" spans="2:16" s="1553" customFormat="1" ht="15.95" customHeight="1" x14ac:dyDescent="0.3">
      <c r="B446" s="1990"/>
      <c r="D446" s="1990"/>
      <c r="E446" s="1976"/>
      <c r="F446" s="2001"/>
      <c r="G446" s="1997" t="s">
        <v>52</v>
      </c>
      <c r="H446" s="1996">
        <f>SUM(H442:H445)</f>
        <v>23700</v>
      </c>
    </row>
    <row r="447" spans="2:16" s="1553" customFormat="1" ht="15.95" customHeight="1" x14ac:dyDescent="0.3">
      <c r="B447" s="1990" t="s">
        <v>394</v>
      </c>
      <c r="C447" s="1555" t="s">
        <v>872</v>
      </c>
      <c r="D447" s="1990"/>
      <c r="E447" s="1992"/>
      <c r="F447" s="1993"/>
      <c r="G447" s="1992"/>
      <c r="H447" s="1992"/>
    </row>
    <row r="448" spans="2:16" s="1553" customFormat="1" ht="15.95" customHeight="1" x14ac:dyDescent="0.3">
      <c r="B448" s="1555"/>
      <c r="C448" s="1998" t="s">
        <v>1048</v>
      </c>
      <c r="E448" s="1976" t="s">
        <v>32</v>
      </c>
      <c r="F448" s="1980">
        <v>1</v>
      </c>
      <c r="G448" s="1995">
        <f>'UB mep'!J132</f>
        <v>45500</v>
      </c>
      <c r="H448" s="1996">
        <f>+F448*G448</f>
        <v>45500</v>
      </c>
    </row>
    <row r="449" spans="2:16" s="1553" customFormat="1" ht="15.95" customHeight="1" x14ac:dyDescent="0.3">
      <c r="B449" s="1555"/>
      <c r="C449" s="2000" t="s">
        <v>611</v>
      </c>
      <c r="E449" s="1976" t="s">
        <v>1</v>
      </c>
      <c r="F449" s="1980">
        <v>1</v>
      </c>
      <c r="G449" s="1995">
        <f>G468</f>
        <v>5000</v>
      </c>
      <c r="H449" s="1996">
        <f>+F449*G449</f>
        <v>5000</v>
      </c>
    </row>
    <row r="450" spans="2:16" s="1553" customFormat="1" ht="15.95" customHeight="1" x14ac:dyDescent="0.3">
      <c r="B450" s="1555"/>
      <c r="E450" s="1976"/>
      <c r="F450" s="2001"/>
      <c r="G450" s="2002" t="s">
        <v>59</v>
      </c>
      <c r="H450" s="1996">
        <f>SUM(H448:H449)</f>
        <v>50500</v>
      </c>
    </row>
    <row r="451" spans="2:16" s="1553" customFormat="1" ht="15.95" customHeight="1" x14ac:dyDescent="0.3">
      <c r="B451" s="1974" t="s">
        <v>411</v>
      </c>
      <c r="C451" s="1554" t="s">
        <v>60</v>
      </c>
      <c r="E451" s="1976"/>
      <c r="F451" s="2001"/>
      <c r="G451" s="2003"/>
      <c r="H451" s="2003"/>
    </row>
    <row r="452" spans="2:16" s="1553" customFormat="1" ht="15.95" customHeight="1" x14ac:dyDescent="0.3">
      <c r="B452" s="1555"/>
      <c r="E452" s="1976"/>
      <c r="F452" s="2001"/>
      <c r="G452" s="2002" t="s">
        <v>61</v>
      </c>
      <c r="H452" s="1996">
        <v>0</v>
      </c>
    </row>
    <row r="453" spans="2:16" s="1553" customFormat="1" ht="15.95" customHeight="1" x14ac:dyDescent="0.3">
      <c r="B453" s="1976" t="s">
        <v>6</v>
      </c>
      <c r="C453" s="1553" t="s">
        <v>875</v>
      </c>
      <c r="E453" s="1980"/>
      <c r="F453" s="1976"/>
      <c r="G453" s="1976"/>
      <c r="H453" s="2003">
        <f>+H452+H450+H446</f>
        <v>74200</v>
      </c>
    </row>
    <row r="454" spans="2:16" s="1553" customFormat="1" ht="15.95" customHeight="1" x14ac:dyDescent="0.3">
      <c r="B454" s="1974" t="s">
        <v>7</v>
      </c>
      <c r="C454" s="1555" t="s">
        <v>100</v>
      </c>
      <c r="E454" s="1980"/>
      <c r="F454" s="1976"/>
      <c r="G454" s="2004">
        <v>0</v>
      </c>
      <c r="H454" s="1981">
        <f>H453*J436</f>
        <v>0</v>
      </c>
    </row>
    <row r="455" spans="2:16" s="1553" customFormat="1" ht="15.95" customHeight="1" x14ac:dyDescent="0.3">
      <c r="B455" s="1976" t="s">
        <v>63</v>
      </c>
      <c r="C455" s="1553" t="s">
        <v>877</v>
      </c>
      <c r="E455" s="1980"/>
      <c r="F455" s="1976"/>
      <c r="G455" s="1976"/>
      <c r="H455" s="1981">
        <f>+H453+H454</f>
        <v>74200</v>
      </c>
    </row>
    <row r="456" spans="2:16" s="1553" customFormat="1" ht="15.95" customHeight="1" x14ac:dyDescent="0.3">
      <c r="C456" s="1554" t="s">
        <v>878</v>
      </c>
      <c r="D456" s="1555"/>
      <c r="E456" s="1555"/>
      <c r="F456" s="1555"/>
      <c r="G456" s="1555"/>
      <c r="H456" s="2005">
        <f>ROUNDDOWN(H455,2)</f>
        <v>74200</v>
      </c>
    </row>
    <row r="457" spans="2:16" ht="15.95" customHeight="1" x14ac:dyDescent="0.3">
      <c r="C457" s="2011"/>
      <c r="D457" s="2012"/>
      <c r="E457" s="2012"/>
      <c r="F457" s="2012"/>
      <c r="G457" s="2012"/>
      <c r="H457" s="2013"/>
    </row>
    <row r="458" spans="2:16" s="1555" customFormat="1" ht="15.95" customHeight="1" x14ac:dyDescent="0.2">
      <c r="B458" s="1979" t="s">
        <v>945</v>
      </c>
      <c r="C458" s="1555" t="s">
        <v>946</v>
      </c>
      <c r="E458" s="2009"/>
      <c r="F458" s="1974"/>
      <c r="G458" s="1974"/>
      <c r="H458" s="1981"/>
    </row>
    <row r="459" spans="2:16" s="1976" customFormat="1" ht="15.95" customHeight="1" x14ac:dyDescent="0.3">
      <c r="B459" s="1982" t="s">
        <v>12</v>
      </c>
      <c r="C459" s="1982" t="s">
        <v>36</v>
      </c>
      <c r="D459" s="1982" t="s">
        <v>37</v>
      </c>
      <c r="E459" s="1983" t="s">
        <v>184</v>
      </c>
      <c r="F459" s="1984" t="s">
        <v>868</v>
      </c>
      <c r="G459" s="1983" t="s">
        <v>1063</v>
      </c>
      <c r="H459" s="1983" t="s">
        <v>40</v>
      </c>
      <c r="I459" s="1985"/>
      <c r="J459" s="1986"/>
      <c r="K459" s="1986"/>
      <c r="L459" s="1986"/>
      <c r="M459" s="1986"/>
      <c r="N459" s="1987"/>
      <c r="O459" s="1988"/>
      <c r="P459" s="1989"/>
    </row>
    <row r="460" spans="2:16" s="1553" customFormat="1" ht="15.95" customHeight="1" x14ac:dyDescent="0.3">
      <c r="B460" s="1990" t="s">
        <v>368</v>
      </c>
      <c r="C460" s="1991" t="s">
        <v>42</v>
      </c>
      <c r="D460" s="1990"/>
      <c r="E460" s="1992"/>
      <c r="F460" s="1993"/>
      <c r="G460" s="1992"/>
      <c r="H460" s="1992"/>
    </row>
    <row r="461" spans="2:16" s="1553" customFormat="1" ht="15.95" customHeight="1" x14ac:dyDescent="0.3">
      <c r="B461" s="1990"/>
      <c r="C461" s="1553" t="s">
        <v>71</v>
      </c>
      <c r="D461" s="1985" t="str">
        <f>D423</f>
        <v>L1</v>
      </c>
      <c r="E461" s="1976" t="s">
        <v>618</v>
      </c>
      <c r="F461" s="2014">
        <v>0.05</v>
      </c>
      <c r="G461" s="1995">
        <f>G70</f>
        <v>115000</v>
      </c>
      <c r="H461" s="1996">
        <f>+F461*G461</f>
        <v>5750</v>
      </c>
    </row>
    <row r="462" spans="2:16" s="1553" customFormat="1" ht="15.95" customHeight="1" x14ac:dyDescent="0.3">
      <c r="B462" s="1990"/>
      <c r="C462" s="1553" t="s">
        <v>871</v>
      </c>
      <c r="D462" s="1985" t="str">
        <f>D424</f>
        <v>L2</v>
      </c>
      <c r="E462" s="1976" t="s">
        <v>618</v>
      </c>
      <c r="F462" s="2014">
        <v>0.05</v>
      </c>
      <c r="G462" s="1995">
        <f>G71</f>
        <v>170000</v>
      </c>
      <c r="H462" s="1996">
        <f>+F462*G462</f>
        <v>8500</v>
      </c>
    </row>
    <row r="463" spans="2:16" s="1553" customFormat="1" ht="15.95" customHeight="1" x14ac:dyDescent="0.3">
      <c r="B463" s="1990"/>
      <c r="C463" s="1553" t="s">
        <v>605</v>
      </c>
      <c r="D463" s="1985" t="str">
        <f>D425</f>
        <v>L3</v>
      </c>
      <c r="E463" s="1976" t="s">
        <v>618</v>
      </c>
      <c r="F463" s="2014">
        <v>0.05</v>
      </c>
      <c r="G463" s="1995">
        <f>G72</f>
        <v>185000</v>
      </c>
      <c r="H463" s="1996">
        <f>+F463*G463</f>
        <v>9250</v>
      </c>
    </row>
    <row r="464" spans="2:16" s="1553" customFormat="1" ht="15.95" customHeight="1" x14ac:dyDescent="0.3">
      <c r="B464" s="1990"/>
      <c r="C464" s="1553" t="s">
        <v>50</v>
      </c>
      <c r="D464" s="1985" t="str">
        <f>D426</f>
        <v>L4</v>
      </c>
      <c r="E464" s="1976" t="s">
        <v>618</v>
      </c>
      <c r="F464" s="2014">
        <v>1E-3</v>
      </c>
      <c r="G464" s="1995">
        <f>G73</f>
        <v>200000</v>
      </c>
      <c r="H464" s="1996">
        <f>+F464*G464</f>
        <v>200</v>
      </c>
    </row>
    <row r="465" spans="2:16" s="1553" customFormat="1" ht="15.95" customHeight="1" x14ac:dyDescent="0.3">
      <c r="B465" s="1990"/>
      <c r="D465" s="1990"/>
      <c r="E465" s="1976"/>
      <c r="F465" s="2001"/>
      <c r="G465" s="1997" t="s">
        <v>52</v>
      </c>
      <c r="H465" s="1996">
        <f>SUM(H461:H464)</f>
        <v>23700</v>
      </c>
    </row>
    <row r="466" spans="2:16" s="1553" customFormat="1" ht="15.95" customHeight="1" x14ac:dyDescent="0.3">
      <c r="B466" s="1990" t="s">
        <v>394</v>
      </c>
      <c r="C466" s="1555" t="s">
        <v>872</v>
      </c>
      <c r="D466" s="1990"/>
      <c r="E466" s="1992"/>
      <c r="F466" s="1993"/>
      <c r="G466" s="1992"/>
      <c r="H466" s="1992"/>
    </row>
    <row r="467" spans="2:16" s="1553" customFormat="1" ht="15.95" customHeight="1" x14ac:dyDescent="0.3">
      <c r="B467" s="1555"/>
      <c r="C467" s="1998" t="s">
        <v>947</v>
      </c>
      <c r="E467" s="1976" t="s">
        <v>32</v>
      </c>
      <c r="F467" s="1980">
        <v>1</v>
      </c>
      <c r="G467" s="1995">
        <f>'UB mep'!J133</f>
        <v>65000</v>
      </c>
      <c r="H467" s="1996">
        <f>+F467*G467</f>
        <v>65000</v>
      </c>
    </row>
    <row r="468" spans="2:16" s="1553" customFormat="1" ht="15.95" customHeight="1" x14ac:dyDescent="0.3">
      <c r="B468" s="1555"/>
      <c r="C468" s="2000" t="s">
        <v>611</v>
      </c>
      <c r="E468" s="1976" t="s">
        <v>1</v>
      </c>
      <c r="F468" s="1980">
        <v>1</v>
      </c>
      <c r="G468" s="1995">
        <f>G487</f>
        <v>5000</v>
      </c>
      <c r="H468" s="1996">
        <f>+F468*G468</f>
        <v>5000</v>
      </c>
    </row>
    <row r="469" spans="2:16" s="1553" customFormat="1" ht="15.95" customHeight="1" x14ac:dyDescent="0.3">
      <c r="B469" s="1555"/>
      <c r="E469" s="1976"/>
      <c r="F469" s="2001"/>
      <c r="G469" s="2002" t="s">
        <v>59</v>
      </c>
      <c r="H469" s="1996">
        <f>SUM(H467:H468)</f>
        <v>70000</v>
      </c>
    </row>
    <row r="470" spans="2:16" s="1553" customFormat="1" ht="15.95" customHeight="1" x14ac:dyDescent="0.3">
      <c r="B470" s="1974" t="s">
        <v>411</v>
      </c>
      <c r="C470" s="1554" t="s">
        <v>60</v>
      </c>
      <c r="E470" s="1976"/>
      <c r="F470" s="2001"/>
      <c r="G470" s="2003"/>
      <c r="H470" s="2003"/>
    </row>
    <row r="471" spans="2:16" s="1553" customFormat="1" ht="15.95" customHeight="1" x14ac:dyDescent="0.3">
      <c r="B471" s="1555"/>
      <c r="E471" s="1976"/>
      <c r="F471" s="2001"/>
      <c r="G471" s="2002" t="s">
        <v>61</v>
      </c>
      <c r="H471" s="1996">
        <v>0</v>
      </c>
    </row>
    <row r="472" spans="2:16" s="1553" customFormat="1" ht="15.95" customHeight="1" x14ac:dyDescent="0.3">
      <c r="B472" s="1976" t="s">
        <v>6</v>
      </c>
      <c r="C472" s="1553" t="s">
        <v>875</v>
      </c>
      <c r="E472" s="1980"/>
      <c r="F472" s="1976"/>
      <c r="G472" s="1976"/>
      <c r="H472" s="2003">
        <f>+H471+H469+H465</f>
        <v>93700</v>
      </c>
    </row>
    <row r="473" spans="2:16" s="1553" customFormat="1" ht="15.95" customHeight="1" x14ac:dyDescent="0.3">
      <c r="B473" s="1974" t="s">
        <v>7</v>
      </c>
      <c r="C473" s="1555" t="s">
        <v>100</v>
      </c>
      <c r="E473" s="1980"/>
      <c r="F473" s="1976"/>
      <c r="G473" s="2004">
        <v>0</v>
      </c>
      <c r="H473" s="1981">
        <f>H472*J454</f>
        <v>0</v>
      </c>
    </row>
    <row r="474" spans="2:16" s="1553" customFormat="1" ht="15.95" customHeight="1" x14ac:dyDescent="0.3">
      <c r="B474" s="1976" t="s">
        <v>63</v>
      </c>
      <c r="C474" s="1553" t="s">
        <v>877</v>
      </c>
      <c r="E474" s="1980"/>
      <c r="F474" s="1976"/>
      <c r="G474" s="1976"/>
      <c r="H474" s="1981">
        <f>+H472+H473</f>
        <v>93700</v>
      </c>
    </row>
    <row r="475" spans="2:16" s="1553" customFormat="1" ht="15.95" customHeight="1" x14ac:dyDescent="0.3">
      <c r="C475" s="1554" t="s">
        <v>878</v>
      </c>
      <c r="D475" s="1555"/>
      <c r="E475" s="1555"/>
      <c r="F475" s="1555"/>
      <c r="G475" s="1555"/>
      <c r="H475" s="2005">
        <f>ROUNDDOWN(H474,2)</f>
        <v>93700</v>
      </c>
    </row>
    <row r="476" spans="2:16" ht="15.95" customHeight="1" x14ac:dyDescent="0.3">
      <c r="C476" s="2011"/>
      <c r="D476" s="2012"/>
      <c r="E476" s="2012"/>
      <c r="F476" s="2012"/>
      <c r="G476" s="2012"/>
      <c r="H476" s="2013"/>
    </row>
    <row r="477" spans="2:16" s="1553" customFormat="1" ht="15.95" customHeight="1" x14ac:dyDescent="0.3">
      <c r="B477" s="1979" t="s">
        <v>948</v>
      </c>
      <c r="C477" s="1555" t="s">
        <v>949</v>
      </c>
      <c r="E477" s="1980"/>
      <c r="F477" s="1976"/>
      <c r="G477" s="1976"/>
      <c r="H477" s="1981"/>
    </row>
    <row r="478" spans="2:16" s="1976" customFormat="1" ht="15.95" customHeight="1" x14ac:dyDescent="0.3">
      <c r="B478" s="1982" t="s">
        <v>12</v>
      </c>
      <c r="C478" s="1982" t="s">
        <v>36</v>
      </c>
      <c r="D478" s="1982" t="s">
        <v>37</v>
      </c>
      <c r="E478" s="1983" t="s">
        <v>184</v>
      </c>
      <c r="F478" s="1984" t="s">
        <v>868</v>
      </c>
      <c r="G478" s="1983" t="s">
        <v>1063</v>
      </c>
      <c r="H478" s="1983" t="s">
        <v>40</v>
      </c>
      <c r="I478" s="1985"/>
      <c r="J478" s="1986"/>
      <c r="K478" s="1986"/>
      <c r="L478" s="1986"/>
      <c r="M478" s="1986"/>
      <c r="N478" s="1987"/>
      <c r="O478" s="1988"/>
      <c r="P478" s="1989"/>
    </row>
    <row r="479" spans="2:16" s="1553" customFormat="1" ht="15.95" customHeight="1" x14ac:dyDescent="0.3">
      <c r="B479" s="1990" t="s">
        <v>368</v>
      </c>
      <c r="C479" s="1991" t="s">
        <v>42</v>
      </c>
      <c r="D479" s="1990"/>
      <c r="E479" s="1992"/>
      <c r="F479" s="1993"/>
      <c r="G479" s="1992"/>
      <c r="H479" s="1992"/>
    </row>
    <row r="480" spans="2:16" s="1553" customFormat="1" ht="15.95" customHeight="1" x14ac:dyDescent="0.3">
      <c r="B480" s="1990"/>
      <c r="C480" s="1553" t="s">
        <v>71</v>
      </c>
      <c r="D480" s="1985" t="str">
        <f>D442</f>
        <v>L1</v>
      </c>
      <c r="E480" s="1976" t="s">
        <v>618</v>
      </c>
      <c r="F480" s="2014">
        <v>0.05</v>
      </c>
      <c r="G480" s="1995">
        <f>G70</f>
        <v>115000</v>
      </c>
      <c r="H480" s="1996">
        <f>+F480*G480</f>
        <v>5750</v>
      </c>
    </row>
    <row r="481" spans="2:8" s="1553" customFormat="1" ht="15.95" customHeight="1" x14ac:dyDescent="0.3">
      <c r="B481" s="1990"/>
      <c r="C481" s="1553" t="s">
        <v>871</v>
      </c>
      <c r="D481" s="1985" t="str">
        <f>D443</f>
        <v>L2</v>
      </c>
      <c r="E481" s="1976" t="s">
        <v>618</v>
      </c>
      <c r="F481" s="2014">
        <v>0.05</v>
      </c>
      <c r="G481" s="1995">
        <f>G71</f>
        <v>170000</v>
      </c>
      <c r="H481" s="1996">
        <f>+F481*G481</f>
        <v>8500</v>
      </c>
    </row>
    <row r="482" spans="2:8" s="1553" customFormat="1" ht="15.95" customHeight="1" x14ac:dyDescent="0.3">
      <c r="B482" s="1990"/>
      <c r="C482" s="1553" t="s">
        <v>605</v>
      </c>
      <c r="D482" s="1985" t="str">
        <f>D444</f>
        <v>L3</v>
      </c>
      <c r="E482" s="1976" t="s">
        <v>618</v>
      </c>
      <c r="F482" s="2014">
        <v>0.05</v>
      </c>
      <c r="G482" s="1995">
        <f>G72</f>
        <v>185000</v>
      </c>
      <c r="H482" s="1996">
        <f>+F482*G482</f>
        <v>9250</v>
      </c>
    </row>
    <row r="483" spans="2:8" s="1553" customFormat="1" ht="15.95" customHeight="1" x14ac:dyDescent="0.3">
      <c r="B483" s="1990"/>
      <c r="C483" s="1553" t="s">
        <v>50</v>
      </c>
      <c r="D483" s="1985" t="str">
        <f>D445</f>
        <v>L4</v>
      </c>
      <c r="E483" s="1976" t="s">
        <v>618</v>
      </c>
      <c r="F483" s="2014">
        <v>1E-3</v>
      </c>
      <c r="G483" s="1995">
        <f>G73</f>
        <v>200000</v>
      </c>
      <c r="H483" s="1996">
        <f>+F483*G483</f>
        <v>200</v>
      </c>
    </row>
    <row r="484" spans="2:8" s="1553" customFormat="1" ht="15.95" customHeight="1" x14ac:dyDescent="0.3">
      <c r="B484" s="1990"/>
      <c r="D484" s="1990"/>
      <c r="E484" s="1976"/>
      <c r="F484" s="2001"/>
      <c r="G484" s="1997" t="s">
        <v>52</v>
      </c>
      <c r="H484" s="1996">
        <f>SUM(H480:H483)</f>
        <v>23700</v>
      </c>
    </row>
    <row r="485" spans="2:8" s="1553" customFormat="1" ht="15.95" customHeight="1" x14ac:dyDescent="0.3">
      <c r="B485" s="1990" t="s">
        <v>394</v>
      </c>
      <c r="C485" s="1555" t="s">
        <v>872</v>
      </c>
      <c r="D485" s="1990"/>
      <c r="E485" s="1992"/>
      <c r="F485" s="1993"/>
      <c r="G485" s="1992"/>
      <c r="H485" s="1992"/>
    </row>
    <row r="486" spans="2:8" s="1553" customFormat="1" ht="15.95" customHeight="1" x14ac:dyDescent="0.3">
      <c r="B486" s="1555"/>
      <c r="C486" s="1998" t="s">
        <v>950</v>
      </c>
      <c r="E486" s="1976" t="s">
        <v>32</v>
      </c>
      <c r="F486" s="1980">
        <v>1</v>
      </c>
      <c r="G486" s="1995">
        <f>'UB mep'!J128</f>
        <v>75000</v>
      </c>
      <c r="H486" s="1996">
        <f>+F486*G486</f>
        <v>75000</v>
      </c>
    </row>
    <row r="487" spans="2:8" s="1553" customFormat="1" ht="15.95" customHeight="1" x14ac:dyDescent="0.3">
      <c r="B487" s="1555"/>
      <c r="C487" s="2000" t="s">
        <v>611</v>
      </c>
      <c r="E487" s="1976" t="s">
        <v>1</v>
      </c>
      <c r="F487" s="1980">
        <v>1</v>
      </c>
      <c r="G487" s="1995">
        <f>G508</f>
        <v>5000</v>
      </c>
      <c r="H487" s="1996">
        <f>+F487*G487</f>
        <v>5000</v>
      </c>
    </row>
    <row r="488" spans="2:8" s="1553" customFormat="1" ht="15.95" customHeight="1" x14ac:dyDescent="0.3">
      <c r="B488" s="1555"/>
      <c r="E488" s="1976"/>
      <c r="F488" s="2001"/>
      <c r="G488" s="2002" t="s">
        <v>59</v>
      </c>
      <c r="H488" s="1996">
        <f>SUM(H486:H487)</f>
        <v>80000</v>
      </c>
    </row>
    <row r="489" spans="2:8" s="1553" customFormat="1" ht="15.95" customHeight="1" x14ac:dyDescent="0.3">
      <c r="B489" s="1974" t="s">
        <v>411</v>
      </c>
      <c r="C489" s="1554" t="s">
        <v>60</v>
      </c>
      <c r="E489" s="1976"/>
      <c r="F489" s="2001"/>
      <c r="G489" s="2003"/>
      <c r="H489" s="2003"/>
    </row>
    <row r="490" spans="2:8" s="1553" customFormat="1" ht="15.95" customHeight="1" x14ac:dyDescent="0.3">
      <c r="B490" s="1555"/>
      <c r="E490" s="1976"/>
      <c r="F490" s="2001"/>
      <c r="G490" s="2002" t="s">
        <v>61</v>
      </c>
      <c r="H490" s="1996">
        <v>0</v>
      </c>
    </row>
    <row r="491" spans="2:8" s="1553" customFormat="1" ht="15.95" customHeight="1" x14ac:dyDescent="0.3">
      <c r="B491" s="1976" t="s">
        <v>6</v>
      </c>
      <c r="C491" s="1553" t="s">
        <v>875</v>
      </c>
      <c r="E491" s="1980"/>
      <c r="F491" s="1976"/>
      <c r="G491" s="1976"/>
      <c r="H491" s="2003">
        <f>+H490+H488+H484</f>
        <v>103700</v>
      </c>
    </row>
    <row r="492" spans="2:8" s="1553" customFormat="1" ht="15.95" customHeight="1" x14ac:dyDescent="0.3">
      <c r="B492" s="1974" t="s">
        <v>7</v>
      </c>
      <c r="C492" s="1555" t="s">
        <v>100</v>
      </c>
      <c r="E492" s="1980"/>
      <c r="F492" s="1976"/>
      <c r="G492" s="2004">
        <v>0</v>
      </c>
      <c r="H492" s="1981">
        <f>H491*J474</f>
        <v>0</v>
      </c>
    </row>
    <row r="493" spans="2:8" s="1553" customFormat="1" ht="15.95" customHeight="1" x14ac:dyDescent="0.3">
      <c r="B493" s="1976" t="s">
        <v>63</v>
      </c>
      <c r="C493" s="1553" t="s">
        <v>877</v>
      </c>
      <c r="E493" s="1980"/>
      <c r="F493" s="1976"/>
      <c r="G493" s="1976"/>
      <c r="H493" s="1981">
        <f>+H491+H492</f>
        <v>103700</v>
      </c>
    </row>
    <row r="494" spans="2:8" s="1553" customFormat="1" ht="15.95" customHeight="1" x14ac:dyDescent="0.3">
      <c r="C494" s="1554" t="s">
        <v>878</v>
      </c>
      <c r="D494" s="1555"/>
      <c r="E494" s="1555"/>
      <c r="F494" s="1555"/>
      <c r="G494" s="1555"/>
      <c r="H494" s="2005">
        <f>ROUNDDOWN(H493,2)</f>
        <v>103700</v>
      </c>
    </row>
    <row r="495" spans="2:8" ht="15.95" customHeight="1" x14ac:dyDescent="0.3">
      <c r="C495" s="2011"/>
      <c r="D495" s="2012"/>
      <c r="E495" s="2012"/>
      <c r="F495" s="2012"/>
      <c r="G495" s="2012"/>
      <c r="H495" s="2013"/>
    </row>
    <row r="496" spans="2:8" ht="15.95" customHeight="1" x14ac:dyDescent="0.3">
      <c r="B496" s="2015" t="s">
        <v>951</v>
      </c>
      <c r="C496" s="2015"/>
      <c r="D496" s="2015"/>
      <c r="E496" s="2015"/>
      <c r="F496" s="2015"/>
      <c r="G496" s="2015"/>
      <c r="H496" s="2016"/>
    </row>
    <row r="497" spans="2:16" s="1553" customFormat="1" ht="15.95" customHeight="1" x14ac:dyDescent="0.3">
      <c r="B497" s="1979" t="s">
        <v>952</v>
      </c>
      <c r="C497" s="1555" t="s">
        <v>953</v>
      </c>
      <c r="E497" s="1980"/>
      <c r="F497" s="1976"/>
      <c r="G497" s="1976"/>
      <c r="H497" s="1981"/>
    </row>
    <row r="498" spans="2:16" s="1976" customFormat="1" ht="15.95" customHeight="1" x14ac:dyDescent="0.3">
      <c r="B498" s="1982" t="s">
        <v>12</v>
      </c>
      <c r="C498" s="1982" t="s">
        <v>36</v>
      </c>
      <c r="D498" s="1982" t="s">
        <v>37</v>
      </c>
      <c r="E498" s="1983" t="s">
        <v>184</v>
      </c>
      <c r="F498" s="1984" t="s">
        <v>868</v>
      </c>
      <c r="G498" s="1983" t="s">
        <v>1063</v>
      </c>
      <c r="H498" s="1983" t="s">
        <v>40</v>
      </c>
      <c r="I498" s="1985"/>
      <c r="J498" s="1986"/>
      <c r="K498" s="1986"/>
      <c r="L498" s="1986"/>
      <c r="M498" s="1986"/>
      <c r="N498" s="1987"/>
      <c r="O498" s="1988"/>
      <c r="P498" s="1989"/>
    </row>
    <row r="499" spans="2:16" s="1553" customFormat="1" ht="15.95" customHeight="1" x14ac:dyDescent="0.3">
      <c r="B499" s="1990" t="s">
        <v>368</v>
      </c>
      <c r="C499" s="1991" t="s">
        <v>42</v>
      </c>
      <c r="D499" s="1990"/>
      <c r="E499" s="1992"/>
      <c r="F499" s="1993"/>
      <c r="G499" s="1992"/>
      <c r="H499" s="1992"/>
    </row>
    <row r="500" spans="2:16" s="1553" customFormat="1" ht="15.95" customHeight="1" x14ac:dyDescent="0.3">
      <c r="B500" s="1990"/>
      <c r="C500" s="1553" t="s">
        <v>71</v>
      </c>
      <c r="D500" s="1985" t="s">
        <v>954</v>
      </c>
      <c r="E500" s="1976" t="s">
        <v>618</v>
      </c>
      <c r="F500" s="2014">
        <v>7.0000000000000007E-2</v>
      </c>
      <c r="G500" s="1995">
        <f>G10</f>
        <v>115000</v>
      </c>
      <c r="H500" s="1996">
        <f>+F500*G500</f>
        <v>8050.0000000000009</v>
      </c>
    </row>
    <row r="501" spans="2:16" s="1553" customFormat="1" ht="15.95" customHeight="1" x14ac:dyDescent="0.3">
      <c r="B501" s="1990"/>
      <c r="C501" s="1553" t="s">
        <v>871</v>
      </c>
      <c r="D501" s="1985" t="s">
        <v>955</v>
      </c>
      <c r="E501" s="1976" t="s">
        <v>618</v>
      </c>
      <c r="F501" s="2014">
        <v>0.05</v>
      </c>
      <c r="G501" s="1995">
        <f>G11</f>
        <v>170000</v>
      </c>
      <c r="H501" s="1996">
        <f>+F501*G501</f>
        <v>8500</v>
      </c>
    </row>
    <row r="502" spans="2:16" s="1553" customFormat="1" ht="15.95" customHeight="1" x14ac:dyDescent="0.3">
      <c r="B502" s="1990"/>
      <c r="C502" s="1553" t="s">
        <v>605</v>
      </c>
      <c r="D502" s="1985" t="s">
        <v>956</v>
      </c>
      <c r="E502" s="1976" t="s">
        <v>618</v>
      </c>
      <c r="F502" s="2014">
        <v>8.0000000000000002E-3</v>
      </c>
      <c r="G502" s="1995">
        <f>G12</f>
        <v>185000</v>
      </c>
      <c r="H502" s="1996">
        <f>+F502*G502</f>
        <v>1480</v>
      </c>
    </row>
    <row r="503" spans="2:16" s="1553" customFormat="1" ht="15.95" customHeight="1" x14ac:dyDescent="0.3">
      <c r="B503" s="1990"/>
      <c r="C503" s="1553" t="s">
        <v>50</v>
      </c>
      <c r="D503" s="1985" t="s">
        <v>957</v>
      </c>
      <c r="E503" s="1976" t="s">
        <v>618</v>
      </c>
      <c r="F503" s="2014">
        <v>1E-3</v>
      </c>
      <c r="G503" s="1995">
        <f>G13</f>
        <v>200000</v>
      </c>
      <c r="H503" s="1996">
        <f>+F503*G503</f>
        <v>200</v>
      </c>
    </row>
    <row r="504" spans="2:16" s="1553" customFormat="1" ht="15.95" customHeight="1" x14ac:dyDescent="0.3">
      <c r="B504" s="1990"/>
      <c r="D504" s="1990"/>
      <c r="E504" s="1976"/>
      <c r="F504" s="2001"/>
      <c r="G504" s="1997" t="s">
        <v>52</v>
      </c>
      <c r="H504" s="1996">
        <f>SUM(H500:H503)</f>
        <v>18230</v>
      </c>
    </row>
    <row r="505" spans="2:16" s="1553" customFormat="1" ht="15.95" customHeight="1" x14ac:dyDescent="0.3">
      <c r="B505" s="1990" t="s">
        <v>394</v>
      </c>
      <c r="C505" s="1555" t="s">
        <v>872</v>
      </c>
      <c r="D505" s="1990"/>
      <c r="E505" s="1992"/>
      <c r="F505" s="1993"/>
      <c r="G505" s="1992"/>
      <c r="H505" s="1992"/>
    </row>
    <row r="506" spans="2:16" s="1553" customFormat="1" ht="15.95" customHeight="1" x14ac:dyDescent="0.3">
      <c r="B506" s="1555"/>
      <c r="C506" s="1998" t="s">
        <v>958</v>
      </c>
      <c r="E506" s="1976" t="s">
        <v>32</v>
      </c>
      <c r="F506" s="1980">
        <v>1</v>
      </c>
      <c r="G506" s="1995">
        <f>'UB mep'!J65</f>
        <v>28000</v>
      </c>
      <c r="H506" s="1996">
        <f>+F506*G506</f>
        <v>28000</v>
      </c>
    </row>
    <row r="507" spans="2:16" s="1553" customFormat="1" ht="15.95" customHeight="1" x14ac:dyDescent="0.3">
      <c r="B507" s="1555"/>
      <c r="C507" s="1998" t="s">
        <v>959</v>
      </c>
      <c r="E507" s="1976" t="s">
        <v>9</v>
      </c>
      <c r="F507" s="1980">
        <v>1</v>
      </c>
      <c r="G507" s="1995">
        <f>G527</f>
        <v>12000</v>
      </c>
      <c r="H507" s="1996">
        <f>+F507*G507</f>
        <v>12000</v>
      </c>
    </row>
    <row r="508" spans="2:16" s="1553" customFormat="1" ht="15.95" customHeight="1" x14ac:dyDescent="0.3">
      <c r="B508" s="1555"/>
      <c r="C508" s="2000" t="s">
        <v>611</v>
      </c>
      <c r="E508" s="1976" t="s">
        <v>1</v>
      </c>
      <c r="F508" s="1980">
        <v>1</v>
      </c>
      <c r="G508" s="1995">
        <f>G528</f>
        <v>5000</v>
      </c>
      <c r="H508" s="1996">
        <f>+F508*G508</f>
        <v>5000</v>
      </c>
    </row>
    <row r="509" spans="2:16" s="1553" customFormat="1" ht="15.95" customHeight="1" x14ac:dyDescent="0.3">
      <c r="B509" s="1555"/>
      <c r="E509" s="1976"/>
      <c r="F509" s="2001"/>
      <c r="G509" s="2002" t="s">
        <v>59</v>
      </c>
      <c r="H509" s="1996">
        <f>SUM(H506:H508)</f>
        <v>45000</v>
      </c>
    </row>
    <row r="510" spans="2:16" s="1553" customFormat="1" ht="15.95" customHeight="1" x14ac:dyDescent="0.3">
      <c r="B510" s="1974" t="s">
        <v>411</v>
      </c>
      <c r="C510" s="1554" t="s">
        <v>60</v>
      </c>
      <c r="E510" s="1976"/>
      <c r="F510" s="2001"/>
      <c r="G510" s="2003"/>
      <c r="H510" s="2003"/>
    </row>
    <row r="511" spans="2:16" s="1553" customFormat="1" ht="15.95" customHeight="1" x14ac:dyDescent="0.3">
      <c r="B511" s="1555"/>
      <c r="E511" s="1976"/>
      <c r="F511" s="2001"/>
      <c r="G511" s="2002" t="s">
        <v>61</v>
      </c>
      <c r="H511" s="1996">
        <v>0</v>
      </c>
    </row>
    <row r="512" spans="2:16" s="1553" customFormat="1" ht="15.95" customHeight="1" x14ac:dyDescent="0.3">
      <c r="B512" s="1976" t="s">
        <v>6</v>
      </c>
      <c r="C512" s="1553" t="s">
        <v>875</v>
      </c>
      <c r="E512" s="1980"/>
      <c r="F512" s="1976"/>
      <c r="G512" s="1976"/>
      <c r="H512" s="2003">
        <f>+H511+H509+H504</f>
        <v>63230</v>
      </c>
    </row>
    <row r="513" spans="2:16" s="1553" customFormat="1" ht="15.95" customHeight="1" x14ac:dyDescent="0.3">
      <c r="B513" s="1974" t="s">
        <v>7</v>
      </c>
      <c r="C513" s="1555" t="s">
        <v>100</v>
      </c>
      <c r="E513" s="1980"/>
      <c r="F513" s="1976"/>
      <c r="G513" s="2004">
        <v>0</v>
      </c>
      <c r="H513" s="1981">
        <f>H512*J495</f>
        <v>0</v>
      </c>
    </row>
    <row r="514" spans="2:16" s="1553" customFormat="1" ht="15.95" customHeight="1" x14ac:dyDescent="0.3">
      <c r="B514" s="1976" t="s">
        <v>63</v>
      </c>
      <c r="C514" s="1553" t="s">
        <v>877</v>
      </c>
      <c r="E514" s="1980"/>
      <c r="F514" s="1976"/>
      <c r="G514" s="1976"/>
      <c r="H514" s="1981">
        <f>+H512+H513</f>
        <v>63230</v>
      </c>
    </row>
    <row r="515" spans="2:16" s="1553" customFormat="1" ht="15.95" customHeight="1" x14ac:dyDescent="0.3">
      <c r="C515" s="1554" t="s">
        <v>878</v>
      </c>
      <c r="D515" s="1555"/>
      <c r="E515" s="1555"/>
      <c r="F515" s="1555"/>
      <c r="G515" s="1555"/>
      <c r="H515" s="2005">
        <f>ROUNDDOWN(H514,2)</f>
        <v>63230</v>
      </c>
    </row>
    <row r="516" spans="2:16" ht="15.95" customHeight="1" x14ac:dyDescent="0.3">
      <c r="C516" s="2011"/>
      <c r="D516" s="2012"/>
      <c r="E516" s="2012"/>
      <c r="F516" s="2012"/>
      <c r="G516" s="2012"/>
      <c r="H516" s="2013"/>
    </row>
    <row r="517" spans="2:16" s="1553" customFormat="1" ht="15.95" customHeight="1" x14ac:dyDescent="0.3">
      <c r="B517" s="1979" t="s">
        <v>960</v>
      </c>
      <c r="C517" s="1555" t="s">
        <v>961</v>
      </c>
      <c r="E517" s="1980"/>
      <c r="F517" s="1976"/>
      <c r="G517" s="1976"/>
      <c r="H517" s="1981"/>
    </row>
    <row r="518" spans="2:16" s="1976" customFormat="1" ht="15.95" customHeight="1" x14ac:dyDescent="0.3">
      <c r="B518" s="1982" t="s">
        <v>12</v>
      </c>
      <c r="C518" s="1982" t="s">
        <v>36</v>
      </c>
      <c r="D518" s="1982" t="s">
        <v>37</v>
      </c>
      <c r="E518" s="1983" t="s">
        <v>184</v>
      </c>
      <c r="F518" s="1984" t="s">
        <v>868</v>
      </c>
      <c r="G518" s="1983" t="s">
        <v>1063</v>
      </c>
      <c r="H518" s="1983" t="s">
        <v>40</v>
      </c>
      <c r="I518" s="1985"/>
      <c r="J518" s="1986"/>
      <c r="K518" s="1986"/>
      <c r="L518" s="1986"/>
      <c r="M518" s="1986"/>
      <c r="N518" s="1987"/>
      <c r="O518" s="1988"/>
      <c r="P518" s="1989"/>
    </row>
    <row r="519" spans="2:16" s="1553" customFormat="1" ht="15.95" customHeight="1" x14ac:dyDescent="0.3">
      <c r="B519" s="1990" t="s">
        <v>368</v>
      </c>
      <c r="C519" s="1991" t="s">
        <v>42</v>
      </c>
      <c r="D519" s="1990"/>
      <c r="E519" s="1992"/>
      <c r="F519" s="1993"/>
      <c r="G519" s="1992"/>
      <c r="H519" s="1992"/>
    </row>
    <row r="520" spans="2:16" s="1553" customFormat="1" ht="15.95" customHeight="1" x14ac:dyDescent="0.3">
      <c r="B520" s="1990"/>
      <c r="C520" s="1553" t="s">
        <v>71</v>
      </c>
      <c r="D520" s="1985" t="s">
        <v>954</v>
      </c>
      <c r="E520" s="1976" t="s">
        <v>618</v>
      </c>
      <c r="F520" s="2014">
        <v>7.0000000000000007E-2</v>
      </c>
      <c r="G520" s="1995">
        <f>G10</f>
        <v>115000</v>
      </c>
      <c r="H520" s="1996">
        <f>+F520*G520</f>
        <v>8050.0000000000009</v>
      </c>
    </row>
    <row r="521" spans="2:16" s="1553" customFormat="1" ht="15.95" customHeight="1" x14ac:dyDescent="0.3">
      <c r="B521" s="1990"/>
      <c r="C521" s="1553" t="s">
        <v>871</v>
      </c>
      <c r="D521" s="1985" t="s">
        <v>955</v>
      </c>
      <c r="E521" s="1976" t="s">
        <v>618</v>
      </c>
      <c r="F521" s="2014">
        <v>0.05</v>
      </c>
      <c r="G521" s="1995">
        <f>G11</f>
        <v>170000</v>
      </c>
      <c r="H521" s="1996">
        <f>+F521*G521</f>
        <v>8500</v>
      </c>
    </row>
    <row r="522" spans="2:16" s="1553" customFormat="1" ht="15.95" customHeight="1" x14ac:dyDescent="0.3">
      <c r="B522" s="1990"/>
      <c r="C522" s="1553" t="s">
        <v>605</v>
      </c>
      <c r="D522" s="1985" t="s">
        <v>956</v>
      </c>
      <c r="E522" s="1976" t="s">
        <v>618</v>
      </c>
      <c r="F522" s="2014">
        <v>8.0000000000000002E-3</v>
      </c>
      <c r="G522" s="1995">
        <f>G12</f>
        <v>185000</v>
      </c>
      <c r="H522" s="1996">
        <f>+F522*G522</f>
        <v>1480</v>
      </c>
    </row>
    <row r="523" spans="2:16" s="1553" customFormat="1" ht="15.95" customHeight="1" x14ac:dyDescent="0.3">
      <c r="B523" s="1990"/>
      <c r="C523" s="1553" t="s">
        <v>50</v>
      </c>
      <c r="D523" s="1985" t="s">
        <v>957</v>
      </c>
      <c r="E523" s="1976" t="s">
        <v>618</v>
      </c>
      <c r="F523" s="2014">
        <v>1E-3</v>
      </c>
      <c r="G523" s="1995">
        <f>G13</f>
        <v>200000</v>
      </c>
      <c r="H523" s="1996">
        <f>+F523*G523</f>
        <v>200</v>
      </c>
    </row>
    <row r="524" spans="2:16" s="1553" customFormat="1" ht="15.95" customHeight="1" x14ac:dyDescent="0.3">
      <c r="B524" s="1990"/>
      <c r="D524" s="1990"/>
      <c r="E524" s="1976"/>
      <c r="F524" s="2001"/>
      <c r="G524" s="1997" t="s">
        <v>52</v>
      </c>
      <c r="H524" s="1996">
        <f>SUM(H520:H523)</f>
        <v>18230</v>
      </c>
    </row>
    <row r="525" spans="2:16" s="1553" customFormat="1" ht="15.95" customHeight="1" x14ac:dyDescent="0.3">
      <c r="B525" s="1990" t="s">
        <v>394</v>
      </c>
      <c r="C525" s="1555" t="s">
        <v>872</v>
      </c>
      <c r="D525" s="1990"/>
      <c r="E525" s="1992"/>
      <c r="F525" s="1993"/>
      <c r="G525" s="1992"/>
      <c r="H525" s="1992"/>
    </row>
    <row r="526" spans="2:16" s="1553" customFormat="1" ht="15.95" customHeight="1" x14ac:dyDescent="0.3">
      <c r="B526" s="1555"/>
      <c r="C526" s="1998" t="s">
        <v>1068</v>
      </c>
      <c r="E526" s="1976" t="s">
        <v>32</v>
      </c>
      <c r="F526" s="1980">
        <v>1</v>
      </c>
      <c r="G526" s="1995">
        <f>'UB mep'!J66</f>
        <v>75000</v>
      </c>
      <c r="H526" s="1996">
        <f>+F526*G526</f>
        <v>75000</v>
      </c>
    </row>
    <row r="527" spans="2:16" s="1553" customFormat="1" ht="15.95" customHeight="1" x14ac:dyDescent="0.3">
      <c r="B527" s="1555"/>
      <c r="C527" s="1998" t="s">
        <v>959</v>
      </c>
      <c r="E527" s="1976" t="s">
        <v>9</v>
      </c>
      <c r="F527" s="1980">
        <v>1</v>
      </c>
      <c r="G527" s="1995">
        <f>G547</f>
        <v>12000</v>
      </c>
      <c r="H527" s="1996">
        <f>+F527*G527</f>
        <v>12000</v>
      </c>
    </row>
    <row r="528" spans="2:16" s="1553" customFormat="1" ht="15.95" customHeight="1" x14ac:dyDescent="0.3">
      <c r="B528" s="1555"/>
      <c r="C528" s="2000" t="s">
        <v>611</v>
      </c>
      <c r="E528" s="1976" t="s">
        <v>1</v>
      </c>
      <c r="F528" s="1980">
        <v>1</v>
      </c>
      <c r="G528" s="1995">
        <f>G18</f>
        <v>5000</v>
      </c>
      <c r="H528" s="1996">
        <f>+F528*G528</f>
        <v>5000</v>
      </c>
    </row>
    <row r="529" spans="2:16" s="1553" customFormat="1" ht="15.95" customHeight="1" x14ac:dyDescent="0.3">
      <c r="B529" s="1555"/>
      <c r="E529" s="1976"/>
      <c r="F529" s="2001"/>
      <c r="G529" s="2002" t="s">
        <v>59</v>
      </c>
      <c r="H529" s="1996">
        <f>SUM(H526:H528)</f>
        <v>92000</v>
      </c>
    </row>
    <row r="530" spans="2:16" s="1553" customFormat="1" ht="15.95" customHeight="1" x14ac:dyDescent="0.3">
      <c r="B530" s="1974" t="s">
        <v>411</v>
      </c>
      <c r="C530" s="1554" t="s">
        <v>60</v>
      </c>
      <c r="E530" s="1976"/>
      <c r="F530" s="2001"/>
      <c r="G530" s="2003"/>
      <c r="H530" s="2003"/>
    </row>
    <row r="531" spans="2:16" s="1553" customFormat="1" ht="15.95" customHeight="1" x14ac:dyDescent="0.3">
      <c r="B531" s="1555"/>
      <c r="E531" s="1976"/>
      <c r="F531" s="2001"/>
      <c r="G531" s="2002" t="s">
        <v>61</v>
      </c>
      <c r="H531" s="1996">
        <v>0</v>
      </c>
    </row>
    <row r="532" spans="2:16" s="1553" customFormat="1" ht="15.95" customHeight="1" x14ac:dyDescent="0.3">
      <c r="B532" s="1976" t="s">
        <v>6</v>
      </c>
      <c r="C532" s="1553" t="s">
        <v>875</v>
      </c>
      <c r="E532" s="1980"/>
      <c r="F532" s="1976"/>
      <c r="G532" s="1976"/>
      <c r="H532" s="2003">
        <f>+H531+H529+H524</f>
        <v>110230</v>
      </c>
    </row>
    <row r="533" spans="2:16" s="1553" customFormat="1" ht="15.95" customHeight="1" x14ac:dyDescent="0.3">
      <c r="B533" s="1974" t="s">
        <v>7</v>
      </c>
      <c r="C533" s="1555" t="s">
        <v>100</v>
      </c>
      <c r="E533" s="1980"/>
      <c r="F533" s="1976"/>
      <c r="G533" s="2004">
        <v>0</v>
      </c>
      <c r="H533" s="1981">
        <f>H532*J514</f>
        <v>0</v>
      </c>
    </row>
    <row r="534" spans="2:16" s="1553" customFormat="1" ht="15.95" customHeight="1" x14ac:dyDescent="0.3">
      <c r="B534" s="1976" t="s">
        <v>63</v>
      </c>
      <c r="C534" s="1553" t="s">
        <v>877</v>
      </c>
      <c r="E534" s="1980"/>
      <c r="F534" s="1976"/>
      <c r="G534" s="1976"/>
      <c r="H534" s="1981">
        <f>+H532+H533</f>
        <v>110230</v>
      </c>
    </row>
    <row r="535" spans="2:16" s="1553" customFormat="1" ht="15.95" customHeight="1" x14ac:dyDescent="0.3">
      <c r="C535" s="1554" t="s">
        <v>878</v>
      </c>
      <c r="D535" s="1555"/>
      <c r="E535" s="1555"/>
      <c r="F535" s="1555"/>
      <c r="G535" s="1555"/>
      <c r="H535" s="2005">
        <f>ROUNDDOWN(H534,2)</f>
        <v>110230</v>
      </c>
    </row>
    <row r="536" spans="2:16" ht="15.95" customHeight="1" x14ac:dyDescent="0.3">
      <c r="C536" s="2011"/>
      <c r="D536" s="2012"/>
      <c r="E536" s="2012"/>
      <c r="F536" s="2012"/>
      <c r="G536" s="2012"/>
      <c r="H536" s="2013"/>
    </row>
    <row r="537" spans="2:16" s="1553" customFormat="1" ht="15.95" customHeight="1" x14ac:dyDescent="0.3">
      <c r="B537" s="1979" t="s">
        <v>962</v>
      </c>
      <c r="C537" s="1555" t="s">
        <v>963</v>
      </c>
      <c r="E537" s="1980"/>
      <c r="F537" s="1976"/>
      <c r="G537" s="1976"/>
      <c r="H537" s="1981"/>
    </row>
    <row r="538" spans="2:16" s="1976" customFormat="1" ht="15.95" customHeight="1" x14ac:dyDescent="0.3">
      <c r="B538" s="1982" t="s">
        <v>12</v>
      </c>
      <c r="C538" s="1982" t="s">
        <v>36</v>
      </c>
      <c r="D538" s="1982" t="s">
        <v>37</v>
      </c>
      <c r="E538" s="1983" t="s">
        <v>184</v>
      </c>
      <c r="F538" s="1984" t="s">
        <v>868</v>
      </c>
      <c r="G538" s="1983" t="s">
        <v>1063</v>
      </c>
      <c r="H538" s="1983" t="s">
        <v>40</v>
      </c>
      <c r="I538" s="1985"/>
      <c r="J538" s="1986"/>
      <c r="K538" s="1986"/>
      <c r="L538" s="1986"/>
      <c r="M538" s="1986"/>
      <c r="N538" s="1987"/>
      <c r="O538" s="1988"/>
      <c r="P538" s="1989"/>
    </row>
    <row r="539" spans="2:16" s="1553" customFormat="1" ht="15.95" customHeight="1" x14ac:dyDescent="0.3">
      <c r="B539" s="1990" t="s">
        <v>368</v>
      </c>
      <c r="C539" s="1991" t="s">
        <v>42</v>
      </c>
      <c r="D539" s="1990"/>
      <c r="E539" s="1992"/>
      <c r="F539" s="1993"/>
      <c r="G539" s="1992"/>
      <c r="H539" s="1992"/>
    </row>
    <row r="540" spans="2:16" s="1553" customFormat="1" x14ac:dyDescent="0.3">
      <c r="B540" s="1990"/>
      <c r="C540" s="1553" t="s">
        <v>71</v>
      </c>
      <c r="D540" s="1985" t="s">
        <v>954</v>
      </c>
      <c r="E540" s="1976" t="s">
        <v>618</v>
      </c>
      <c r="F540" s="2014">
        <v>7.0000000000000007E-2</v>
      </c>
      <c r="G540" s="1995">
        <f>G10</f>
        <v>115000</v>
      </c>
      <c r="H540" s="1996">
        <f>+F540*G540</f>
        <v>8050.0000000000009</v>
      </c>
    </row>
    <row r="541" spans="2:16" s="1553" customFormat="1" x14ac:dyDescent="0.3">
      <c r="B541" s="1990"/>
      <c r="C541" s="1553" t="s">
        <v>871</v>
      </c>
      <c r="D541" s="1985" t="s">
        <v>955</v>
      </c>
      <c r="E541" s="1976" t="s">
        <v>618</v>
      </c>
      <c r="F541" s="2014">
        <v>0.05</v>
      </c>
      <c r="G541" s="1995">
        <f>G11</f>
        <v>170000</v>
      </c>
      <c r="H541" s="1996">
        <f>+F541*G541</f>
        <v>8500</v>
      </c>
    </row>
    <row r="542" spans="2:16" s="1553" customFormat="1" x14ac:dyDescent="0.3">
      <c r="B542" s="1990"/>
      <c r="C542" s="1553" t="s">
        <v>605</v>
      </c>
      <c r="D542" s="1985" t="s">
        <v>956</v>
      </c>
      <c r="E542" s="1976" t="s">
        <v>618</v>
      </c>
      <c r="F542" s="2014">
        <v>8.0000000000000002E-3</v>
      </c>
      <c r="G542" s="1995">
        <f>G12</f>
        <v>185000</v>
      </c>
      <c r="H542" s="1996">
        <f>+F542*G542</f>
        <v>1480</v>
      </c>
    </row>
    <row r="543" spans="2:16" s="1553" customFormat="1" x14ac:dyDescent="0.3">
      <c r="B543" s="1990"/>
      <c r="C543" s="1553" t="s">
        <v>50</v>
      </c>
      <c r="D543" s="1985" t="s">
        <v>957</v>
      </c>
      <c r="E543" s="1976" t="s">
        <v>618</v>
      </c>
      <c r="F543" s="2014">
        <v>1E-3</v>
      </c>
      <c r="G543" s="1995">
        <f>G13</f>
        <v>200000</v>
      </c>
      <c r="H543" s="1996">
        <f>+F543*G543</f>
        <v>200</v>
      </c>
    </row>
    <row r="544" spans="2:16" s="1553" customFormat="1" x14ac:dyDescent="0.3">
      <c r="B544" s="1990"/>
      <c r="D544" s="1990"/>
      <c r="E544" s="1976"/>
      <c r="F544" s="2001"/>
      <c r="G544" s="1997" t="s">
        <v>52</v>
      </c>
      <c r="H544" s="1996">
        <f>SUM(H540:H543)</f>
        <v>18230</v>
      </c>
    </row>
    <row r="545" spans="2:8" s="1553" customFormat="1" x14ac:dyDescent="0.3">
      <c r="B545" s="1990" t="s">
        <v>394</v>
      </c>
      <c r="C545" s="1555" t="s">
        <v>872</v>
      </c>
      <c r="D545" s="1990"/>
      <c r="E545" s="1992"/>
      <c r="F545" s="1993"/>
      <c r="G545" s="1992"/>
      <c r="H545" s="1992"/>
    </row>
    <row r="546" spans="2:8" s="1553" customFormat="1" x14ac:dyDescent="0.3">
      <c r="B546" s="1555"/>
      <c r="C546" s="1998" t="s">
        <v>1067</v>
      </c>
      <c r="E546" s="1976" t="s">
        <v>32</v>
      </c>
      <c r="F546" s="1980">
        <v>1</v>
      </c>
      <c r="G546" s="1995">
        <f>'UB mep'!J67</f>
        <v>127500</v>
      </c>
      <c r="H546" s="1996">
        <f>+F546*G546</f>
        <v>127500</v>
      </c>
    </row>
    <row r="547" spans="2:8" s="1553" customFormat="1" x14ac:dyDescent="0.3">
      <c r="B547" s="1555"/>
      <c r="C547" s="1998" t="s">
        <v>959</v>
      </c>
      <c r="E547" s="1976" t="s">
        <v>9</v>
      </c>
      <c r="F547" s="1980">
        <v>1</v>
      </c>
      <c r="G547" s="1995">
        <f>'UB mep'!J68</f>
        <v>12000</v>
      </c>
      <c r="H547" s="1996">
        <f>+F547*G547</f>
        <v>12000</v>
      </c>
    </row>
    <row r="548" spans="2:8" s="1553" customFormat="1" x14ac:dyDescent="0.3">
      <c r="B548" s="1555"/>
      <c r="C548" s="2000" t="s">
        <v>1066</v>
      </c>
      <c r="E548" s="1976" t="s">
        <v>1</v>
      </c>
      <c r="F548" s="1980">
        <v>1</v>
      </c>
      <c r="G548" s="1995">
        <f>'UB mep'!J134</f>
        <v>5000</v>
      </c>
      <c r="H548" s="1996">
        <f>+F548*G548</f>
        <v>5000</v>
      </c>
    </row>
    <row r="549" spans="2:8" s="1553" customFormat="1" x14ac:dyDescent="0.3">
      <c r="B549" s="1555"/>
      <c r="E549" s="1976"/>
      <c r="F549" s="2001"/>
      <c r="G549" s="2002" t="s">
        <v>59</v>
      </c>
      <c r="H549" s="1996">
        <f>SUM(H546:H548)</f>
        <v>144500</v>
      </c>
    </row>
    <row r="550" spans="2:8" s="1553" customFormat="1" x14ac:dyDescent="0.3">
      <c r="B550" s="1974" t="s">
        <v>411</v>
      </c>
      <c r="C550" s="1554" t="s">
        <v>60</v>
      </c>
      <c r="E550" s="1976"/>
      <c r="F550" s="2001"/>
      <c r="G550" s="2003"/>
      <c r="H550" s="2003"/>
    </row>
    <row r="551" spans="2:8" s="1553" customFormat="1" x14ac:dyDescent="0.3">
      <c r="B551" s="1555"/>
      <c r="E551" s="1976"/>
      <c r="F551" s="2001"/>
      <c r="G551" s="2002" t="s">
        <v>61</v>
      </c>
      <c r="H551" s="1996">
        <v>0</v>
      </c>
    </row>
    <row r="552" spans="2:8" s="1553" customFormat="1" x14ac:dyDescent="0.3">
      <c r="B552" s="1976" t="s">
        <v>6</v>
      </c>
      <c r="C552" s="1553" t="s">
        <v>875</v>
      </c>
      <c r="E552" s="1980"/>
      <c r="F552" s="1976"/>
      <c r="G552" s="1976"/>
      <c r="H552" s="2003">
        <f>+H551+H549+H544</f>
        <v>162730</v>
      </c>
    </row>
    <row r="553" spans="2:8" s="1553" customFormat="1" x14ac:dyDescent="0.3">
      <c r="B553" s="1974" t="s">
        <v>7</v>
      </c>
      <c r="C553" s="1555" t="s">
        <v>100</v>
      </c>
      <c r="E553" s="1980"/>
      <c r="F553" s="1976"/>
      <c r="G553" s="2004">
        <v>0</v>
      </c>
      <c r="H553" s="1981">
        <f>H552*J534</f>
        <v>0</v>
      </c>
    </row>
    <row r="554" spans="2:8" s="1553" customFormat="1" x14ac:dyDescent="0.3">
      <c r="B554" s="1976" t="s">
        <v>63</v>
      </c>
      <c r="C554" s="1553" t="s">
        <v>877</v>
      </c>
      <c r="E554" s="1980"/>
      <c r="F554" s="1976"/>
      <c r="G554" s="1976"/>
      <c r="H554" s="1981">
        <f>+H552+H553</f>
        <v>162730</v>
      </c>
    </row>
    <row r="555" spans="2:8" s="1553" customFormat="1" x14ac:dyDescent="0.3">
      <c r="C555" s="1554" t="s">
        <v>878</v>
      </c>
      <c r="D555" s="1555"/>
      <c r="E555" s="1555"/>
      <c r="F555" s="1555"/>
      <c r="G555" s="1555"/>
      <c r="H555" s="2005">
        <f>ROUNDDOWN(H554,2)</f>
        <v>162730</v>
      </c>
    </row>
  </sheetData>
  <mergeCells count="1">
    <mergeCell ref="B1:H1"/>
  </mergeCells>
  <printOptions horizontalCentered="1"/>
  <pageMargins left="0.7" right="0.7" top="0.75" bottom="0.05" header="0.3" footer="0.3"/>
  <pageSetup paperSize="9" scale="70" orientation="portrait" horizontalDpi="4294967293" r:id="rId1"/>
  <rowBreaks count="8" manualBreakCount="8">
    <brk id="66" min="1" max="7" man="1"/>
    <brk id="134" min="1" max="7" man="1"/>
    <brk id="205" min="1" max="7" man="1"/>
    <brk id="276" min="1" max="7" man="1"/>
    <brk id="341" min="1" max="7" man="1"/>
    <brk id="412" min="1" max="7" man="1"/>
    <brk id="476" min="1" max="7" man="1"/>
    <brk id="544" min="1" max="7" man="1"/>
  </rowBreaks>
  <colBreaks count="1" manualBreakCount="1">
    <brk id="8" max="659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971"/>
  <sheetViews>
    <sheetView showGridLines="0" view="pageBreakPreview" topLeftCell="A694" zoomScale="90" zoomScaleNormal="115" zoomScaleSheetLayoutView="90" workbookViewId="0">
      <selection activeCell="K730" sqref="K730"/>
    </sheetView>
  </sheetViews>
  <sheetFormatPr defaultRowHeight="16.5" x14ac:dyDescent="0.3"/>
  <cols>
    <col min="1" max="1" width="3.140625" style="2021" customWidth="1"/>
    <col min="2" max="2" width="14.7109375" style="2021" customWidth="1"/>
    <col min="3" max="3" width="34.7109375" style="2021" customWidth="1"/>
    <col min="4" max="4" width="8.7109375" style="2049" customWidth="1"/>
    <col min="5" max="5" width="8.7109375" style="2081" customWidth="1"/>
    <col min="6" max="6" width="11.7109375" style="2050" customWidth="1"/>
    <col min="7" max="7" width="16.7109375" style="2021" customWidth="1"/>
    <col min="8" max="8" width="19.28515625" style="2082" customWidth="1"/>
    <col min="9" max="9" width="11.7109375" style="2021" bestFit="1" customWidth="1"/>
    <col min="10" max="10" width="11" style="2021" customWidth="1"/>
    <col min="11" max="253" width="9.140625" style="2021"/>
    <col min="254" max="254" width="17.140625" style="2021" customWidth="1"/>
    <col min="255" max="255" width="1.7109375" style="2021" customWidth="1"/>
    <col min="256" max="256" width="4.7109375" style="2021" customWidth="1"/>
    <col min="257" max="257" width="5.28515625" style="2021" customWidth="1"/>
    <col min="258" max="258" width="3.28515625" style="2021" customWidth="1"/>
    <col min="259" max="259" width="13" style="2021" customWidth="1"/>
    <col min="260" max="260" width="9" style="2021" customWidth="1"/>
    <col min="261" max="261" width="8.85546875" style="2021" customWidth="1"/>
    <col min="262" max="262" width="13" style="2021" customWidth="1"/>
    <col min="263" max="263" width="14.42578125" style="2021" customWidth="1"/>
    <col min="264" max="264" width="17.42578125" style="2021" customWidth="1"/>
    <col min="265" max="265" width="11.7109375" style="2021" bestFit="1" customWidth="1"/>
    <col min="266" max="266" width="11" style="2021" customWidth="1"/>
    <col min="267" max="509" width="9.140625" style="2021"/>
    <col min="510" max="510" width="17.140625" style="2021" customWidth="1"/>
    <col min="511" max="511" width="1.7109375" style="2021" customWidth="1"/>
    <col min="512" max="512" width="4.7109375" style="2021" customWidth="1"/>
    <col min="513" max="513" width="5.28515625" style="2021" customWidth="1"/>
    <col min="514" max="514" width="3.28515625" style="2021" customWidth="1"/>
    <col min="515" max="515" width="13" style="2021" customWidth="1"/>
    <col min="516" max="516" width="9" style="2021" customWidth="1"/>
    <col min="517" max="517" width="8.85546875" style="2021" customWidth="1"/>
    <col min="518" max="518" width="13" style="2021" customWidth="1"/>
    <col min="519" max="519" width="14.42578125" style="2021" customWidth="1"/>
    <col min="520" max="520" width="17.42578125" style="2021" customWidth="1"/>
    <col min="521" max="521" width="11.7109375" style="2021" bestFit="1" customWidth="1"/>
    <col min="522" max="522" width="11" style="2021" customWidth="1"/>
    <col min="523" max="765" width="9.140625" style="2021"/>
    <col min="766" max="766" width="17.140625" style="2021" customWidth="1"/>
    <col min="767" max="767" width="1.7109375" style="2021" customWidth="1"/>
    <col min="768" max="768" width="4.7109375" style="2021" customWidth="1"/>
    <col min="769" max="769" width="5.28515625" style="2021" customWidth="1"/>
    <col min="770" max="770" width="3.28515625" style="2021" customWidth="1"/>
    <col min="771" max="771" width="13" style="2021" customWidth="1"/>
    <col min="772" max="772" width="9" style="2021" customWidth="1"/>
    <col min="773" max="773" width="8.85546875" style="2021" customWidth="1"/>
    <col min="774" max="774" width="13" style="2021" customWidth="1"/>
    <col min="775" max="775" width="14.42578125" style="2021" customWidth="1"/>
    <col min="776" max="776" width="17.42578125" style="2021" customWidth="1"/>
    <col min="777" max="777" width="11.7109375" style="2021" bestFit="1" customWidth="1"/>
    <col min="778" max="778" width="11" style="2021" customWidth="1"/>
    <col min="779" max="1021" width="9.140625" style="2021"/>
    <col min="1022" max="1022" width="17.140625" style="2021" customWidth="1"/>
    <col min="1023" max="1023" width="1.7109375" style="2021" customWidth="1"/>
    <col min="1024" max="1024" width="4.7109375" style="2021" customWidth="1"/>
    <col min="1025" max="1025" width="5.28515625" style="2021" customWidth="1"/>
    <col min="1026" max="1026" width="3.28515625" style="2021" customWidth="1"/>
    <col min="1027" max="1027" width="13" style="2021" customWidth="1"/>
    <col min="1028" max="1028" width="9" style="2021" customWidth="1"/>
    <col min="1029" max="1029" width="8.85546875" style="2021" customWidth="1"/>
    <col min="1030" max="1030" width="13" style="2021" customWidth="1"/>
    <col min="1031" max="1031" width="14.42578125" style="2021" customWidth="1"/>
    <col min="1032" max="1032" width="17.42578125" style="2021" customWidth="1"/>
    <col min="1033" max="1033" width="11.7109375" style="2021" bestFit="1" customWidth="1"/>
    <col min="1034" max="1034" width="11" style="2021" customWidth="1"/>
    <col min="1035" max="1277" width="9.140625" style="2021"/>
    <col min="1278" max="1278" width="17.140625" style="2021" customWidth="1"/>
    <col min="1279" max="1279" width="1.7109375" style="2021" customWidth="1"/>
    <col min="1280" max="1280" width="4.7109375" style="2021" customWidth="1"/>
    <col min="1281" max="1281" width="5.28515625" style="2021" customWidth="1"/>
    <col min="1282" max="1282" width="3.28515625" style="2021" customWidth="1"/>
    <col min="1283" max="1283" width="13" style="2021" customWidth="1"/>
    <col min="1284" max="1284" width="9" style="2021" customWidth="1"/>
    <col min="1285" max="1285" width="8.85546875" style="2021" customWidth="1"/>
    <col min="1286" max="1286" width="13" style="2021" customWidth="1"/>
    <col min="1287" max="1287" width="14.42578125" style="2021" customWidth="1"/>
    <col min="1288" max="1288" width="17.42578125" style="2021" customWidth="1"/>
    <col min="1289" max="1289" width="11.7109375" style="2021" bestFit="1" customWidth="1"/>
    <col min="1290" max="1290" width="11" style="2021" customWidth="1"/>
    <col min="1291" max="1533" width="9.140625" style="2021"/>
    <col min="1534" max="1534" width="17.140625" style="2021" customWidth="1"/>
    <col min="1535" max="1535" width="1.7109375" style="2021" customWidth="1"/>
    <col min="1536" max="1536" width="4.7109375" style="2021" customWidth="1"/>
    <col min="1537" max="1537" width="5.28515625" style="2021" customWidth="1"/>
    <col min="1538" max="1538" width="3.28515625" style="2021" customWidth="1"/>
    <col min="1539" max="1539" width="13" style="2021" customWidth="1"/>
    <col min="1540" max="1540" width="9" style="2021" customWidth="1"/>
    <col min="1541" max="1541" width="8.85546875" style="2021" customWidth="1"/>
    <col min="1542" max="1542" width="13" style="2021" customWidth="1"/>
    <col min="1543" max="1543" width="14.42578125" style="2021" customWidth="1"/>
    <col min="1544" max="1544" width="17.42578125" style="2021" customWidth="1"/>
    <col min="1545" max="1545" width="11.7109375" style="2021" bestFit="1" customWidth="1"/>
    <col min="1546" max="1546" width="11" style="2021" customWidth="1"/>
    <col min="1547" max="1789" width="9.140625" style="2021"/>
    <col min="1790" max="1790" width="17.140625" style="2021" customWidth="1"/>
    <col min="1791" max="1791" width="1.7109375" style="2021" customWidth="1"/>
    <col min="1792" max="1792" width="4.7109375" style="2021" customWidth="1"/>
    <col min="1793" max="1793" width="5.28515625" style="2021" customWidth="1"/>
    <col min="1794" max="1794" width="3.28515625" style="2021" customWidth="1"/>
    <col min="1795" max="1795" width="13" style="2021" customWidth="1"/>
    <col min="1796" max="1796" width="9" style="2021" customWidth="1"/>
    <col min="1797" max="1797" width="8.85546875" style="2021" customWidth="1"/>
    <col min="1798" max="1798" width="13" style="2021" customWidth="1"/>
    <col min="1799" max="1799" width="14.42578125" style="2021" customWidth="1"/>
    <col min="1800" max="1800" width="17.42578125" style="2021" customWidth="1"/>
    <col min="1801" max="1801" width="11.7109375" style="2021" bestFit="1" customWidth="1"/>
    <col min="1802" max="1802" width="11" style="2021" customWidth="1"/>
    <col min="1803" max="2045" width="9.140625" style="2021"/>
    <col min="2046" max="2046" width="17.140625" style="2021" customWidth="1"/>
    <col min="2047" max="2047" width="1.7109375" style="2021" customWidth="1"/>
    <col min="2048" max="2048" width="4.7109375" style="2021" customWidth="1"/>
    <col min="2049" max="2049" width="5.28515625" style="2021" customWidth="1"/>
    <col min="2050" max="2050" width="3.28515625" style="2021" customWidth="1"/>
    <col min="2051" max="2051" width="13" style="2021" customWidth="1"/>
    <col min="2052" max="2052" width="9" style="2021" customWidth="1"/>
    <col min="2053" max="2053" width="8.85546875" style="2021" customWidth="1"/>
    <col min="2054" max="2054" width="13" style="2021" customWidth="1"/>
    <col min="2055" max="2055" width="14.42578125" style="2021" customWidth="1"/>
    <col min="2056" max="2056" width="17.42578125" style="2021" customWidth="1"/>
    <col min="2057" max="2057" width="11.7109375" style="2021" bestFit="1" customWidth="1"/>
    <col min="2058" max="2058" width="11" style="2021" customWidth="1"/>
    <col min="2059" max="2301" width="9.140625" style="2021"/>
    <col min="2302" max="2302" width="17.140625" style="2021" customWidth="1"/>
    <col min="2303" max="2303" width="1.7109375" style="2021" customWidth="1"/>
    <col min="2304" max="2304" width="4.7109375" style="2021" customWidth="1"/>
    <col min="2305" max="2305" width="5.28515625" style="2021" customWidth="1"/>
    <col min="2306" max="2306" width="3.28515625" style="2021" customWidth="1"/>
    <col min="2307" max="2307" width="13" style="2021" customWidth="1"/>
    <col min="2308" max="2308" width="9" style="2021" customWidth="1"/>
    <col min="2309" max="2309" width="8.85546875" style="2021" customWidth="1"/>
    <col min="2310" max="2310" width="13" style="2021" customWidth="1"/>
    <col min="2311" max="2311" width="14.42578125" style="2021" customWidth="1"/>
    <col min="2312" max="2312" width="17.42578125" style="2021" customWidth="1"/>
    <col min="2313" max="2313" width="11.7109375" style="2021" bestFit="1" customWidth="1"/>
    <col min="2314" max="2314" width="11" style="2021" customWidth="1"/>
    <col min="2315" max="2557" width="9.140625" style="2021"/>
    <col min="2558" max="2558" width="17.140625" style="2021" customWidth="1"/>
    <col min="2559" max="2559" width="1.7109375" style="2021" customWidth="1"/>
    <col min="2560" max="2560" width="4.7109375" style="2021" customWidth="1"/>
    <col min="2561" max="2561" width="5.28515625" style="2021" customWidth="1"/>
    <col min="2562" max="2562" width="3.28515625" style="2021" customWidth="1"/>
    <col min="2563" max="2563" width="13" style="2021" customWidth="1"/>
    <col min="2564" max="2564" width="9" style="2021" customWidth="1"/>
    <col min="2565" max="2565" width="8.85546875" style="2021" customWidth="1"/>
    <col min="2566" max="2566" width="13" style="2021" customWidth="1"/>
    <col min="2567" max="2567" width="14.42578125" style="2021" customWidth="1"/>
    <col min="2568" max="2568" width="17.42578125" style="2021" customWidth="1"/>
    <col min="2569" max="2569" width="11.7109375" style="2021" bestFit="1" customWidth="1"/>
    <col min="2570" max="2570" width="11" style="2021" customWidth="1"/>
    <col min="2571" max="2813" width="9.140625" style="2021"/>
    <col min="2814" max="2814" width="17.140625" style="2021" customWidth="1"/>
    <col min="2815" max="2815" width="1.7109375" style="2021" customWidth="1"/>
    <col min="2816" max="2816" width="4.7109375" style="2021" customWidth="1"/>
    <col min="2817" max="2817" width="5.28515625" style="2021" customWidth="1"/>
    <col min="2818" max="2818" width="3.28515625" style="2021" customWidth="1"/>
    <col min="2819" max="2819" width="13" style="2021" customWidth="1"/>
    <col min="2820" max="2820" width="9" style="2021" customWidth="1"/>
    <col min="2821" max="2821" width="8.85546875" style="2021" customWidth="1"/>
    <col min="2822" max="2822" width="13" style="2021" customWidth="1"/>
    <col min="2823" max="2823" width="14.42578125" style="2021" customWidth="1"/>
    <col min="2824" max="2824" width="17.42578125" style="2021" customWidth="1"/>
    <col min="2825" max="2825" width="11.7109375" style="2021" bestFit="1" customWidth="1"/>
    <col min="2826" max="2826" width="11" style="2021" customWidth="1"/>
    <col min="2827" max="3069" width="9.140625" style="2021"/>
    <col min="3070" max="3070" width="17.140625" style="2021" customWidth="1"/>
    <col min="3071" max="3071" width="1.7109375" style="2021" customWidth="1"/>
    <col min="3072" max="3072" width="4.7109375" style="2021" customWidth="1"/>
    <col min="3073" max="3073" width="5.28515625" style="2021" customWidth="1"/>
    <col min="3074" max="3074" width="3.28515625" style="2021" customWidth="1"/>
    <col min="3075" max="3075" width="13" style="2021" customWidth="1"/>
    <col min="3076" max="3076" width="9" style="2021" customWidth="1"/>
    <col min="3077" max="3077" width="8.85546875" style="2021" customWidth="1"/>
    <col min="3078" max="3078" width="13" style="2021" customWidth="1"/>
    <col min="3079" max="3079" width="14.42578125" style="2021" customWidth="1"/>
    <col min="3080" max="3080" width="17.42578125" style="2021" customWidth="1"/>
    <col min="3081" max="3081" width="11.7109375" style="2021" bestFit="1" customWidth="1"/>
    <col min="3082" max="3082" width="11" style="2021" customWidth="1"/>
    <col min="3083" max="3325" width="9.140625" style="2021"/>
    <col min="3326" max="3326" width="17.140625" style="2021" customWidth="1"/>
    <col min="3327" max="3327" width="1.7109375" style="2021" customWidth="1"/>
    <col min="3328" max="3328" width="4.7109375" style="2021" customWidth="1"/>
    <col min="3329" max="3329" width="5.28515625" style="2021" customWidth="1"/>
    <col min="3330" max="3330" width="3.28515625" style="2021" customWidth="1"/>
    <col min="3331" max="3331" width="13" style="2021" customWidth="1"/>
    <col min="3332" max="3332" width="9" style="2021" customWidth="1"/>
    <col min="3333" max="3333" width="8.85546875" style="2021" customWidth="1"/>
    <col min="3334" max="3334" width="13" style="2021" customWidth="1"/>
    <col min="3335" max="3335" width="14.42578125" style="2021" customWidth="1"/>
    <col min="3336" max="3336" width="17.42578125" style="2021" customWidth="1"/>
    <col min="3337" max="3337" width="11.7109375" style="2021" bestFit="1" customWidth="1"/>
    <col min="3338" max="3338" width="11" style="2021" customWidth="1"/>
    <col min="3339" max="3581" width="9.140625" style="2021"/>
    <col min="3582" max="3582" width="17.140625" style="2021" customWidth="1"/>
    <col min="3583" max="3583" width="1.7109375" style="2021" customWidth="1"/>
    <col min="3584" max="3584" width="4.7109375" style="2021" customWidth="1"/>
    <col min="3585" max="3585" width="5.28515625" style="2021" customWidth="1"/>
    <col min="3586" max="3586" width="3.28515625" style="2021" customWidth="1"/>
    <col min="3587" max="3587" width="13" style="2021" customWidth="1"/>
    <col min="3588" max="3588" width="9" style="2021" customWidth="1"/>
    <col min="3589" max="3589" width="8.85546875" style="2021" customWidth="1"/>
    <col min="3590" max="3590" width="13" style="2021" customWidth="1"/>
    <col min="3591" max="3591" width="14.42578125" style="2021" customWidth="1"/>
    <col min="3592" max="3592" width="17.42578125" style="2021" customWidth="1"/>
    <col min="3593" max="3593" width="11.7109375" style="2021" bestFit="1" customWidth="1"/>
    <col min="3594" max="3594" width="11" style="2021" customWidth="1"/>
    <col min="3595" max="3837" width="9.140625" style="2021"/>
    <col min="3838" max="3838" width="17.140625" style="2021" customWidth="1"/>
    <col min="3839" max="3839" width="1.7109375" style="2021" customWidth="1"/>
    <col min="3840" max="3840" width="4.7109375" style="2021" customWidth="1"/>
    <col min="3841" max="3841" width="5.28515625" style="2021" customWidth="1"/>
    <col min="3842" max="3842" width="3.28515625" style="2021" customWidth="1"/>
    <col min="3843" max="3843" width="13" style="2021" customWidth="1"/>
    <col min="3844" max="3844" width="9" style="2021" customWidth="1"/>
    <col min="3845" max="3845" width="8.85546875" style="2021" customWidth="1"/>
    <col min="3846" max="3846" width="13" style="2021" customWidth="1"/>
    <col min="3847" max="3847" width="14.42578125" style="2021" customWidth="1"/>
    <col min="3848" max="3848" width="17.42578125" style="2021" customWidth="1"/>
    <col min="3849" max="3849" width="11.7109375" style="2021" bestFit="1" customWidth="1"/>
    <col min="3850" max="3850" width="11" style="2021" customWidth="1"/>
    <col min="3851" max="4093" width="9.140625" style="2021"/>
    <col min="4094" max="4094" width="17.140625" style="2021" customWidth="1"/>
    <col min="4095" max="4095" width="1.7109375" style="2021" customWidth="1"/>
    <col min="4096" max="4096" width="4.7109375" style="2021" customWidth="1"/>
    <col min="4097" max="4097" width="5.28515625" style="2021" customWidth="1"/>
    <col min="4098" max="4098" width="3.28515625" style="2021" customWidth="1"/>
    <col min="4099" max="4099" width="13" style="2021" customWidth="1"/>
    <col min="4100" max="4100" width="9" style="2021" customWidth="1"/>
    <col min="4101" max="4101" width="8.85546875" style="2021" customWidth="1"/>
    <col min="4102" max="4102" width="13" style="2021" customWidth="1"/>
    <col min="4103" max="4103" width="14.42578125" style="2021" customWidth="1"/>
    <col min="4104" max="4104" width="17.42578125" style="2021" customWidth="1"/>
    <col min="4105" max="4105" width="11.7109375" style="2021" bestFit="1" customWidth="1"/>
    <col min="4106" max="4106" width="11" style="2021" customWidth="1"/>
    <col min="4107" max="4349" width="9.140625" style="2021"/>
    <col min="4350" max="4350" width="17.140625" style="2021" customWidth="1"/>
    <col min="4351" max="4351" width="1.7109375" style="2021" customWidth="1"/>
    <col min="4352" max="4352" width="4.7109375" style="2021" customWidth="1"/>
    <col min="4353" max="4353" width="5.28515625" style="2021" customWidth="1"/>
    <col min="4354" max="4354" width="3.28515625" style="2021" customWidth="1"/>
    <col min="4355" max="4355" width="13" style="2021" customWidth="1"/>
    <col min="4356" max="4356" width="9" style="2021" customWidth="1"/>
    <col min="4357" max="4357" width="8.85546875" style="2021" customWidth="1"/>
    <col min="4358" max="4358" width="13" style="2021" customWidth="1"/>
    <col min="4359" max="4359" width="14.42578125" style="2021" customWidth="1"/>
    <col min="4360" max="4360" width="17.42578125" style="2021" customWidth="1"/>
    <col min="4361" max="4361" width="11.7109375" style="2021" bestFit="1" customWidth="1"/>
    <col min="4362" max="4362" width="11" style="2021" customWidth="1"/>
    <col min="4363" max="4605" width="9.140625" style="2021"/>
    <col min="4606" max="4606" width="17.140625" style="2021" customWidth="1"/>
    <col min="4607" max="4607" width="1.7109375" style="2021" customWidth="1"/>
    <col min="4608" max="4608" width="4.7109375" style="2021" customWidth="1"/>
    <col min="4609" max="4609" width="5.28515625" style="2021" customWidth="1"/>
    <col min="4610" max="4610" width="3.28515625" style="2021" customWidth="1"/>
    <col min="4611" max="4611" width="13" style="2021" customWidth="1"/>
    <col min="4612" max="4612" width="9" style="2021" customWidth="1"/>
    <col min="4613" max="4613" width="8.85546875" style="2021" customWidth="1"/>
    <col min="4614" max="4614" width="13" style="2021" customWidth="1"/>
    <col min="4615" max="4615" width="14.42578125" style="2021" customWidth="1"/>
    <col min="4616" max="4616" width="17.42578125" style="2021" customWidth="1"/>
    <col min="4617" max="4617" width="11.7109375" style="2021" bestFit="1" customWidth="1"/>
    <col min="4618" max="4618" width="11" style="2021" customWidth="1"/>
    <col min="4619" max="4861" width="9.140625" style="2021"/>
    <col min="4862" max="4862" width="17.140625" style="2021" customWidth="1"/>
    <col min="4863" max="4863" width="1.7109375" style="2021" customWidth="1"/>
    <col min="4864" max="4864" width="4.7109375" style="2021" customWidth="1"/>
    <col min="4865" max="4865" width="5.28515625" style="2021" customWidth="1"/>
    <col min="4866" max="4866" width="3.28515625" style="2021" customWidth="1"/>
    <col min="4867" max="4867" width="13" style="2021" customWidth="1"/>
    <col min="4868" max="4868" width="9" style="2021" customWidth="1"/>
    <col min="4869" max="4869" width="8.85546875" style="2021" customWidth="1"/>
    <col min="4870" max="4870" width="13" style="2021" customWidth="1"/>
    <col min="4871" max="4871" width="14.42578125" style="2021" customWidth="1"/>
    <col min="4872" max="4872" width="17.42578125" style="2021" customWidth="1"/>
    <col min="4873" max="4873" width="11.7109375" style="2021" bestFit="1" customWidth="1"/>
    <col min="4874" max="4874" width="11" style="2021" customWidth="1"/>
    <col min="4875" max="5117" width="9.140625" style="2021"/>
    <col min="5118" max="5118" width="17.140625" style="2021" customWidth="1"/>
    <col min="5119" max="5119" width="1.7109375" style="2021" customWidth="1"/>
    <col min="5120" max="5120" width="4.7109375" style="2021" customWidth="1"/>
    <col min="5121" max="5121" width="5.28515625" style="2021" customWidth="1"/>
    <col min="5122" max="5122" width="3.28515625" style="2021" customWidth="1"/>
    <col min="5123" max="5123" width="13" style="2021" customWidth="1"/>
    <col min="5124" max="5124" width="9" style="2021" customWidth="1"/>
    <col min="5125" max="5125" width="8.85546875" style="2021" customWidth="1"/>
    <col min="5126" max="5126" width="13" style="2021" customWidth="1"/>
    <col min="5127" max="5127" width="14.42578125" style="2021" customWidth="1"/>
    <col min="5128" max="5128" width="17.42578125" style="2021" customWidth="1"/>
    <col min="5129" max="5129" width="11.7109375" style="2021" bestFit="1" customWidth="1"/>
    <col min="5130" max="5130" width="11" style="2021" customWidth="1"/>
    <col min="5131" max="5373" width="9.140625" style="2021"/>
    <col min="5374" max="5374" width="17.140625" style="2021" customWidth="1"/>
    <col min="5375" max="5375" width="1.7109375" style="2021" customWidth="1"/>
    <col min="5376" max="5376" width="4.7109375" style="2021" customWidth="1"/>
    <col min="5377" max="5377" width="5.28515625" style="2021" customWidth="1"/>
    <col min="5378" max="5378" width="3.28515625" style="2021" customWidth="1"/>
    <col min="5379" max="5379" width="13" style="2021" customWidth="1"/>
    <col min="5380" max="5380" width="9" style="2021" customWidth="1"/>
    <col min="5381" max="5381" width="8.85546875" style="2021" customWidth="1"/>
    <col min="5382" max="5382" width="13" style="2021" customWidth="1"/>
    <col min="5383" max="5383" width="14.42578125" style="2021" customWidth="1"/>
    <col min="5384" max="5384" width="17.42578125" style="2021" customWidth="1"/>
    <col min="5385" max="5385" width="11.7109375" style="2021" bestFit="1" customWidth="1"/>
    <col min="5386" max="5386" width="11" style="2021" customWidth="1"/>
    <col min="5387" max="5629" width="9.140625" style="2021"/>
    <col min="5630" max="5630" width="17.140625" style="2021" customWidth="1"/>
    <col min="5631" max="5631" width="1.7109375" style="2021" customWidth="1"/>
    <col min="5632" max="5632" width="4.7109375" style="2021" customWidth="1"/>
    <col min="5633" max="5633" width="5.28515625" style="2021" customWidth="1"/>
    <col min="5634" max="5634" width="3.28515625" style="2021" customWidth="1"/>
    <col min="5635" max="5635" width="13" style="2021" customWidth="1"/>
    <col min="5636" max="5636" width="9" style="2021" customWidth="1"/>
    <col min="5637" max="5637" width="8.85546875" style="2021" customWidth="1"/>
    <col min="5638" max="5638" width="13" style="2021" customWidth="1"/>
    <col min="5639" max="5639" width="14.42578125" style="2021" customWidth="1"/>
    <col min="5640" max="5640" width="17.42578125" style="2021" customWidth="1"/>
    <col min="5641" max="5641" width="11.7109375" style="2021" bestFit="1" customWidth="1"/>
    <col min="5642" max="5642" width="11" style="2021" customWidth="1"/>
    <col min="5643" max="5885" width="9.140625" style="2021"/>
    <col min="5886" max="5886" width="17.140625" style="2021" customWidth="1"/>
    <col min="5887" max="5887" width="1.7109375" style="2021" customWidth="1"/>
    <col min="5888" max="5888" width="4.7109375" style="2021" customWidth="1"/>
    <col min="5889" max="5889" width="5.28515625" style="2021" customWidth="1"/>
    <col min="5890" max="5890" width="3.28515625" style="2021" customWidth="1"/>
    <col min="5891" max="5891" width="13" style="2021" customWidth="1"/>
    <col min="5892" max="5892" width="9" style="2021" customWidth="1"/>
    <col min="5893" max="5893" width="8.85546875" style="2021" customWidth="1"/>
    <col min="5894" max="5894" width="13" style="2021" customWidth="1"/>
    <col min="5895" max="5895" width="14.42578125" style="2021" customWidth="1"/>
    <col min="5896" max="5896" width="17.42578125" style="2021" customWidth="1"/>
    <col min="5897" max="5897" width="11.7109375" style="2021" bestFit="1" customWidth="1"/>
    <col min="5898" max="5898" width="11" style="2021" customWidth="1"/>
    <col min="5899" max="6141" width="9.140625" style="2021"/>
    <col min="6142" max="6142" width="17.140625" style="2021" customWidth="1"/>
    <col min="6143" max="6143" width="1.7109375" style="2021" customWidth="1"/>
    <col min="6144" max="6144" width="4.7109375" style="2021" customWidth="1"/>
    <col min="6145" max="6145" width="5.28515625" style="2021" customWidth="1"/>
    <col min="6146" max="6146" width="3.28515625" style="2021" customWidth="1"/>
    <col min="6147" max="6147" width="13" style="2021" customWidth="1"/>
    <col min="6148" max="6148" width="9" style="2021" customWidth="1"/>
    <col min="6149" max="6149" width="8.85546875" style="2021" customWidth="1"/>
    <col min="6150" max="6150" width="13" style="2021" customWidth="1"/>
    <col min="6151" max="6151" width="14.42578125" style="2021" customWidth="1"/>
    <col min="6152" max="6152" width="17.42578125" style="2021" customWidth="1"/>
    <col min="6153" max="6153" width="11.7109375" style="2021" bestFit="1" customWidth="1"/>
    <col min="6154" max="6154" width="11" style="2021" customWidth="1"/>
    <col min="6155" max="6397" width="9.140625" style="2021"/>
    <col min="6398" max="6398" width="17.140625" style="2021" customWidth="1"/>
    <col min="6399" max="6399" width="1.7109375" style="2021" customWidth="1"/>
    <col min="6400" max="6400" width="4.7109375" style="2021" customWidth="1"/>
    <col min="6401" max="6401" width="5.28515625" style="2021" customWidth="1"/>
    <col min="6402" max="6402" width="3.28515625" style="2021" customWidth="1"/>
    <col min="6403" max="6403" width="13" style="2021" customWidth="1"/>
    <col min="6404" max="6404" width="9" style="2021" customWidth="1"/>
    <col min="6405" max="6405" width="8.85546875" style="2021" customWidth="1"/>
    <col min="6406" max="6406" width="13" style="2021" customWidth="1"/>
    <col min="6407" max="6407" width="14.42578125" style="2021" customWidth="1"/>
    <col min="6408" max="6408" width="17.42578125" style="2021" customWidth="1"/>
    <col min="6409" max="6409" width="11.7109375" style="2021" bestFit="1" customWidth="1"/>
    <col min="6410" max="6410" width="11" style="2021" customWidth="1"/>
    <col min="6411" max="6653" width="9.140625" style="2021"/>
    <col min="6654" max="6654" width="17.140625" style="2021" customWidth="1"/>
    <col min="6655" max="6655" width="1.7109375" style="2021" customWidth="1"/>
    <col min="6656" max="6656" width="4.7109375" style="2021" customWidth="1"/>
    <col min="6657" max="6657" width="5.28515625" style="2021" customWidth="1"/>
    <col min="6658" max="6658" width="3.28515625" style="2021" customWidth="1"/>
    <col min="6659" max="6659" width="13" style="2021" customWidth="1"/>
    <col min="6660" max="6660" width="9" style="2021" customWidth="1"/>
    <col min="6661" max="6661" width="8.85546875" style="2021" customWidth="1"/>
    <col min="6662" max="6662" width="13" style="2021" customWidth="1"/>
    <col min="6663" max="6663" width="14.42578125" style="2021" customWidth="1"/>
    <col min="6664" max="6664" width="17.42578125" style="2021" customWidth="1"/>
    <col min="6665" max="6665" width="11.7109375" style="2021" bestFit="1" customWidth="1"/>
    <col min="6666" max="6666" width="11" style="2021" customWidth="1"/>
    <col min="6667" max="6909" width="9.140625" style="2021"/>
    <col min="6910" max="6910" width="17.140625" style="2021" customWidth="1"/>
    <col min="6911" max="6911" width="1.7109375" style="2021" customWidth="1"/>
    <col min="6912" max="6912" width="4.7109375" style="2021" customWidth="1"/>
    <col min="6913" max="6913" width="5.28515625" style="2021" customWidth="1"/>
    <col min="6914" max="6914" width="3.28515625" style="2021" customWidth="1"/>
    <col min="6915" max="6915" width="13" style="2021" customWidth="1"/>
    <col min="6916" max="6916" width="9" style="2021" customWidth="1"/>
    <col min="6917" max="6917" width="8.85546875" style="2021" customWidth="1"/>
    <col min="6918" max="6918" width="13" style="2021" customWidth="1"/>
    <col min="6919" max="6919" width="14.42578125" style="2021" customWidth="1"/>
    <col min="6920" max="6920" width="17.42578125" style="2021" customWidth="1"/>
    <col min="6921" max="6921" width="11.7109375" style="2021" bestFit="1" customWidth="1"/>
    <col min="6922" max="6922" width="11" style="2021" customWidth="1"/>
    <col min="6923" max="7165" width="9.140625" style="2021"/>
    <col min="7166" max="7166" width="17.140625" style="2021" customWidth="1"/>
    <col min="7167" max="7167" width="1.7109375" style="2021" customWidth="1"/>
    <col min="7168" max="7168" width="4.7109375" style="2021" customWidth="1"/>
    <col min="7169" max="7169" width="5.28515625" style="2021" customWidth="1"/>
    <col min="7170" max="7170" width="3.28515625" style="2021" customWidth="1"/>
    <col min="7171" max="7171" width="13" style="2021" customWidth="1"/>
    <col min="7172" max="7172" width="9" style="2021" customWidth="1"/>
    <col min="7173" max="7173" width="8.85546875" style="2021" customWidth="1"/>
    <col min="7174" max="7174" width="13" style="2021" customWidth="1"/>
    <col min="7175" max="7175" width="14.42578125" style="2021" customWidth="1"/>
    <col min="7176" max="7176" width="17.42578125" style="2021" customWidth="1"/>
    <col min="7177" max="7177" width="11.7109375" style="2021" bestFit="1" customWidth="1"/>
    <col min="7178" max="7178" width="11" style="2021" customWidth="1"/>
    <col min="7179" max="7421" width="9.140625" style="2021"/>
    <col min="7422" max="7422" width="17.140625" style="2021" customWidth="1"/>
    <col min="7423" max="7423" width="1.7109375" style="2021" customWidth="1"/>
    <col min="7424" max="7424" width="4.7109375" style="2021" customWidth="1"/>
    <col min="7425" max="7425" width="5.28515625" style="2021" customWidth="1"/>
    <col min="7426" max="7426" width="3.28515625" style="2021" customWidth="1"/>
    <col min="7427" max="7427" width="13" style="2021" customWidth="1"/>
    <col min="7428" max="7428" width="9" style="2021" customWidth="1"/>
    <col min="7429" max="7429" width="8.85546875" style="2021" customWidth="1"/>
    <col min="7430" max="7430" width="13" style="2021" customWidth="1"/>
    <col min="7431" max="7431" width="14.42578125" style="2021" customWidth="1"/>
    <col min="7432" max="7432" width="17.42578125" style="2021" customWidth="1"/>
    <col min="7433" max="7433" width="11.7109375" style="2021" bestFit="1" customWidth="1"/>
    <col min="7434" max="7434" width="11" style="2021" customWidth="1"/>
    <col min="7435" max="7677" width="9.140625" style="2021"/>
    <col min="7678" max="7678" width="17.140625" style="2021" customWidth="1"/>
    <col min="7679" max="7679" width="1.7109375" style="2021" customWidth="1"/>
    <col min="7680" max="7680" width="4.7109375" style="2021" customWidth="1"/>
    <col min="7681" max="7681" width="5.28515625" style="2021" customWidth="1"/>
    <col min="7682" max="7682" width="3.28515625" style="2021" customWidth="1"/>
    <col min="7683" max="7683" width="13" style="2021" customWidth="1"/>
    <col min="7684" max="7684" width="9" style="2021" customWidth="1"/>
    <col min="7685" max="7685" width="8.85546875" style="2021" customWidth="1"/>
    <col min="7686" max="7686" width="13" style="2021" customWidth="1"/>
    <col min="7687" max="7687" width="14.42578125" style="2021" customWidth="1"/>
    <col min="7688" max="7688" width="17.42578125" style="2021" customWidth="1"/>
    <col min="7689" max="7689" width="11.7109375" style="2021" bestFit="1" customWidth="1"/>
    <col min="7690" max="7690" width="11" style="2021" customWidth="1"/>
    <col min="7691" max="7933" width="9.140625" style="2021"/>
    <col min="7934" max="7934" width="17.140625" style="2021" customWidth="1"/>
    <col min="7935" max="7935" width="1.7109375" style="2021" customWidth="1"/>
    <col min="7936" max="7936" width="4.7109375" style="2021" customWidth="1"/>
    <col min="7937" max="7937" width="5.28515625" style="2021" customWidth="1"/>
    <col min="7938" max="7938" width="3.28515625" style="2021" customWidth="1"/>
    <col min="7939" max="7939" width="13" style="2021" customWidth="1"/>
    <col min="7940" max="7940" width="9" style="2021" customWidth="1"/>
    <col min="7941" max="7941" width="8.85546875" style="2021" customWidth="1"/>
    <col min="7942" max="7942" width="13" style="2021" customWidth="1"/>
    <col min="7943" max="7943" width="14.42578125" style="2021" customWidth="1"/>
    <col min="7944" max="7944" width="17.42578125" style="2021" customWidth="1"/>
    <col min="7945" max="7945" width="11.7109375" style="2021" bestFit="1" customWidth="1"/>
    <col min="7946" max="7946" width="11" style="2021" customWidth="1"/>
    <col min="7947" max="8189" width="9.140625" style="2021"/>
    <col min="8190" max="8190" width="17.140625" style="2021" customWidth="1"/>
    <col min="8191" max="8191" width="1.7109375" style="2021" customWidth="1"/>
    <col min="8192" max="8192" width="4.7109375" style="2021" customWidth="1"/>
    <col min="8193" max="8193" width="5.28515625" style="2021" customWidth="1"/>
    <col min="8194" max="8194" width="3.28515625" style="2021" customWidth="1"/>
    <col min="8195" max="8195" width="13" style="2021" customWidth="1"/>
    <col min="8196" max="8196" width="9" style="2021" customWidth="1"/>
    <col min="8197" max="8197" width="8.85546875" style="2021" customWidth="1"/>
    <col min="8198" max="8198" width="13" style="2021" customWidth="1"/>
    <col min="8199" max="8199" width="14.42578125" style="2021" customWidth="1"/>
    <col min="8200" max="8200" width="17.42578125" style="2021" customWidth="1"/>
    <col min="8201" max="8201" width="11.7109375" style="2021" bestFit="1" customWidth="1"/>
    <col min="8202" max="8202" width="11" style="2021" customWidth="1"/>
    <col min="8203" max="8445" width="9.140625" style="2021"/>
    <col min="8446" max="8446" width="17.140625" style="2021" customWidth="1"/>
    <col min="8447" max="8447" width="1.7109375" style="2021" customWidth="1"/>
    <col min="8448" max="8448" width="4.7109375" style="2021" customWidth="1"/>
    <col min="8449" max="8449" width="5.28515625" style="2021" customWidth="1"/>
    <col min="8450" max="8450" width="3.28515625" style="2021" customWidth="1"/>
    <col min="8451" max="8451" width="13" style="2021" customWidth="1"/>
    <col min="8452" max="8452" width="9" style="2021" customWidth="1"/>
    <col min="8453" max="8453" width="8.85546875" style="2021" customWidth="1"/>
    <col min="8454" max="8454" width="13" style="2021" customWidth="1"/>
    <col min="8455" max="8455" width="14.42578125" style="2021" customWidth="1"/>
    <col min="8456" max="8456" width="17.42578125" style="2021" customWidth="1"/>
    <col min="8457" max="8457" width="11.7109375" style="2021" bestFit="1" customWidth="1"/>
    <col min="8458" max="8458" width="11" style="2021" customWidth="1"/>
    <col min="8459" max="8701" width="9.140625" style="2021"/>
    <col min="8702" max="8702" width="17.140625" style="2021" customWidth="1"/>
    <col min="8703" max="8703" width="1.7109375" style="2021" customWidth="1"/>
    <col min="8704" max="8704" width="4.7109375" style="2021" customWidth="1"/>
    <col min="8705" max="8705" width="5.28515625" style="2021" customWidth="1"/>
    <col min="8706" max="8706" width="3.28515625" style="2021" customWidth="1"/>
    <col min="8707" max="8707" width="13" style="2021" customWidth="1"/>
    <col min="8708" max="8708" width="9" style="2021" customWidth="1"/>
    <col min="8709" max="8709" width="8.85546875" style="2021" customWidth="1"/>
    <col min="8710" max="8710" width="13" style="2021" customWidth="1"/>
    <col min="8711" max="8711" width="14.42578125" style="2021" customWidth="1"/>
    <col min="8712" max="8712" width="17.42578125" style="2021" customWidth="1"/>
    <col min="8713" max="8713" width="11.7109375" style="2021" bestFit="1" customWidth="1"/>
    <col min="8714" max="8714" width="11" style="2021" customWidth="1"/>
    <col min="8715" max="8957" width="9.140625" style="2021"/>
    <col min="8958" max="8958" width="17.140625" style="2021" customWidth="1"/>
    <col min="8959" max="8959" width="1.7109375" style="2021" customWidth="1"/>
    <col min="8960" max="8960" width="4.7109375" style="2021" customWidth="1"/>
    <col min="8961" max="8961" width="5.28515625" style="2021" customWidth="1"/>
    <col min="8962" max="8962" width="3.28515625" style="2021" customWidth="1"/>
    <col min="8963" max="8963" width="13" style="2021" customWidth="1"/>
    <col min="8964" max="8964" width="9" style="2021" customWidth="1"/>
    <col min="8965" max="8965" width="8.85546875" style="2021" customWidth="1"/>
    <col min="8966" max="8966" width="13" style="2021" customWidth="1"/>
    <col min="8967" max="8967" width="14.42578125" style="2021" customWidth="1"/>
    <col min="8968" max="8968" width="17.42578125" style="2021" customWidth="1"/>
    <col min="8969" max="8969" width="11.7109375" style="2021" bestFit="1" customWidth="1"/>
    <col min="8970" max="8970" width="11" style="2021" customWidth="1"/>
    <col min="8971" max="9213" width="9.140625" style="2021"/>
    <col min="9214" max="9214" width="17.140625" style="2021" customWidth="1"/>
    <col min="9215" max="9215" width="1.7109375" style="2021" customWidth="1"/>
    <col min="9216" max="9216" width="4.7109375" style="2021" customWidth="1"/>
    <col min="9217" max="9217" width="5.28515625" style="2021" customWidth="1"/>
    <col min="9218" max="9218" width="3.28515625" style="2021" customWidth="1"/>
    <col min="9219" max="9219" width="13" style="2021" customWidth="1"/>
    <col min="9220" max="9220" width="9" style="2021" customWidth="1"/>
    <col min="9221" max="9221" width="8.85546875" style="2021" customWidth="1"/>
    <col min="9222" max="9222" width="13" style="2021" customWidth="1"/>
    <col min="9223" max="9223" width="14.42578125" style="2021" customWidth="1"/>
    <col min="9224" max="9224" width="17.42578125" style="2021" customWidth="1"/>
    <col min="9225" max="9225" width="11.7109375" style="2021" bestFit="1" customWidth="1"/>
    <col min="9226" max="9226" width="11" style="2021" customWidth="1"/>
    <col min="9227" max="9469" width="9.140625" style="2021"/>
    <col min="9470" max="9470" width="17.140625" style="2021" customWidth="1"/>
    <col min="9471" max="9471" width="1.7109375" style="2021" customWidth="1"/>
    <col min="9472" max="9472" width="4.7109375" style="2021" customWidth="1"/>
    <col min="9473" max="9473" width="5.28515625" style="2021" customWidth="1"/>
    <col min="9474" max="9474" width="3.28515625" style="2021" customWidth="1"/>
    <col min="9475" max="9475" width="13" style="2021" customWidth="1"/>
    <col min="9476" max="9476" width="9" style="2021" customWidth="1"/>
    <col min="9477" max="9477" width="8.85546875" style="2021" customWidth="1"/>
    <col min="9478" max="9478" width="13" style="2021" customWidth="1"/>
    <col min="9479" max="9479" width="14.42578125" style="2021" customWidth="1"/>
    <col min="9480" max="9480" width="17.42578125" style="2021" customWidth="1"/>
    <col min="9481" max="9481" width="11.7109375" style="2021" bestFit="1" customWidth="1"/>
    <col min="9482" max="9482" width="11" style="2021" customWidth="1"/>
    <col min="9483" max="9725" width="9.140625" style="2021"/>
    <col min="9726" max="9726" width="17.140625" style="2021" customWidth="1"/>
    <col min="9727" max="9727" width="1.7109375" style="2021" customWidth="1"/>
    <col min="9728" max="9728" width="4.7109375" style="2021" customWidth="1"/>
    <col min="9729" max="9729" width="5.28515625" style="2021" customWidth="1"/>
    <col min="9730" max="9730" width="3.28515625" style="2021" customWidth="1"/>
    <col min="9731" max="9731" width="13" style="2021" customWidth="1"/>
    <col min="9732" max="9732" width="9" style="2021" customWidth="1"/>
    <col min="9733" max="9733" width="8.85546875" style="2021" customWidth="1"/>
    <col min="9734" max="9734" width="13" style="2021" customWidth="1"/>
    <col min="9735" max="9735" width="14.42578125" style="2021" customWidth="1"/>
    <col min="9736" max="9736" width="17.42578125" style="2021" customWidth="1"/>
    <col min="9737" max="9737" width="11.7109375" style="2021" bestFit="1" customWidth="1"/>
    <col min="9738" max="9738" width="11" style="2021" customWidth="1"/>
    <col min="9739" max="9981" width="9.140625" style="2021"/>
    <col min="9982" max="9982" width="17.140625" style="2021" customWidth="1"/>
    <col min="9983" max="9983" width="1.7109375" style="2021" customWidth="1"/>
    <col min="9984" max="9984" width="4.7109375" style="2021" customWidth="1"/>
    <col min="9985" max="9985" width="5.28515625" style="2021" customWidth="1"/>
    <col min="9986" max="9986" width="3.28515625" style="2021" customWidth="1"/>
    <col min="9987" max="9987" width="13" style="2021" customWidth="1"/>
    <col min="9988" max="9988" width="9" style="2021" customWidth="1"/>
    <col min="9989" max="9989" width="8.85546875" style="2021" customWidth="1"/>
    <col min="9990" max="9990" width="13" style="2021" customWidth="1"/>
    <col min="9991" max="9991" width="14.42578125" style="2021" customWidth="1"/>
    <col min="9992" max="9992" width="17.42578125" style="2021" customWidth="1"/>
    <col min="9993" max="9993" width="11.7109375" style="2021" bestFit="1" customWidth="1"/>
    <col min="9994" max="9994" width="11" style="2021" customWidth="1"/>
    <col min="9995" max="10237" width="9.140625" style="2021"/>
    <col min="10238" max="10238" width="17.140625" style="2021" customWidth="1"/>
    <col min="10239" max="10239" width="1.7109375" style="2021" customWidth="1"/>
    <col min="10240" max="10240" width="4.7109375" style="2021" customWidth="1"/>
    <col min="10241" max="10241" width="5.28515625" style="2021" customWidth="1"/>
    <col min="10242" max="10242" width="3.28515625" style="2021" customWidth="1"/>
    <col min="10243" max="10243" width="13" style="2021" customWidth="1"/>
    <col min="10244" max="10244" width="9" style="2021" customWidth="1"/>
    <col min="10245" max="10245" width="8.85546875" style="2021" customWidth="1"/>
    <col min="10246" max="10246" width="13" style="2021" customWidth="1"/>
    <col min="10247" max="10247" width="14.42578125" style="2021" customWidth="1"/>
    <col min="10248" max="10248" width="17.42578125" style="2021" customWidth="1"/>
    <col min="10249" max="10249" width="11.7109375" style="2021" bestFit="1" customWidth="1"/>
    <col min="10250" max="10250" width="11" style="2021" customWidth="1"/>
    <col min="10251" max="10493" width="9.140625" style="2021"/>
    <col min="10494" max="10494" width="17.140625" style="2021" customWidth="1"/>
    <col min="10495" max="10495" width="1.7109375" style="2021" customWidth="1"/>
    <col min="10496" max="10496" width="4.7109375" style="2021" customWidth="1"/>
    <col min="10497" max="10497" width="5.28515625" style="2021" customWidth="1"/>
    <col min="10498" max="10498" width="3.28515625" style="2021" customWidth="1"/>
    <col min="10499" max="10499" width="13" style="2021" customWidth="1"/>
    <col min="10500" max="10500" width="9" style="2021" customWidth="1"/>
    <col min="10501" max="10501" width="8.85546875" style="2021" customWidth="1"/>
    <col min="10502" max="10502" width="13" style="2021" customWidth="1"/>
    <col min="10503" max="10503" width="14.42578125" style="2021" customWidth="1"/>
    <col min="10504" max="10504" width="17.42578125" style="2021" customWidth="1"/>
    <col min="10505" max="10505" width="11.7109375" style="2021" bestFit="1" customWidth="1"/>
    <col min="10506" max="10506" width="11" style="2021" customWidth="1"/>
    <col min="10507" max="10749" width="9.140625" style="2021"/>
    <col min="10750" max="10750" width="17.140625" style="2021" customWidth="1"/>
    <col min="10751" max="10751" width="1.7109375" style="2021" customWidth="1"/>
    <col min="10752" max="10752" width="4.7109375" style="2021" customWidth="1"/>
    <col min="10753" max="10753" width="5.28515625" style="2021" customWidth="1"/>
    <col min="10754" max="10754" width="3.28515625" style="2021" customWidth="1"/>
    <col min="10755" max="10755" width="13" style="2021" customWidth="1"/>
    <col min="10756" max="10756" width="9" style="2021" customWidth="1"/>
    <col min="10757" max="10757" width="8.85546875" style="2021" customWidth="1"/>
    <col min="10758" max="10758" width="13" style="2021" customWidth="1"/>
    <col min="10759" max="10759" width="14.42578125" style="2021" customWidth="1"/>
    <col min="10760" max="10760" width="17.42578125" style="2021" customWidth="1"/>
    <col min="10761" max="10761" width="11.7109375" style="2021" bestFit="1" customWidth="1"/>
    <col min="10762" max="10762" width="11" style="2021" customWidth="1"/>
    <col min="10763" max="11005" width="9.140625" style="2021"/>
    <col min="11006" max="11006" width="17.140625" style="2021" customWidth="1"/>
    <col min="11007" max="11007" width="1.7109375" style="2021" customWidth="1"/>
    <col min="11008" max="11008" width="4.7109375" style="2021" customWidth="1"/>
    <col min="11009" max="11009" width="5.28515625" style="2021" customWidth="1"/>
    <col min="11010" max="11010" width="3.28515625" style="2021" customWidth="1"/>
    <col min="11011" max="11011" width="13" style="2021" customWidth="1"/>
    <col min="11012" max="11012" width="9" style="2021" customWidth="1"/>
    <col min="11013" max="11013" width="8.85546875" style="2021" customWidth="1"/>
    <col min="11014" max="11014" width="13" style="2021" customWidth="1"/>
    <col min="11015" max="11015" width="14.42578125" style="2021" customWidth="1"/>
    <col min="11016" max="11016" width="17.42578125" style="2021" customWidth="1"/>
    <col min="11017" max="11017" width="11.7109375" style="2021" bestFit="1" customWidth="1"/>
    <col min="11018" max="11018" width="11" style="2021" customWidth="1"/>
    <col min="11019" max="11261" width="9.140625" style="2021"/>
    <col min="11262" max="11262" width="17.140625" style="2021" customWidth="1"/>
    <col min="11263" max="11263" width="1.7109375" style="2021" customWidth="1"/>
    <col min="11264" max="11264" width="4.7109375" style="2021" customWidth="1"/>
    <col min="11265" max="11265" width="5.28515625" style="2021" customWidth="1"/>
    <col min="11266" max="11266" width="3.28515625" style="2021" customWidth="1"/>
    <col min="11267" max="11267" width="13" style="2021" customWidth="1"/>
    <col min="11268" max="11268" width="9" style="2021" customWidth="1"/>
    <col min="11269" max="11269" width="8.85546875" style="2021" customWidth="1"/>
    <col min="11270" max="11270" width="13" style="2021" customWidth="1"/>
    <col min="11271" max="11271" width="14.42578125" style="2021" customWidth="1"/>
    <col min="11272" max="11272" width="17.42578125" style="2021" customWidth="1"/>
    <col min="11273" max="11273" width="11.7109375" style="2021" bestFit="1" customWidth="1"/>
    <col min="11274" max="11274" width="11" style="2021" customWidth="1"/>
    <col min="11275" max="11517" width="9.140625" style="2021"/>
    <col min="11518" max="11518" width="17.140625" style="2021" customWidth="1"/>
    <col min="11519" max="11519" width="1.7109375" style="2021" customWidth="1"/>
    <col min="11520" max="11520" width="4.7109375" style="2021" customWidth="1"/>
    <col min="11521" max="11521" width="5.28515625" style="2021" customWidth="1"/>
    <col min="11522" max="11522" width="3.28515625" style="2021" customWidth="1"/>
    <col min="11523" max="11523" width="13" style="2021" customWidth="1"/>
    <col min="11524" max="11524" width="9" style="2021" customWidth="1"/>
    <col min="11525" max="11525" width="8.85546875" style="2021" customWidth="1"/>
    <col min="11526" max="11526" width="13" style="2021" customWidth="1"/>
    <col min="11527" max="11527" width="14.42578125" style="2021" customWidth="1"/>
    <col min="11528" max="11528" width="17.42578125" style="2021" customWidth="1"/>
    <col min="11529" max="11529" width="11.7109375" style="2021" bestFit="1" customWidth="1"/>
    <col min="11530" max="11530" width="11" style="2021" customWidth="1"/>
    <col min="11531" max="11773" width="9.140625" style="2021"/>
    <col min="11774" max="11774" width="17.140625" style="2021" customWidth="1"/>
    <col min="11775" max="11775" width="1.7109375" style="2021" customWidth="1"/>
    <col min="11776" max="11776" width="4.7109375" style="2021" customWidth="1"/>
    <col min="11777" max="11777" width="5.28515625" style="2021" customWidth="1"/>
    <col min="11778" max="11778" width="3.28515625" style="2021" customWidth="1"/>
    <col min="11779" max="11779" width="13" style="2021" customWidth="1"/>
    <col min="11780" max="11780" width="9" style="2021" customWidth="1"/>
    <col min="11781" max="11781" width="8.85546875" style="2021" customWidth="1"/>
    <col min="11782" max="11782" width="13" style="2021" customWidth="1"/>
    <col min="11783" max="11783" width="14.42578125" style="2021" customWidth="1"/>
    <col min="11784" max="11784" width="17.42578125" style="2021" customWidth="1"/>
    <col min="11785" max="11785" width="11.7109375" style="2021" bestFit="1" customWidth="1"/>
    <col min="11786" max="11786" width="11" style="2021" customWidth="1"/>
    <col min="11787" max="12029" width="9.140625" style="2021"/>
    <col min="12030" max="12030" width="17.140625" style="2021" customWidth="1"/>
    <col min="12031" max="12031" width="1.7109375" style="2021" customWidth="1"/>
    <col min="12032" max="12032" width="4.7109375" style="2021" customWidth="1"/>
    <col min="12033" max="12033" width="5.28515625" style="2021" customWidth="1"/>
    <col min="12034" max="12034" width="3.28515625" style="2021" customWidth="1"/>
    <col min="12035" max="12035" width="13" style="2021" customWidth="1"/>
    <col min="12036" max="12036" width="9" style="2021" customWidth="1"/>
    <col min="12037" max="12037" width="8.85546875" style="2021" customWidth="1"/>
    <col min="12038" max="12038" width="13" style="2021" customWidth="1"/>
    <col min="12039" max="12039" width="14.42578125" style="2021" customWidth="1"/>
    <col min="12040" max="12040" width="17.42578125" style="2021" customWidth="1"/>
    <col min="12041" max="12041" width="11.7109375" style="2021" bestFit="1" customWidth="1"/>
    <col min="12042" max="12042" width="11" style="2021" customWidth="1"/>
    <col min="12043" max="12285" width="9.140625" style="2021"/>
    <col min="12286" max="12286" width="17.140625" style="2021" customWidth="1"/>
    <col min="12287" max="12287" width="1.7109375" style="2021" customWidth="1"/>
    <col min="12288" max="12288" width="4.7109375" style="2021" customWidth="1"/>
    <col min="12289" max="12289" width="5.28515625" style="2021" customWidth="1"/>
    <col min="12290" max="12290" width="3.28515625" style="2021" customWidth="1"/>
    <col min="12291" max="12291" width="13" style="2021" customWidth="1"/>
    <col min="12292" max="12292" width="9" style="2021" customWidth="1"/>
    <col min="12293" max="12293" width="8.85546875" style="2021" customWidth="1"/>
    <col min="12294" max="12294" width="13" style="2021" customWidth="1"/>
    <col min="12295" max="12295" width="14.42578125" style="2021" customWidth="1"/>
    <col min="12296" max="12296" width="17.42578125" style="2021" customWidth="1"/>
    <col min="12297" max="12297" width="11.7109375" style="2021" bestFit="1" customWidth="1"/>
    <col min="12298" max="12298" width="11" style="2021" customWidth="1"/>
    <col min="12299" max="12541" width="9.140625" style="2021"/>
    <col min="12542" max="12542" width="17.140625" style="2021" customWidth="1"/>
    <col min="12543" max="12543" width="1.7109375" style="2021" customWidth="1"/>
    <col min="12544" max="12544" width="4.7109375" style="2021" customWidth="1"/>
    <col min="12545" max="12545" width="5.28515625" style="2021" customWidth="1"/>
    <col min="12546" max="12546" width="3.28515625" style="2021" customWidth="1"/>
    <col min="12547" max="12547" width="13" style="2021" customWidth="1"/>
    <col min="12548" max="12548" width="9" style="2021" customWidth="1"/>
    <col min="12549" max="12549" width="8.85546875" style="2021" customWidth="1"/>
    <col min="12550" max="12550" width="13" style="2021" customWidth="1"/>
    <col min="12551" max="12551" width="14.42578125" style="2021" customWidth="1"/>
    <col min="12552" max="12552" width="17.42578125" style="2021" customWidth="1"/>
    <col min="12553" max="12553" width="11.7109375" style="2021" bestFit="1" customWidth="1"/>
    <col min="12554" max="12554" width="11" style="2021" customWidth="1"/>
    <col min="12555" max="12797" width="9.140625" style="2021"/>
    <col min="12798" max="12798" width="17.140625" style="2021" customWidth="1"/>
    <col min="12799" max="12799" width="1.7109375" style="2021" customWidth="1"/>
    <col min="12800" max="12800" width="4.7109375" style="2021" customWidth="1"/>
    <col min="12801" max="12801" width="5.28515625" style="2021" customWidth="1"/>
    <col min="12802" max="12802" width="3.28515625" style="2021" customWidth="1"/>
    <col min="12803" max="12803" width="13" style="2021" customWidth="1"/>
    <col min="12804" max="12804" width="9" style="2021" customWidth="1"/>
    <col min="12805" max="12805" width="8.85546875" style="2021" customWidth="1"/>
    <col min="12806" max="12806" width="13" style="2021" customWidth="1"/>
    <col min="12807" max="12807" width="14.42578125" style="2021" customWidth="1"/>
    <col min="12808" max="12808" width="17.42578125" style="2021" customWidth="1"/>
    <col min="12809" max="12809" width="11.7109375" style="2021" bestFit="1" customWidth="1"/>
    <col min="12810" max="12810" width="11" style="2021" customWidth="1"/>
    <col min="12811" max="13053" width="9.140625" style="2021"/>
    <col min="13054" max="13054" width="17.140625" style="2021" customWidth="1"/>
    <col min="13055" max="13055" width="1.7109375" style="2021" customWidth="1"/>
    <col min="13056" max="13056" width="4.7109375" style="2021" customWidth="1"/>
    <col min="13057" max="13057" width="5.28515625" style="2021" customWidth="1"/>
    <col min="13058" max="13058" width="3.28515625" style="2021" customWidth="1"/>
    <col min="13059" max="13059" width="13" style="2021" customWidth="1"/>
    <col min="13060" max="13060" width="9" style="2021" customWidth="1"/>
    <col min="13061" max="13061" width="8.85546875" style="2021" customWidth="1"/>
    <col min="13062" max="13062" width="13" style="2021" customWidth="1"/>
    <col min="13063" max="13063" width="14.42578125" style="2021" customWidth="1"/>
    <col min="13064" max="13064" width="17.42578125" style="2021" customWidth="1"/>
    <col min="13065" max="13065" width="11.7109375" style="2021" bestFit="1" customWidth="1"/>
    <col min="13066" max="13066" width="11" style="2021" customWidth="1"/>
    <col min="13067" max="13309" width="9.140625" style="2021"/>
    <col min="13310" max="13310" width="17.140625" style="2021" customWidth="1"/>
    <col min="13311" max="13311" width="1.7109375" style="2021" customWidth="1"/>
    <col min="13312" max="13312" width="4.7109375" style="2021" customWidth="1"/>
    <col min="13313" max="13313" width="5.28515625" style="2021" customWidth="1"/>
    <col min="13314" max="13314" width="3.28515625" style="2021" customWidth="1"/>
    <col min="13315" max="13315" width="13" style="2021" customWidth="1"/>
    <col min="13316" max="13316" width="9" style="2021" customWidth="1"/>
    <col min="13317" max="13317" width="8.85546875" style="2021" customWidth="1"/>
    <col min="13318" max="13318" width="13" style="2021" customWidth="1"/>
    <col min="13319" max="13319" width="14.42578125" style="2021" customWidth="1"/>
    <col min="13320" max="13320" width="17.42578125" style="2021" customWidth="1"/>
    <col min="13321" max="13321" width="11.7109375" style="2021" bestFit="1" customWidth="1"/>
    <col min="13322" max="13322" width="11" style="2021" customWidth="1"/>
    <col min="13323" max="13565" width="9.140625" style="2021"/>
    <col min="13566" max="13566" width="17.140625" style="2021" customWidth="1"/>
    <col min="13567" max="13567" width="1.7109375" style="2021" customWidth="1"/>
    <col min="13568" max="13568" width="4.7109375" style="2021" customWidth="1"/>
    <col min="13569" max="13569" width="5.28515625" style="2021" customWidth="1"/>
    <col min="13570" max="13570" width="3.28515625" style="2021" customWidth="1"/>
    <col min="13571" max="13571" width="13" style="2021" customWidth="1"/>
    <col min="13572" max="13572" width="9" style="2021" customWidth="1"/>
    <col min="13573" max="13573" width="8.85546875" style="2021" customWidth="1"/>
    <col min="13574" max="13574" width="13" style="2021" customWidth="1"/>
    <col min="13575" max="13575" width="14.42578125" style="2021" customWidth="1"/>
    <col min="13576" max="13576" width="17.42578125" style="2021" customWidth="1"/>
    <col min="13577" max="13577" width="11.7109375" style="2021" bestFit="1" customWidth="1"/>
    <col min="13578" max="13578" width="11" style="2021" customWidth="1"/>
    <col min="13579" max="13821" width="9.140625" style="2021"/>
    <col min="13822" max="13822" width="17.140625" style="2021" customWidth="1"/>
    <col min="13823" max="13823" width="1.7109375" style="2021" customWidth="1"/>
    <col min="13824" max="13824" width="4.7109375" style="2021" customWidth="1"/>
    <col min="13825" max="13825" width="5.28515625" style="2021" customWidth="1"/>
    <col min="13826" max="13826" width="3.28515625" style="2021" customWidth="1"/>
    <col min="13827" max="13827" width="13" style="2021" customWidth="1"/>
    <col min="13828" max="13828" width="9" style="2021" customWidth="1"/>
    <col min="13829" max="13829" width="8.85546875" style="2021" customWidth="1"/>
    <col min="13830" max="13830" width="13" style="2021" customWidth="1"/>
    <col min="13831" max="13831" width="14.42578125" style="2021" customWidth="1"/>
    <col min="13832" max="13832" width="17.42578125" style="2021" customWidth="1"/>
    <col min="13833" max="13833" width="11.7109375" style="2021" bestFit="1" customWidth="1"/>
    <col min="13834" max="13834" width="11" style="2021" customWidth="1"/>
    <col min="13835" max="14077" width="9.140625" style="2021"/>
    <col min="14078" max="14078" width="17.140625" style="2021" customWidth="1"/>
    <col min="14079" max="14079" width="1.7109375" style="2021" customWidth="1"/>
    <col min="14080" max="14080" width="4.7109375" style="2021" customWidth="1"/>
    <col min="14081" max="14081" width="5.28515625" style="2021" customWidth="1"/>
    <col min="14082" max="14082" width="3.28515625" style="2021" customWidth="1"/>
    <col min="14083" max="14083" width="13" style="2021" customWidth="1"/>
    <col min="14084" max="14084" width="9" style="2021" customWidth="1"/>
    <col min="14085" max="14085" width="8.85546875" style="2021" customWidth="1"/>
    <col min="14086" max="14086" width="13" style="2021" customWidth="1"/>
    <col min="14087" max="14087" width="14.42578125" style="2021" customWidth="1"/>
    <col min="14088" max="14088" width="17.42578125" style="2021" customWidth="1"/>
    <col min="14089" max="14089" width="11.7109375" style="2021" bestFit="1" customWidth="1"/>
    <col min="14090" max="14090" width="11" style="2021" customWidth="1"/>
    <col min="14091" max="14333" width="9.140625" style="2021"/>
    <col min="14334" max="14334" width="17.140625" style="2021" customWidth="1"/>
    <col min="14335" max="14335" width="1.7109375" style="2021" customWidth="1"/>
    <col min="14336" max="14336" width="4.7109375" style="2021" customWidth="1"/>
    <col min="14337" max="14337" width="5.28515625" style="2021" customWidth="1"/>
    <col min="14338" max="14338" width="3.28515625" style="2021" customWidth="1"/>
    <col min="14339" max="14339" width="13" style="2021" customWidth="1"/>
    <col min="14340" max="14340" width="9" style="2021" customWidth="1"/>
    <col min="14341" max="14341" width="8.85546875" style="2021" customWidth="1"/>
    <col min="14342" max="14342" width="13" style="2021" customWidth="1"/>
    <col min="14343" max="14343" width="14.42578125" style="2021" customWidth="1"/>
    <col min="14344" max="14344" width="17.42578125" style="2021" customWidth="1"/>
    <col min="14345" max="14345" width="11.7109375" style="2021" bestFit="1" customWidth="1"/>
    <col min="14346" max="14346" width="11" style="2021" customWidth="1"/>
    <col min="14347" max="14589" width="9.140625" style="2021"/>
    <col min="14590" max="14590" width="17.140625" style="2021" customWidth="1"/>
    <col min="14591" max="14591" width="1.7109375" style="2021" customWidth="1"/>
    <col min="14592" max="14592" width="4.7109375" style="2021" customWidth="1"/>
    <col min="14593" max="14593" width="5.28515625" style="2021" customWidth="1"/>
    <col min="14594" max="14594" width="3.28515625" style="2021" customWidth="1"/>
    <col min="14595" max="14595" width="13" style="2021" customWidth="1"/>
    <col min="14596" max="14596" width="9" style="2021" customWidth="1"/>
    <col min="14597" max="14597" width="8.85546875" style="2021" customWidth="1"/>
    <col min="14598" max="14598" width="13" style="2021" customWidth="1"/>
    <col min="14599" max="14599" width="14.42578125" style="2021" customWidth="1"/>
    <col min="14600" max="14600" width="17.42578125" style="2021" customWidth="1"/>
    <col min="14601" max="14601" width="11.7109375" style="2021" bestFit="1" customWidth="1"/>
    <col min="14602" max="14602" width="11" style="2021" customWidth="1"/>
    <col min="14603" max="14845" width="9.140625" style="2021"/>
    <col min="14846" max="14846" width="17.140625" style="2021" customWidth="1"/>
    <col min="14847" max="14847" width="1.7109375" style="2021" customWidth="1"/>
    <col min="14848" max="14848" width="4.7109375" style="2021" customWidth="1"/>
    <col min="14849" max="14849" width="5.28515625" style="2021" customWidth="1"/>
    <col min="14850" max="14850" width="3.28515625" style="2021" customWidth="1"/>
    <col min="14851" max="14851" width="13" style="2021" customWidth="1"/>
    <col min="14852" max="14852" width="9" style="2021" customWidth="1"/>
    <col min="14853" max="14853" width="8.85546875" style="2021" customWidth="1"/>
    <col min="14854" max="14854" width="13" style="2021" customWidth="1"/>
    <col min="14855" max="14855" width="14.42578125" style="2021" customWidth="1"/>
    <col min="14856" max="14856" width="17.42578125" style="2021" customWidth="1"/>
    <col min="14857" max="14857" width="11.7109375" style="2021" bestFit="1" customWidth="1"/>
    <col min="14858" max="14858" width="11" style="2021" customWidth="1"/>
    <col min="14859" max="15101" width="9.140625" style="2021"/>
    <col min="15102" max="15102" width="17.140625" style="2021" customWidth="1"/>
    <col min="15103" max="15103" width="1.7109375" style="2021" customWidth="1"/>
    <col min="15104" max="15104" width="4.7109375" style="2021" customWidth="1"/>
    <col min="15105" max="15105" width="5.28515625" style="2021" customWidth="1"/>
    <col min="15106" max="15106" width="3.28515625" style="2021" customWidth="1"/>
    <col min="15107" max="15107" width="13" style="2021" customWidth="1"/>
    <col min="15108" max="15108" width="9" style="2021" customWidth="1"/>
    <col min="15109" max="15109" width="8.85546875" style="2021" customWidth="1"/>
    <col min="15110" max="15110" width="13" style="2021" customWidth="1"/>
    <col min="15111" max="15111" width="14.42578125" style="2021" customWidth="1"/>
    <col min="15112" max="15112" width="17.42578125" style="2021" customWidth="1"/>
    <col min="15113" max="15113" width="11.7109375" style="2021" bestFit="1" customWidth="1"/>
    <col min="15114" max="15114" width="11" style="2021" customWidth="1"/>
    <col min="15115" max="15357" width="9.140625" style="2021"/>
    <col min="15358" max="15358" width="17.140625" style="2021" customWidth="1"/>
    <col min="15359" max="15359" width="1.7109375" style="2021" customWidth="1"/>
    <col min="15360" max="15360" width="4.7109375" style="2021" customWidth="1"/>
    <col min="15361" max="15361" width="5.28515625" style="2021" customWidth="1"/>
    <col min="15362" max="15362" width="3.28515625" style="2021" customWidth="1"/>
    <col min="15363" max="15363" width="13" style="2021" customWidth="1"/>
    <col min="15364" max="15364" width="9" style="2021" customWidth="1"/>
    <col min="15365" max="15365" width="8.85546875" style="2021" customWidth="1"/>
    <col min="15366" max="15366" width="13" style="2021" customWidth="1"/>
    <col min="15367" max="15367" width="14.42578125" style="2021" customWidth="1"/>
    <col min="15368" max="15368" width="17.42578125" style="2021" customWidth="1"/>
    <col min="15369" max="15369" width="11.7109375" style="2021" bestFit="1" customWidth="1"/>
    <col min="15370" max="15370" width="11" style="2021" customWidth="1"/>
    <col min="15371" max="15613" width="9.140625" style="2021"/>
    <col min="15614" max="15614" width="17.140625" style="2021" customWidth="1"/>
    <col min="15615" max="15615" width="1.7109375" style="2021" customWidth="1"/>
    <col min="15616" max="15616" width="4.7109375" style="2021" customWidth="1"/>
    <col min="15617" max="15617" width="5.28515625" style="2021" customWidth="1"/>
    <col min="15618" max="15618" width="3.28515625" style="2021" customWidth="1"/>
    <col min="15619" max="15619" width="13" style="2021" customWidth="1"/>
    <col min="15620" max="15620" width="9" style="2021" customWidth="1"/>
    <col min="15621" max="15621" width="8.85546875" style="2021" customWidth="1"/>
    <col min="15622" max="15622" width="13" style="2021" customWidth="1"/>
    <col min="15623" max="15623" width="14.42578125" style="2021" customWidth="1"/>
    <col min="15624" max="15624" width="17.42578125" style="2021" customWidth="1"/>
    <col min="15625" max="15625" width="11.7109375" style="2021" bestFit="1" customWidth="1"/>
    <col min="15626" max="15626" width="11" style="2021" customWidth="1"/>
    <col min="15627" max="15869" width="9.140625" style="2021"/>
    <col min="15870" max="15870" width="17.140625" style="2021" customWidth="1"/>
    <col min="15871" max="15871" width="1.7109375" style="2021" customWidth="1"/>
    <col min="15872" max="15872" width="4.7109375" style="2021" customWidth="1"/>
    <col min="15873" max="15873" width="5.28515625" style="2021" customWidth="1"/>
    <col min="15874" max="15874" width="3.28515625" style="2021" customWidth="1"/>
    <col min="15875" max="15875" width="13" style="2021" customWidth="1"/>
    <col min="15876" max="15876" width="9" style="2021" customWidth="1"/>
    <col min="15877" max="15877" width="8.85546875" style="2021" customWidth="1"/>
    <col min="15878" max="15878" width="13" style="2021" customWidth="1"/>
    <col min="15879" max="15879" width="14.42578125" style="2021" customWidth="1"/>
    <col min="15880" max="15880" width="17.42578125" style="2021" customWidth="1"/>
    <col min="15881" max="15881" width="11.7109375" style="2021" bestFit="1" customWidth="1"/>
    <col min="15882" max="15882" width="11" style="2021" customWidth="1"/>
    <col min="15883" max="16125" width="9.140625" style="2021"/>
    <col min="16126" max="16126" width="17.140625" style="2021" customWidth="1"/>
    <col min="16127" max="16127" width="1.7109375" style="2021" customWidth="1"/>
    <col min="16128" max="16128" width="4.7109375" style="2021" customWidth="1"/>
    <col min="16129" max="16129" width="5.28515625" style="2021" customWidth="1"/>
    <col min="16130" max="16130" width="3.28515625" style="2021" customWidth="1"/>
    <col min="16131" max="16131" width="13" style="2021" customWidth="1"/>
    <col min="16132" max="16132" width="9" style="2021" customWidth="1"/>
    <col min="16133" max="16133" width="8.85546875" style="2021" customWidth="1"/>
    <col min="16134" max="16134" width="13" style="2021" customWidth="1"/>
    <col min="16135" max="16135" width="14.42578125" style="2021" customWidth="1"/>
    <col min="16136" max="16136" width="17.42578125" style="2021" customWidth="1"/>
    <col min="16137" max="16137" width="11.7109375" style="2021" bestFit="1" customWidth="1"/>
    <col min="16138" max="16138" width="11" style="2021" customWidth="1"/>
    <col min="16139" max="16384" width="9.140625" style="2021"/>
  </cols>
  <sheetData>
    <row r="2" spans="2:16" x14ac:dyDescent="0.3">
      <c r="B2" s="3165" t="s">
        <v>1214</v>
      </c>
      <c r="C2" s="3165"/>
      <c r="D2" s="3165"/>
      <c r="E2" s="3165"/>
      <c r="F2" s="3165"/>
      <c r="G2" s="3165"/>
      <c r="H2" s="3165"/>
    </row>
    <row r="3" spans="2:16" x14ac:dyDescent="0.3">
      <c r="B3" s="2022" t="str">
        <f>ELT!B3</f>
        <v xml:space="preserve">Pekerjaan          </v>
      </c>
      <c r="C3" s="2022" t="str">
        <f>ELT!C3</f>
        <v>: Renovasi Atap Gedung Paripurna DPRD Provsu</v>
      </c>
      <c r="D3" s="2023"/>
      <c r="E3" s="2023"/>
      <c r="F3" s="2023"/>
      <c r="G3" s="2023"/>
      <c r="H3" s="2023"/>
    </row>
    <row r="4" spans="2:16" x14ac:dyDescent="0.3">
      <c r="B4" s="2022" t="str">
        <f>ELT!B4</f>
        <v xml:space="preserve">Lokasi                </v>
      </c>
      <c r="C4" s="2022" t="str">
        <f>ELT!C4</f>
        <v>: Jalan Imam Bonjol No. 5 Medan</v>
      </c>
      <c r="D4" s="2023"/>
      <c r="E4" s="2023"/>
      <c r="F4" s="2023"/>
      <c r="G4" s="2023"/>
      <c r="H4" s="2023"/>
    </row>
    <row r="5" spans="2:16" ht="17.25" thickBot="1" x14ac:dyDescent="0.35">
      <c r="B5" s="2024" t="str">
        <f>ELT!B5</f>
        <v xml:space="preserve">Tahun                 </v>
      </c>
      <c r="C5" s="2024" t="str">
        <f>ELT!C5</f>
        <v>: 2022</v>
      </c>
      <c r="D5" s="2025"/>
      <c r="E5" s="2025"/>
      <c r="F5" s="2025"/>
      <c r="G5" s="2025"/>
      <c r="H5" s="2025"/>
    </row>
    <row r="6" spans="2:16" ht="9" customHeight="1" thickTop="1" x14ac:dyDescent="0.3">
      <c r="B6" s="2023"/>
      <c r="C6" s="2023"/>
      <c r="D6" s="2023"/>
      <c r="E6" s="2023"/>
      <c r="F6" s="2023"/>
      <c r="G6" s="2023"/>
      <c r="H6" s="2023"/>
    </row>
    <row r="7" spans="2:16" x14ac:dyDescent="0.3">
      <c r="B7" s="2026" t="s">
        <v>1074</v>
      </c>
      <c r="C7" s="2026" t="s">
        <v>1075</v>
      </c>
      <c r="D7" s="2027"/>
      <c r="E7" s="2028"/>
      <c r="F7" s="1556"/>
      <c r="G7" s="1556"/>
      <c r="H7" s="2029"/>
    </row>
    <row r="8" spans="2:16" s="2007" customFormat="1" ht="15.95" customHeight="1" x14ac:dyDescent="0.3">
      <c r="B8" s="1982" t="s">
        <v>12</v>
      </c>
      <c r="C8" s="1982" t="s">
        <v>36</v>
      </c>
      <c r="D8" s="1982" t="s">
        <v>37</v>
      </c>
      <c r="E8" s="1983" t="s">
        <v>184</v>
      </c>
      <c r="F8" s="1984" t="s">
        <v>868</v>
      </c>
      <c r="G8" s="1983" t="s">
        <v>1063</v>
      </c>
      <c r="H8" s="1983" t="s">
        <v>40</v>
      </c>
      <c r="I8" s="2030"/>
      <c r="J8" s="2031"/>
      <c r="K8" s="2031"/>
      <c r="L8" s="2031"/>
      <c r="M8" s="2031"/>
      <c r="N8" s="2032"/>
      <c r="O8" s="2033"/>
      <c r="P8" s="2034"/>
    </row>
    <row r="9" spans="2:16" x14ac:dyDescent="0.3">
      <c r="B9" s="2035" t="s">
        <v>368</v>
      </c>
      <c r="C9" s="2036" t="s">
        <v>42</v>
      </c>
      <c r="D9" s="2035"/>
      <c r="E9" s="2037"/>
      <c r="F9" s="2038"/>
      <c r="G9" s="2037"/>
      <c r="H9" s="2037"/>
    </row>
    <row r="10" spans="2:16" x14ac:dyDescent="0.3">
      <c r="B10" s="2035"/>
      <c r="C10" s="2027" t="s">
        <v>71</v>
      </c>
      <c r="D10" s="2039" t="s">
        <v>44</v>
      </c>
      <c r="E10" s="1556" t="s">
        <v>618</v>
      </c>
      <c r="F10" s="2040">
        <v>2</v>
      </c>
      <c r="G10" s="1995">
        <f>UPAH!F13</f>
        <v>115000</v>
      </c>
      <c r="H10" s="2041">
        <f>F10*G10</f>
        <v>230000</v>
      </c>
    </row>
    <row r="11" spans="2:16" x14ac:dyDescent="0.3">
      <c r="B11" s="2035"/>
      <c r="C11" s="2027" t="s">
        <v>1076</v>
      </c>
      <c r="D11" s="2039" t="s">
        <v>47</v>
      </c>
      <c r="E11" s="1556" t="s">
        <v>618</v>
      </c>
      <c r="F11" s="2040">
        <v>2</v>
      </c>
      <c r="G11" s="1995">
        <f>UPAH!F12</f>
        <v>170000</v>
      </c>
      <c r="H11" s="2041">
        <f>F11*G11</f>
        <v>340000</v>
      </c>
    </row>
    <row r="12" spans="2:16" x14ac:dyDescent="0.3">
      <c r="B12" s="2035"/>
      <c r="C12" s="2027" t="s">
        <v>605</v>
      </c>
      <c r="D12" s="2039" t="s">
        <v>49</v>
      </c>
      <c r="E12" s="1556" t="s">
        <v>618</v>
      </c>
      <c r="F12" s="2040">
        <v>1</v>
      </c>
      <c r="G12" s="1995">
        <f>UPAH!F11</f>
        <v>185000</v>
      </c>
      <c r="H12" s="2041">
        <f>F12*G12</f>
        <v>185000</v>
      </c>
    </row>
    <row r="13" spans="2:16" x14ac:dyDescent="0.3">
      <c r="B13" s="2035"/>
      <c r="C13" s="2027" t="s">
        <v>50</v>
      </c>
      <c r="D13" s="2039" t="s">
        <v>51</v>
      </c>
      <c r="E13" s="1556" t="s">
        <v>618</v>
      </c>
      <c r="F13" s="2040">
        <v>1</v>
      </c>
      <c r="G13" s="1995">
        <f>UPAH!F10</f>
        <v>200000</v>
      </c>
      <c r="H13" s="2041">
        <f>F13*G13</f>
        <v>200000</v>
      </c>
    </row>
    <row r="14" spans="2:16" x14ac:dyDescent="0.3">
      <c r="B14" s="2035"/>
      <c r="C14" s="2027"/>
      <c r="D14" s="2035"/>
      <c r="E14" s="1556"/>
      <c r="F14" s="2028"/>
      <c r="G14" s="2042" t="s">
        <v>52</v>
      </c>
      <c r="H14" s="2041">
        <f>SUM(H10:H13)</f>
        <v>955000</v>
      </c>
    </row>
    <row r="15" spans="2:16" x14ac:dyDescent="0.3">
      <c r="B15" s="2035" t="s">
        <v>394</v>
      </c>
      <c r="C15" s="2026" t="s">
        <v>872</v>
      </c>
      <c r="D15" s="2035"/>
      <c r="E15" s="1556"/>
      <c r="F15" s="2028"/>
      <c r="G15" s="2043"/>
      <c r="H15" s="2041"/>
    </row>
    <row r="16" spans="2:16" x14ac:dyDescent="0.3">
      <c r="B16" s="2023"/>
      <c r="C16" s="2027" t="s">
        <v>1077</v>
      </c>
      <c r="D16" s="2027"/>
      <c r="E16" s="1556" t="s">
        <v>32</v>
      </c>
      <c r="F16" s="2028">
        <v>1</v>
      </c>
      <c r="G16" s="2043">
        <f>'UB mep'!J26</f>
        <v>7500000</v>
      </c>
      <c r="H16" s="2041">
        <f>F16*G16</f>
        <v>7500000</v>
      </c>
    </row>
    <row r="17" spans="2:16" x14ac:dyDescent="0.3">
      <c r="B17" s="2026"/>
      <c r="C17" s="2027" t="s">
        <v>90</v>
      </c>
      <c r="D17" s="2027"/>
      <c r="E17" s="1556" t="s">
        <v>1</v>
      </c>
      <c r="F17" s="1557">
        <v>0.1</v>
      </c>
      <c r="G17" s="2043">
        <f>+G16</f>
        <v>7500000</v>
      </c>
      <c r="H17" s="2041">
        <f>+F17*G17</f>
        <v>750000</v>
      </c>
    </row>
    <row r="18" spans="2:16" x14ac:dyDescent="0.3">
      <c r="B18" s="2026"/>
      <c r="C18" s="2027"/>
      <c r="D18" s="2027"/>
      <c r="E18" s="1556"/>
      <c r="F18" s="2044"/>
      <c r="G18" s="2045" t="s">
        <v>59</v>
      </c>
      <c r="H18" s="2041">
        <f>SUM(H16:H17)</f>
        <v>8250000</v>
      </c>
    </row>
    <row r="19" spans="2:16" x14ac:dyDescent="0.3">
      <c r="B19" s="2023" t="s">
        <v>411</v>
      </c>
      <c r="C19" s="2046" t="s">
        <v>60</v>
      </c>
      <c r="D19" s="2027"/>
      <c r="E19" s="1556"/>
      <c r="F19" s="2044"/>
      <c r="G19" s="2047"/>
      <c r="H19" s="2041"/>
    </row>
    <row r="20" spans="2:16" x14ac:dyDescent="0.3">
      <c r="B20" s="2026"/>
      <c r="C20" s="2027"/>
      <c r="D20" s="2027"/>
      <c r="E20" s="1556"/>
      <c r="F20" s="2044"/>
      <c r="G20" s="2045" t="s">
        <v>61</v>
      </c>
      <c r="H20" s="2041"/>
    </row>
    <row r="21" spans="2:16" x14ac:dyDescent="0.3">
      <c r="B21" s="1556" t="s">
        <v>6</v>
      </c>
      <c r="C21" s="2027" t="s">
        <v>875</v>
      </c>
      <c r="D21" s="2027"/>
      <c r="E21" s="2028"/>
      <c r="F21" s="1556"/>
      <c r="G21" s="1556"/>
      <c r="H21" s="2047">
        <f>+H20+H18+H14</f>
        <v>9205000</v>
      </c>
    </row>
    <row r="22" spans="2:16" x14ac:dyDescent="0.3">
      <c r="B22" s="1974" t="s">
        <v>7</v>
      </c>
      <c r="C22" s="1555" t="s">
        <v>100</v>
      </c>
      <c r="D22" s="1553"/>
      <c r="E22" s="1980"/>
      <c r="F22" s="1976"/>
      <c r="G22" s="2004">
        <v>0</v>
      </c>
      <c r="H22" s="1981">
        <f>H21*J3</f>
        <v>0</v>
      </c>
    </row>
    <row r="23" spans="2:16" x14ac:dyDescent="0.3">
      <c r="B23" s="1976" t="s">
        <v>63</v>
      </c>
      <c r="C23" s="1553" t="s">
        <v>877</v>
      </c>
      <c r="D23" s="1553"/>
      <c r="E23" s="1980"/>
      <c r="F23" s="1976"/>
      <c r="G23" s="1976"/>
      <c r="H23" s="1981">
        <f>+H21+H22</f>
        <v>9205000</v>
      </c>
    </row>
    <row r="24" spans="2:16" x14ac:dyDescent="0.3">
      <c r="B24" s="1553"/>
      <c r="C24" s="1554" t="s">
        <v>878</v>
      </c>
      <c r="D24" s="1555"/>
      <c r="E24" s="1555"/>
      <c r="F24" s="1555"/>
      <c r="G24" s="1555"/>
      <c r="H24" s="2005">
        <f>ROUNDDOWN(H23,2)</f>
        <v>9205000</v>
      </c>
    </row>
    <row r="25" spans="2:16" x14ac:dyDescent="0.3">
      <c r="B25" s="2048"/>
      <c r="C25" s="2048"/>
      <c r="D25" s="2048"/>
      <c r="E25" s="2048"/>
      <c r="F25" s="2048"/>
      <c r="G25" s="2048"/>
      <c r="H25" s="2048"/>
    </row>
    <row r="26" spans="2:16" x14ac:dyDescent="0.3">
      <c r="B26" s="2026" t="s">
        <v>1078</v>
      </c>
      <c r="C26" s="2026" t="s">
        <v>1079</v>
      </c>
      <c r="D26" s="2021"/>
      <c r="E26" s="2049"/>
      <c r="G26" s="2050"/>
      <c r="H26" s="2051"/>
    </row>
    <row r="27" spans="2:16" s="2007" customFormat="1" ht="15.95" customHeight="1" x14ac:dyDescent="0.3">
      <c r="B27" s="1982" t="s">
        <v>12</v>
      </c>
      <c r="C27" s="1982" t="s">
        <v>36</v>
      </c>
      <c r="D27" s="1982" t="s">
        <v>37</v>
      </c>
      <c r="E27" s="1983" t="s">
        <v>184</v>
      </c>
      <c r="F27" s="1984" t="s">
        <v>868</v>
      </c>
      <c r="G27" s="1983" t="s">
        <v>1063</v>
      </c>
      <c r="H27" s="1983" t="s">
        <v>40</v>
      </c>
      <c r="I27" s="2030"/>
      <c r="J27" s="2031"/>
      <c r="K27" s="2031"/>
      <c r="L27" s="2031"/>
      <c r="M27" s="2031"/>
      <c r="N27" s="2032"/>
      <c r="O27" s="2033"/>
      <c r="P27" s="2034"/>
    </row>
    <row r="28" spans="2:16" s="2027" customFormat="1" x14ac:dyDescent="0.3">
      <c r="B28" s="2035" t="s">
        <v>368</v>
      </c>
      <c r="C28" s="2036" t="s">
        <v>42</v>
      </c>
      <c r="D28" s="2035"/>
      <c r="E28" s="2037"/>
      <c r="F28" s="2038"/>
      <c r="G28" s="2037"/>
      <c r="H28" s="2037"/>
    </row>
    <row r="29" spans="2:16" s="2027" customFormat="1" x14ac:dyDescent="0.3">
      <c r="B29" s="2035"/>
      <c r="C29" s="2027" t="s">
        <v>71</v>
      </c>
      <c r="D29" s="2039" t="s">
        <v>44</v>
      </c>
      <c r="E29" s="1556" t="s">
        <v>618</v>
      </c>
      <c r="F29" s="2040">
        <v>3</v>
      </c>
      <c r="G29" s="1995">
        <f>G10</f>
        <v>115000</v>
      </c>
      <c r="H29" s="2041">
        <f>F29*G29</f>
        <v>345000</v>
      </c>
    </row>
    <row r="30" spans="2:16" s="2027" customFormat="1" x14ac:dyDescent="0.3">
      <c r="B30" s="2035"/>
      <c r="C30" s="2027" t="s">
        <v>1076</v>
      </c>
      <c r="D30" s="2039" t="s">
        <v>47</v>
      </c>
      <c r="E30" s="1556" t="s">
        <v>618</v>
      </c>
      <c r="F30" s="2040">
        <v>3</v>
      </c>
      <c r="G30" s="1995">
        <f>G11</f>
        <v>170000</v>
      </c>
      <c r="H30" s="2041">
        <f>F30*G30</f>
        <v>510000</v>
      </c>
    </row>
    <row r="31" spans="2:16" s="2027" customFormat="1" x14ac:dyDescent="0.3">
      <c r="B31" s="2035"/>
      <c r="C31" s="2027" t="s">
        <v>605</v>
      </c>
      <c r="D31" s="2039" t="s">
        <v>49</v>
      </c>
      <c r="E31" s="1556" t="s">
        <v>618</v>
      </c>
      <c r="F31" s="2040">
        <v>2</v>
      </c>
      <c r="G31" s="1995">
        <f>G12</f>
        <v>185000</v>
      </c>
      <c r="H31" s="2041">
        <f>F31*G31</f>
        <v>370000</v>
      </c>
    </row>
    <row r="32" spans="2:16" s="2027" customFormat="1" x14ac:dyDescent="0.3">
      <c r="B32" s="2035"/>
      <c r="C32" s="2027" t="s">
        <v>50</v>
      </c>
      <c r="D32" s="2039" t="s">
        <v>51</v>
      </c>
      <c r="E32" s="1556" t="s">
        <v>618</v>
      </c>
      <c r="F32" s="2040">
        <v>1.5</v>
      </c>
      <c r="G32" s="1995">
        <f>G13</f>
        <v>200000</v>
      </c>
      <c r="H32" s="2041">
        <f>F32*G32</f>
        <v>300000</v>
      </c>
    </row>
    <row r="33" spans="2:16" s="2027" customFormat="1" x14ac:dyDescent="0.3">
      <c r="B33" s="2035"/>
      <c r="D33" s="2035"/>
      <c r="E33" s="1556"/>
      <c r="F33" s="2028"/>
      <c r="G33" s="2042" t="s">
        <v>52</v>
      </c>
      <c r="H33" s="2041">
        <f>SUM(H29:H32)</f>
        <v>1525000</v>
      </c>
    </row>
    <row r="34" spans="2:16" x14ac:dyDescent="0.3">
      <c r="B34" s="2035" t="s">
        <v>394</v>
      </c>
      <c r="C34" s="2026" t="s">
        <v>872</v>
      </c>
      <c r="D34" s="2035"/>
      <c r="E34" s="1556"/>
      <c r="F34" s="2028"/>
      <c r="G34" s="2043"/>
      <c r="H34" s="2041"/>
    </row>
    <row r="35" spans="2:16" x14ac:dyDescent="0.3">
      <c r="B35" s="2023"/>
      <c r="C35" s="2027" t="s">
        <v>1080</v>
      </c>
      <c r="D35" s="2027"/>
      <c r="E35" s="1556" t="s">
        <v>32</v>
      </c>
      <c r="F35" s="2028">
        <v>1</v>
      </c>
      <c r="G35" s="2043">
        <f>'UB mep'!J29</f>
        <v>8350000</v>
      </c>
      <c r="H35" s="2041">
        <f>F35*G35</f>
        <v>8350000</v>
      </c>
    </row>
    <row r="36" spans="2:16" x14ac:dyDescent="0.3">
      <c r="B36" s="2026"/>
      <c r="C36" s="2027" t="s">
        <v>1081</v>
      </c>
      <c r="D36" s="2027"/>
      <c r="E36" s="1556" t="s">
        <v>1</v>
      </c>
      <c r="F36" s="1557">
        <v>0.15</v>
      </c>
      <c r="G36" s="2043">
        <f>+G35</f>
        <v>8350000</v>
      </c>
      <c r="H36" s="2041">
        <f>+F36*G36</f>
        <v>1252500</v>
      </c>
    </row>
    <row r="37" spans="2:16" x14ac:dyDescent="0.3">
      <c r="B37" s="2026"/>
      <c r="C37" s="2027"/>
      <c r="D37" s="2027"/>
      <c r="E37" s="1556"/>
      <c r="F37" s="2044"/>
      <c r="G37" s="2045" t="s">
        <v>59</v>
      </c>
      <c r="H37" s="2041">
        <f>SUM(H35:H36)</f>
        <v>9602500</v>
      </c>
    </row>
    <row r="38" spans="2:16" x14ac:dyDescent="0.3">
      <c r="B38" s="2023" t="s">
        <v>411</v>
      </c>
      <c r="C38" s="2046" t="s">
        <v>60</v>
      </c>
      <c r="D38" s="2027"/>
      <c r="E38" s="1556"/>
      <c r="F38" s="2044"/>
      <c r="G38" s="2047"/>
      <c r="H38" s="2047"/>
    </row>
    <row r="39" spans="2:16" x14ac:dyDescent="0.3">
      <c r="B39" s="2026"/>
      <c r="C39" s="2027"/>
      <c r="D39" s="2027"/>
      <c r="E39" s="1556"/>
      <c r="F39" s="2044"/>
      <c r="G39" s="2045" t="s">
        <v>61</v>
      </c>
      <c r="H39" s="2041">
        <v>0</v>
      </c>
    </row>
    <row r="40" spans="2:16" x14ac:dyDescent="0.3">
      <c r="B40" s="1556" t="s">
        <v>6</v>
      </c>
      <c r="C40" s="2027" t="s">
        <v>875</v>
      </c>
      <c r="D40" s="2027"/>
      <c r="E40" s="2028"/>
      <c r="F40" s="1556"/>
      <c r="G40" s="1556"/>
      <c r="H40" s="2047">
        <f>+H39+H37+H33</f>
        <v>11127500</v>
      </c>
    </row>
    <row r="41" spans="2:16" x14ac:dyDescent="0.3">
      <c r="B41" s="1974" t="s">
        <v>7</v>
      </c>
      <c r="C41" s="1555" t="s">
        <v>100</v>
      </c>
      <c r="D41" s="1553"/>
      <c r="E41" s="1980"/>
      <c r="F41" s="1976"/>
      <c r="G41" s="2004">
        <v>0</v>
      </c>
      <c r="H41" s="1981">
        <f>H40*J22</f>
        <v>0</v>
      </c>
    </row>
    <row r="42" spans="2:16" x14ac:dyDescent="0.3">
      <c r="B42" s="1976" t="s">
        <v>63</v>
      </c>
      <c r="C42" s="1553" t="s">
        <v>877</v>
      </c>
      <c r="D42" s="1553"/>
      <c r="E42" s="1980"/>
      <c r="F42" s="1976"/>
      <c r="G42" s="1976"/>
      <c r="H42" s="1981">
        <f>+H40+H41</f>
        <v>11127500</v>
      </c>
    </row>
    <row r="43" spans="2:16" x14ac:dyDescent="0.3">
      <c r="B43" s="1553"/>
      <c r="C43" s="1554" t="s">
        <v>878</v>
      </c>
      <c r="D43" s="1555"/>
      <c r="E43" s="1555"/>
      <c r="F43" s="1555"/>
      <c r="G43" s="1555"/>
      <c r="H43" s="2005">
        <f>ROUNDDOWN(H42,2)</f>
        <v>11127500</v>
      </c>
    </row>
    <row r="44" spans="2:16" x14ac:dyDescent="0.3">
      <c r="C44" s="2052"/>
      <c r="D44" s="2053"/>
      <c r="E44" s="2053"/>
      <c r="F44" s="2053"/>
      <c r="G44" s="2053"/>
      <c r="H44" s="2054"/>
    </row>
    <row r="45" spans="2:16" x14ac:dyDescent="0.3">
      <c r="B45" s="2026" t="s">
        <v>1082</v>
      </c>
      <c r="C45" s="2026" t="s">
        <v>1083</v>
      </c>
      <c r="D45" s="2021"/>
      <c r="E45" s="2049"/>
      <c r="G45" s="2050"/>
      <c r="H45" s="2051"/>
    </row>
    <row r="46" spans="2:16" s="2007" customFormat="1" ht="15.95" customHeight="1" x14ac:dyDescent="0.3">
      <c r="B46" s="1982" t="s">
        <v>12</v>
      </c>
      <c r="C46" s="1982" t="s">
        <v>36</v>
      </c>
      <c r="D46" s="1982" t="s">
        <v>37</v>
      </c>
      <c r="E46" s="1983" t="s">
        <v>184</v>
      </c>
      <c r="F46" s="1984" t="s">
        <v>868</v>
      </c>
      <c r="G46" s="1983" t="s">
        <v>1063</v>
      </c>
      <c r="H46" s="1983" t="s">
        <v>40</v>
      </c>
      <c r="I46" s="2030"/>
      <c r="J46" s="2031"/>
      <c r="K46" s="2031"/>
      <c r="L46" s="2031"/>
      <c r="M46" s="2031"/>
      <c r="N46" s="2032"/>
      <c r="O46" s="2033"/>
      <c r="P46" s="2034"/>
    </row>
    <row r="47" spans="2:16" s="2027" customFormat="1" x14ac:dyDescent="0.3">
      <c r="B47" s="2035" t="s">
        <v>368</v>
      </c>
      <c r="C47" s="2036" t="s">
        <v>42</v>
      </c>
      <c r="D47" s="2035"/>
      <c r="E47" s="2037"/>
      <c r="F47" s="2038"/>
      <c r="G47" s="2037"/>
      <c r="H47" s="2037"/>
    </row>
    <row r="48" spans="2:16" s="2027" customFormat="1" x14ac:dyDescent="0.3">
      <c r="B48" s="2035"/>
      <c r="C48" s="2027" t="s">
        <v>71</v>
      </c>
      <c r="D48" s="2039" t="s">
        <v>44</v>
      </c>
      <c r="E48" s="1556" t="s">
        <v>618</v>
      </c>
      <c r="F48" s="2040">
        <v>1</v>
      </c>
      <c r="G48" s="1995">
        <f>G29</f>
        <v>115000</v>
      </c>
      <c r="H48" s="2041">
        <f>F48*G48</f>
        <v>115000</v>
      </c>
    </row>
    <row r="49" spans="2:8" s="2027" customFormat="1" x14ac:dyDescent="0.3">
      <c r="B49" s="2035"/>
      <c r="C49" s="2027" t="s">
        <v>1076</v>
      </c>
      <c r="D49" s="2039" t="s">
        <v>47</v>
      </c>
      <c r="E49" s="1556" t="s">
        <v>618</v>
      </c>
      <c r="F49" s="2040">
        <v>1</v>
      </c>
      <c r="G49" s="1995">
        <f>G30</f>
        <v>170000</v>
      </c>
      <c r="H49" s="2041">
        <f>F49*G49</f>
        <v>170000</v>
      </c>
    </row>
    <row r="50" spans="2:8" s="2027" customFormat="1" x14ac:dyDescent="0.3">
      <c r="B50" s="2035"/>
      <c r="C50" s="2027" t="s">
        <v>605</v>
      </c>
      <c r="D50" s="2039" t="s">
        <v>49</v>
      </c>
      <c r="E50" s="1556" t="s">
        <v>618</v>
      </c>
      <c r="F50" s="2040">
        <v>0.7</v>
      </c>
      <c r="G50" s="1995">
        <f>G31</f>
        <v>185000</v>
      </c>
      <c r="H50" s="2041">
        <f>F50*G50</f>
        <v>129499.99999999999</v>
      </c>
    </row>
    <row r="51" spans="2:8" s="2027" customFormat="1" x14ac:dyDescent="0.3">
      <c r="B51" s="2035"/>
      <c r="C51" s="2027" t="s">
        <v>50</v>
      </c>
      <c r="D51" s="2039" t="s">
        <v>51</v>
      </c>
      <c r="E51" s="1556" t="s">
        <v>618</v>
      </c>
      <c r="F51" s="2040">
        <v>0.5</v>
      </c>
      <c r="G51" s="1995">
        <f>G32</f>
        <v>200000</v>
      </c>
      <c r="H51" s="2041">
        <f>F51*G51</f>
        <v>100000</v>
      </c>
    </row>
    <row r="52" spans="2:8" s="2027" customFormat="1" x14ac:dyDescent="0.3">
      <c r="B52" s="2035"/>
      <c r="D52" s="2035"/>
      <c r="E52" s="1556"/>
      <c r="F52" s="2028"/>
      <c r="G52" s="2042" t="s">
        <v>52</v>
      </c>
      <c r="H52" s="2041">
        <f>SUM(H48:H51)</f>
        <v>514500</v>
      </c>
    </row>
    <row r="53" spans="2:8" s="2027" customFormat="1" x14ac:dyDescent="0.3">
      <c r="B53" s="2035" t="s">
        <v>394</v>
      </c>
      <c r="C53" s="2026" t="s">
        <v>872</v>
      </c>
      <c r="D53" s="2035"/>
      <c r="E53" s="1556"/>
      <c r="F53" s="2028"/>
      <c r="G53" s="2043"/>
      <c r="H53" s="2041"/>
    </row>
    <row r="54" spans="2:8" s="2027" customFormat="1" x14ac:dyDescent="0.3">
      <c r="B54" s="2023"/>
      <c r="C54" s="2027" t="s">
        <v>1084</v>
      </c>
      <c r="E54" s="1556" t="s">
        <v>32</v>
      </c>
      <c r="F54" s="2028">
        <v>1</v>
      </c>
      <c r="G54" s="2043">
        <f>'UB mep'!J30</f>
        <v>2800000</v>
      </c>
      <c r="H54" s="2041">
        <f>F54*G54</f>
        <v>2800000</v>
      </c>
    </row>
    <row r="55" spans="2:8" s="2027" customFormat="1" x14ac:dyDescent="0.3">
      <c r="B55" s="2026"/>
      <c r="C55" s="2027" t="s">
        <v>90</v>
      </c>
      <c r="E55" s="1556" t="s">
        <v>1</v>
      </c>
      <c r="F55" s="1557">
        <v>0.05</v>
      </c>
      <c r="G55" s="2043">
        <f>+G54</f>
        <v>2800000</v>
      </c>
      <c r="H55" s="2041">
        <f>+F55*G55</f>
        <v>140000</v>
      </c>
    </row>
    <row r="56" spans="2:8" s="2027" customFormat="1" x14ac:dyDescent="0.3">
      <c r="B56" s="2026"/>
      <c r="E56" s="1556"/>
      <c r="F56" s="2044"/>
      <c r="G56" s="2045" t="s">
        <v>59</v>
      </c>
      <c r="H56" s="2041">
        <f>SUM(H54:H55)</f>
        <v>2940000</v>
      </c>
    </row>
    <row r="57" spans="2:8" s="2027" customFormat="1" x14ac:dyDescent="0.3">
      <c r="B57" s="2023" t="s">
        <v>411</v>
      </c>
      <c r="C57" s="2046" t="s">
        <v>60</v>
      </c>
      <c r="E57" s="1556"/>
      <c r="F57" s="2044"/>
      <c r="G57" s="2047"/>
      <c r="H57" s="2047"/>
    </row>
    <row r="58" spans="2:8" s="2027" customFormat="1" x14ac:dyDescent="0.3">
      <c r="B58" s="2023"/>
      <c r="C58" s="2046"/>
      <c r="E58" s="1556"/>
      <c r="F58" s="2044"/>
      <c r="G58" s="2047"/>
      <c r="H58" s="2047"/>
    </row>
    <row r="59" spans="2:8" s="2027" customFormat="1" x14ac:dyDescent="0.3">
      <c r="B59" s="2026"/>
      <c r="E59" s="1556"/>
      <c r="F59" s="2044"/>
      <c r="G59" s="2045" t="s">
        <v>61</v>
      </c>
      <c r="H59" s="2041">
        <v>0</v>
      </c>
    </row>
    <row r="60" spans="2:8" s="2027" customFormat="1" x14ac:dyDescent="0.3">
      <c r="B60" s="1556" t="s">
        <v>6</v>
      </c>
      <c r="C60" s="2027" t="s">
        <v>875</v>
      </c>
      <c r="E60" s="2028"/>
      <c r="F60" s="1556"/>
      <c r="G60" s="1556"/>
      <c r="H60" s="2047">
        <f>+H59+H56+H52</f>
        <v>3454500</v>
      </c>
    </row>
    <row r="61" spans="2:8" x14ac:dyDescent="0.3">
      <c r="B61" s="1974" t="s">
        <v>7</v>
      </c>
      <c r="C61" s="1555" t="s">
        <v>100</v>
      </c>
      <c r="D61" s="1553"/>
      <c r="E61" s="1980"/>
      <c r="F61" s="1976"/>
      <c r="G61" s="2004">
        <v>0</v>
      </c>
      <c r="H61" s="1981">
        <f>H60*J42</f>
        <v>0</v>
      </c>
    </row>
    <row r="62" spans="2:8" x14ac:dyDescent="0.3">
      <c r="B62" s="1976" t="s">
        <v>63</v>
      </c>
      <c r="C62" s="1553" t="s">
        <v>877</v>
      </c>
      <c r="D62" s="1553"/>
      <c r="E62" s="1980"/>
      <c r="F62" s="1976"/>
      <c r="G62" s="1976"/>
      <c r="H62" s="1981">
        <f>+H60+H61</f>
        <v>3454500</v>
      </c>
    </row>
    <row r="63" spans="2:8" x14ac:dyDescent="0.3">
      <c r="B63" s="1553"/>
      <c r="C63" s="1554" t="s">
        <v>878</v>
      </c>
      <c r="D63" s="1555"/>
      <c r="E63" s="1555"/>
      <c r="F63" s="1555"/>
      <c r="G63" s="1555"/>
      <c r="H63" s="2005">
        <f>ROUNDDOWN(H62,2)</f>
        <v>3454500</v>
      </c>
    </row>
    <row r="64" spans="2:8" x14ac:dyDescent="0.3">
      <c r="C64" s="2052"/>
      <c r="D64" s="2053"/>
      <c r="E64" s="2053"/>
      <c r="F64" s="2053"/>
      <c r="G64" s="2053"/>
      <c r="H64" s="2054"/>
    </row>
    <row r="65" spans="2:16" x14ac:dyDescent="0.3">
      <c r="B65" s="2026" t="s">
        <v>1085</v>
      </c>
      <c r="C65" s="2026" t="s">
        <v>1086</v>
      </c>
      <c r="D65" s="2021"/>
      <c r="E65" s="2049"/>
      <c r="G65" s="2050"/>
      <c r="H65" s="2051"/>
    </row>
    <row r="66" spans="2:16" s="2007" customFormat="1" ht="15.95" customHeight="1" x14ac:dyDescent="0.3">
      <c r="B66" s="1982" t="s">
        <v>12</v>
      </c>
      <c r="C66" s="1982" t="s">
        <v>36</v>
      </c>
      <c r="D66" s="1982" t="s">
        <v>37</v>
      </c>
      <c r="E66" s="1983" t="s">
        <v>184</v>
      </c>
      <c r="F66" s="1984" t="s">
        <v>868</v>
      </c>
      <c r="G66" s="1983" t="s">
        <v>1063</v>
      </c>
      <c r="H66" s="1983" t="s">
        <v>40</v>
      </c>
      <c r="I66" s="2030"/>
      <c r="J66" s="2031"/>
      <c r="K66" s="2031"/>
      <c r="L66" s="2031"/>
      <c r="M66" s="2031"/>
      <c r="N66" s="2032"/>
      <c r="O66" s="2033"/>
      <c r="P66" s="2034"/>
    </row>
    <row r="67" spans="2:16" s="2027" customFormat="1" x14ac:dyDescent="0.3">
      <c r="B67" s="2035" t="s">
        <v>368</v>
      </c>
      <c r="C67" s="2036" t="s">
        <v>42</v>
      </c>
      <c r="D67" s="2035"/>
      <c r="E67" s="2037"/>
      <c r="F67" s="2038"/>
      <c r="G67" s="2037"/>
      <c r="H67" s="2037"/>
    </row>
    <row r="68" spans="2:16" s="2027" customFormat="1" x14ac:dyDescent="0.3">
      <c r="B68" s="2035"/>
      <c r="C68" s="2027" t="s">
        <v>71</v>
      </c>
      <c r="D68" s="2039" t="s">
        <v>44</v>
      </c>
      <c r="E68" s="1556" t="s">
        <v>618</v>
      </c>
      <c r="F68" s="2040">
        <v>0.06</v>
      </c>
      <c r="G68" s="1995">
        <f>G48</f>
        <v>115000</v>
      </c>
      <c r="H68" s="2041">
        <f>F68*G68</f>
        <v>6900</v>
      </c>
    </row>
    <row r="69" spans="2:16" s="2027" customFormat="1" x14ac:dyDescent="0.3">
      <c r="B69" s="2035"/>
      <c r="C69" s="2027" t="s">
        <v>1076</v>
      </c>
      <c r="D69" s="2039" t="s">
        <v>47</v>
      </c>
      <c r="E69" s="1556" t="s">
        <v>618</v>
      </c>
      <c r="F69" s="2040">
        <v>0.05</v>
      </c>
      <c r="G69" s="1995">
        <f>G49</f>
        <v>170000</v>
      </c>
      <c r="H69" s="2041">
        <f>F69*G69</f>
        <v>8500</v>
      </c>
    </row>
    <row r="70" spans="2:16" s="2027" customFormat="1" x14ac:dyDescent="0.3">
      <c r="B70" s="2035"/>
      <c r="C70" s="2027" t="s">
        <v>605</v>
      </c>
      <c r="D70" s="2039" t="s">
        <v>49</v>
      </c>
      <c r="E70" s="1556" t="s">
        <v>618</v>
      </c>
      <c r="F70" s="2040">
        <v>0.04</v>
      </c>
      <c r="G70" s="1995">
        <f>G50</f>
        <v>185000</v>
      </c>
      <c r="H70" s="2041">
        <f>F70*G70</f>
        <v>7400</v>
      </c>
    </row>
    <row r="71" spans="2:16" s="2027" customFormat="1" x14ac:dyDescent="0.3">
      <c r="B71" s="2035"/>
      <c r="C71" s="2027" t="s">
        <v>50</v>
      </c>
      <c r="D71" s="2039" t="s">
        <v>51</v>
      </c>
      <c r="E71" s="1556" t="s">
        <v>618</v>
      </c>
      <c r="F71" s="2040">
        <v>0.04</v>
      </c>
      <c r="G71" s="1995">
        <f>G51</f>
        <v>200000</v>
      </c>
      <c r="H71" s="2041">
        <f>F71*G71</f>
        <v>8000</v>
      </c>
    </row>
    <row r="72" spans="2:16" s="2027" customFormat="1" x14ac:dyDescent="0.3">
      <c r="B72" s="2035"/>
      <c r="D72" s="2035"/>
      <c r="E72" s="1556"/>
      <c r="F72" s="2028"/>
      <c r="G72" s="2042" t="s">
        <v>52</v>
      </c>
      <c r="H72" s="2041">
        <f>SUM(H68:H71)</f>
        <v>30800</v>
      </c>
    </row>
    <row r="73" spans="2:16" s="2027" customFormat="1" x14ac:dyDescent="0.3">
      <c r="B73" s="2035" t="s">
        <v>394</v>
      </c>
      <c r="C73" s="2026" t="s">
        <v>872</v>
      </c>
      <c r="D73" s="2035"/>
      <c r="E73" s="1556"/>
      <c r="F73" s="2028"/>
      <c r="G73" s="2043"/>
      <c r="H73" s="2041"/>
    </row>
    <row r="74" spans="2:16" s="2027" customFormat="1" x14ac:dyDescent="0.3">
      <c r="B74" s="2023"/>
      <c r="C74" s="2027" t="s">
        <v>1087</v>
      </c>
      <c r="E74" s="1556" t="s">
        <v>32</v>
      </c>
      <c r="F74" s="2028">
        <v>1</v>
      </c>
      <c r="G74" s="2043">
        <f>'UB mep'!J31</f>
        <v>75000</v>
      </c>
      <c r="H74" s="2041">
        <f>F74*G74</f>
        <v>75000</v>
      </c>
    </row>
    <row r="75" spans="2:16" s="2027" customFormat="1" x14ac:dyDescent="0.3">
      <c r="B75" s="2026"/>
      <c r="C75" s="2027" t="s">
        <v>90</v>
      </c>
      <c r="E75" s="1556" t="s">
        <v>1</v>
      </c>
      <c r="F75" s="1557">
        <v>0.05</v>
      </c>
      <c r="G75" s="2043">
        <f>+G74</f>
        <v>75000</v>
      </c>
      <c r="H75" s="2041">
        <f>+F75*G75</f>
        <v>3750</v>
      </c>
    </row>
    <row r="76" spans="2:16" s="2027" customFormat="1" x14ac:dyDescent="0.3">
      <c r="B76" s="2026"/>
      <c r="E76" s="1556"/>
      <c r="F76" s="2044"/>
      <c r="G76" s="2045" t="s">
        <v>59</v>
      </c>
      <c r="H76" s="2041">
        <f>SUM(H74:H75)</f>
        <v>78750</v>
      </c>
    </row>
    <row r="77" spans="2:16" s="2027" customFormat="1" x14ac:dyDescent="0.3">
      <c r="B77" s="2023" t="s">
        <v>411</v>
      </c>
      <c r="C77" s="2046" t="s">
        <v>60</v>
      </c>
      <c r="E77" s="1556"/>
      <c r="F77" s="2044"/>
      <c r="G77" s="2047"/>
      <c r="H77" s="2047"/>
    </row>
    <row r="78" spans="2:16" s="2027" customFormat="1" x14ac:dyDescent="0.3">
      <c r="B78" s="2026"/>
      <c r="E78" s="1556"/>
      <c r="F78" s="2044"/>
      <c r="G78" s="2045" t="s">
        <v>61</v>
      </c>
      <c r="H78" s="2041">
        <v>0</v>
      </c>
    </row>
    <row r="79" spans="2:16" s="2027" customFormat="1" x14ac:dyDescent="0.3">
      <c r="B79" s="1556" t="s">
        <v>6</v>
      </c>
      <c r="C79" s="2027" t="s">
        <v>875</v>
      </c>
      <c r="E79" s="2028"/>
      <c r="F79" s="1556"/>
      <c r="G79" s="1556"/>
      <c r="H79" s="2047">
        <f>+H78+H76+H72</f>
        <v>109550</v>
      </c>
    </row>
    <row r="80" spans="2:16" s="2027" customFormat="1" x14ac:dyDescent="0.3">
      <c r="B80" s="1974" t="s">
        <v>7</v>
      </c>
      <c r="C80" s="1555" t="s">
        <v>100</v>
      </c>
      <c r="D80" s="1553"/>
      <c r="E80" s="1980"/>
      <c r="F80" s="1976"/>
      <c r="G80" s="2004">
        <v>0</v>
      </c>
      <c r="H80" s="1981">
        <f>H79*J62</f>
        <v>0</v>
      </c>
    </row>
    <row r="81" spans="2:16" s="2027" customFormat="1" x14ac:dyDescent="0.3">
      <c r="B81" s="1976" t="s">
        <v>63</v>
      </c>
      <c r="C81" s="1553" t="s">
        <v>877</v>
      </c>
      <c r="D81" s="1553"/>
      <c r="E81" s="1980"/>
      <c r="F81" s="1976"/>
      <c r="G81" s="1976"/>
      <c r="H81" s="1981">
        <f>+H79+H80</f>
        <v>109550</v>
      </c>
    </row>
    <row r="82" spans="2:16" s="2027" customFormat="1" x14ac:dyDescent="0.3">
      <c r="B82" s="1553"/>
      <c r="C82" s="1554" t="s">
        <v>878</v>
      </c>
      <c r="D82" s="1555"/>
      <c r="E82" s="1555"/>
      <c r="F82" s="1555"/>
      <c r="G82" s="1555"/>
      <c r="H82" s="2005">
        <f>ROUNDDOWN(H81,2)</f>
        <v>109550</v>
      </c>
    </row>
    <row r="83" spans="2:16" x14ac:dyDescent="0.3">
      <c r="C83" s="2052"/>
      <c r="D83" s="2053"/>
      <c r="E83" s="2053"/>
      <c r="F83" s="2053"/>
      <c r="G83" s="2053"/>
      <c r="H83" s="2054"/>
    </row>
    <row r="84" spans="2:16" x14ac:dyDescent="0.3">
      <c r="B84" s="2026" t="s">
        <v>1088</v>
      </c>
      <c r="C84" s="2026" t="s">
        <v>1089</v>
      </c>
      <c r="D84" s="2021"/>
      <c r="E84" s="2049"/>
      <c r="G84" s="2050"/>
      <c r="H84" s="2051"/>
    </row>
    <row r="85" spans="2:16" s="2007" customFormat="1" ht="15.95" customHeight="1" x14ac:dyDescent="0.3">
      <c r="B85" s="1982" t="s">
        <v>12</v>
      </c>
      <c r="C85" s="1982" t="s">
        <v>36</v>
      </c>
      <c r="D85" s="1982" t="s">
        <v>37</v>
      </c>
      <c r="E85" s="1983" t="s">
        <v>184</v>
      </c>
      <c r="F85" s="1984" t="s">
        <v>868</v>
      </c>
      <c r="G85" s="1983" t="s">
        <v>1063</v>
      </c>
      <c r="H85" s="1983" t="s">
        <v>40</v>
      </c>
      <c r="I85" s="2030"/>
      <c r="J85" s="2031"/>
      <c r="K85" s="2031"/>
      <c r="L85" s="2031"/>
      <c r="M85" s="2031"/>
      <c r="N85" s="2032"/>
      <c r="O85" s="2033"/>
      <c r="P85" s="2034"/>
    </row>
    <row r="86" spans="2:16" s="2027" customFormat="1" x14ac:dyDescent="0.3">
      <c r="B86" s="2035" t="s">
        <v>368</v>
      </c>
      <c r="C86" s="2036" t="s">
        <v>42</v>
      </c>
      <c r="D86" s="2035"/>
      <c r="E86" s="2037"/>
      <c r="F86" s="2038"/>
      <c r="G86" s="2037"/>
      <c r="H86" s="2037"/>
    </row>
    <row r="87" spans="2:16" s="2027" customFormat="1" x14ac:dyDescent="0.3">
      <c r="B87" s="2035"/>
      <c r="C87" s="2027" t="s">
        <v>71</v>
      </c>
      <c r="D87" s="2039" t="s">
        <v>44</v>
      </c>
      <c r="E87" s="1556" t="s">
        <v>618</v>
      </c>
      <c r="F87" s="2040">
        <v>4.8611111111111112E-3</v>
      </c>
      <c r="G87" s="1995">
        <f>G68</f>
        <v>115000</v>
      </c>
      <c r="H87" s="2041">
        <f>F87*G87</f>
        <v>559.02777777777783</v>
      </c>
    </row>
    <row r="88" spans="2:16" s="2027" customFormat="1" x14ac:dyDescent="0.3">
      <c r="B88" s="2035"/>
      <c r="C88" s="2027" t="s">
        <v>1076</v>
      </c>
      <c r="D88" s="2039" t="s">
        <v>47</v>
      </c>
      <c r="E88" s="1556" t="s">
        <v>618</v>
      </c>
      <c r="F88" s="2040">
        <v>0.5</v>
      </c>
      <c r="G88" s="1995">
        <f>G69</f>
        <v>170000</v>
      </c>
      <c r="H88" s="2041">
        <f>F88*G88</f>
        <v>85000</v>
      </c>
    </row>
    <row r="89" spans="2:16" s="2027" customFormat="1" x14ac:dyDescent="0.3">
      <c r="B89" s="2035"/>
      <c r="C89" s="2027" t="s">
        <v>605</v>
      </c>
      <c r="D89" s="2039" t="s">
        <v>49</v>
      </c>
      <c r="E89" s="1556" t="s">
        <v>618</v>
      </c>
      <c r="F89" s="2040">
        <v>0.05</v>
      </c>
      <c r="G89" s="1995">
        <f>G70</f>
        <v>185000</v>
      </c>
      <c r="H89" s="2041">
        <f>F89*G89</f>
        <v>9250</v>
      </c>
    </row>
    <row r="90" spans="2:16" s="2027" customFormat="1" x14ac:dyDescent="0.3">
      <c r="B90" s="2035"/>
      <c r="C90" s="2027" t="s">
        <v>50</v>
      </c>
      <c r="D90" s="2039" t="s">
        <v>51</v>
      </c>
      <c r="E90" s="1556" t="s">
        <v>618</v>
      </c>
      <c r="F90" s="2040">
        <v>0.05</v>
      </c>
      <c r="G90" s="1995">
        <f>G71</f>
        <v>200000</v>
      </c>
      <c r="H90" s="2041">
        <f>F90*G90</f>
        <v>10000</v>
      </c>
    </row>
    <row r="91" spans="2:16" s="2027" customFormat="1" x14ac:dyDescent="0.3">
      <c r="B91" s="2035"/>
      <c r="D91" s="2035"/>
      <c r="E91" s="1556"/>
      <c r="F91" s="2028"/>
      <c r="G91" s="2042" t="s">
        <v>52</v>
      </c>
      <c r="H91" s="2041">
        <f>SUM(H87:H90)</f>
        <v>104809.02777777778</v>
      </c>
    </row>
    <row r="92" spans="2:16" s="2027" customFormat="1" x14ac:dyDescent="0.3">
      <c r="B92" s="2035" t="s">
        <v>394</v>
      </c>
      <c r="C92" s="2026" t="s">
        <v>872</v>
      </c>
      <c r="D92" s="2035"/>
      <c r="E92" s="1556"/>
      <c r="F92" s="2028"/>
      <c r="G92" s="2043"/>
      <c r="H92" s="2041"/>
    </row>
    <row r="93" spans="2:16" s="2027" customFormat="1" x14ac:dyDescent="0.3">
      <c r="B93" s="2023"/>
      <c r="C93" s="2027" t="s">
        <v>1090</v>
      </c>
      <c r="E93" s="1556" t="s">
        <v>32</v>
      </c>
      <c r="F93" s="2028">
        <v>1</v>
      </c>
      <c r="G93" s="2043">
        <f>'UB mep'!J32</f>
        <v>275000</v>
      </c>
      <c r="H93" s="2041">
        <f>F93*G93</f>
        <v>275000</v>
      </c>
    </row>
    <row r="94" spans="2:16" s="2027" customFormat="1" x14ac:dyDescent="0.3">
      <c r="B94" s="2026"/>
      <c r="C94" s="2027" t="s">
        <v>90</v>
      </c>
      <c r="E94" s="1556" t="s">
        <v>1</v>
      </c>
      <c r="F94" s="1557">
        <v>0.05</v>
      </c>
      <c r="G94" s="2043">
        <f>+G93</f>
        <v>275000</v>
      </c>
      <c r="H94" s="2041">
        <f>+F94*G94</f>
        <v>13750</v>
      </c>
    </row>
    <row r="95" spans="2:16" s="2027" customFormat="1" x14ac:dyDescent="0.3">
      <c r="B95" s="2026"/>
      <c r="E95" s="1556"/>
      <c r="F95" s="2044"/>
      <c r="G95" s="2045" t="s">
        <v>59</v>
      </c>
      <c r="H95" s="2041">
        <f>SUM(H93:H94)</f>
        <v>288750</v>
      </c>
    </row>
    <row r="96" spans="2:16" s="2027" customFormat="1" x14ac:dyDescent="0.3">
      <c r="B96" s="2023" t="s">
        <v>411</v>
      </c>
      <c r="C96" s="2046" t="s">
        <v>60</v>
      </c>
      <c r="E96" s="1556"/>
      <c r="F96" s="2044"/>
      <c r="G96" s="2047"/>
      <c r="H96" s="2047"/>
    </row>
    <row r="97" spans="2:16" s="2027" customFormat="1" x14ac:dyDescent="0.3">
      <c r="B97" s="2026"/>
      <c r="E97" s="1556"/>
      <c r="F97" s="2044"/>
      <c r="G97" s="2045" t="s">
        <v>61</v>
      </c>
      <c r="H97" s="2041">
        <v>0</v>
      </c>
    </row>
    <row r="98" spans="2:16" s="2027" customFormat="1" x14ac:dyDescent="0.3">
      <c r="B98" s="1556" t="s">
        <v>6</v>
      </c>
      <c r="C98" s="2027" t="s">
        <v>875</v>
      </c>
      <c r="E98" s="2028"/>
      <c r="F98" s="1556"/>
      <c r="G98" s="1556"/>
      <c r="H98" s="2047">
        <f>+H97+H95+H91</f>
        <v>393559.02777777775</v>
      </c>
    </row>
    <row r="99" spans="2:16" s="2027" customFormat="1" x14ac:dyDescent="0.3">
      <c r="B99" s="1974" t="s">
        <v>7</v>
      </c>
      <c r="C99" s="1555" t="s">
        <v>100</v>
      </c>
      <c r="D99" s="1553"/>
      <c r="E99" s="1980"/>
      <c r="F99" s="1976"/>
      <c r="G99" s="2004">
        <v>0</v>
      </c>
      <c r="H99" s="1981">
        <f>H98*J81</f>
        <v>0</v>
      </c>
    </row>
    <row r="100" spans="2:16" s="2027" customFormat="1" x14ac:dyDescent="0.3">
      <c r="B100" s="1976" t="s">
        <v>63</v>
      </c>
      <c r="C100" s="1553" t="s">
        <v>877</v>
      </c>
      <c r="D100" s="1553"/>
      <c r="E100" s="1980"/>
      <c r="F100" s="1976"/>
      <c r="G100" s="1976"/>
      <c r="H100" s="1981">
        <f>+H98+H99</f>
        <v>393559.02777777775</v>
      </c>
    </row>
    <row r="101" spans="2:16" s="2027" customFormat="1" x14ac:dyDescent="0.3">
      <c r="B101" s="1553"/>
      <c r="C101" s="1554" t="s">
        <v>878</v>
      </c>
      <c r="D101" s="1555"/>
      <c r="E101" s="1555"/>
      <c r="F101" s="1555"/>
      <c r="G101" s="1555"/>
      <c r="H101" s="2005">
        <f>ROUNDDOWN(H100,2)</f>
        <v>393559.02</v>
      </c>
    </row>
    <row r="102" spans="2:16" x14ac:dyDescent="0.3">
      <c r="C102" s="2052"/>
      <c r="D102" s="2053"/>
      <c r="E102" s="2053"/>
      <c r="F102" s="2053"/>
      <c r="G102" s="2053"/>
      <c r="H102" s="2054"/>
    </row>
    <row r="103" spans="2:16" x14ac:dyDescent="0.3">
      <c r="B103" s="2055" t="s">
        <v>1216</v>
      </c>
      <c r="C103" s="2056"/>
      <c r="D103" s="2056"/>
      <c r="E103" s="2056"/>
      <c r="F103" s="2056"/>
      <c r="G103" s="2056"/>
      <c r="H103" s="2056"/>
    </row>
    <row r="104" spans="2:16" s="2027" customFormat="1" x14ac:dyDescent="0.3">
      <c r="B104" s="2026" t="s">
        <v>1091</v>
      </c>
      <c r="C104" s="2026" t="s">
        <v>1092</v>
      </c>
      <c r="E104" s="2028"/>
      <c r="F104" s="1556"/>
      <c r="G104" s="1556"/>
      <c r="H104" s="2029"/>
    </row>
    <row r="105" spans="2:16" s="1976" customFormat="1" ht="15.95" customHeight="1" x14ac:dyDescent="0.3">
      <c r="B105" s="1982" t="s">
        <v>12</v>
      </c>
      <c r="C105" s="1982" t="s">
        <v>36</v>
      </c>
      <c r="D105" s="1982" t="s">
        <v>37</v>
      </c>
      <c r="E105" s="1983" t="s">
        <v>184</v>
      </c>
      <c r="F105" s="1984" t="s">
        <v>868</v>
      </c>
      <c r="G105" s="1983" t="s">
        <v>1063</v>
      </c>
      <c r="H105" s="1983" t="s">
        <v>40</v>
      </c>
      <c r="I105" s="1985"/>
      <c r="J105" s="1986"/>
      <c r="K105" s="1986"/>
      <c r="L105" s="1986"/>
      <c r="M105" s="1986"/>
      <c r="N105" s="1987"/>
      <c r="O105" s="1988"/>
      <c r="P105" s="1989"/>
    </row>
    <row r="106" spans="2:16" s="2027" customFormat="1" x14ac:dyDescent="0.3">
      <c r="B106" s="2035" t="s">
        <v>368</v>
      </c>
      <c r="C106" s="2036" t="s">
        <v>42</v>
      </c>
      <c r="D106" s="2035"/>
      <c r="E106" s="2037"/>
      <c r="F106" s="2038"/>
      <c r="G106" s="2037"/>
      <c r="H106" s="2037"/>
    </row>
    <row r="107" spans="2:16" s="2027" customFormat="1" x14ac:dyDescent="0.3">
      <c r="B107" s="2035"/>
      <c r="C107" s="2027" t="s">
        <v>71</v>
      </c>
      <c r="D107" s="2039" t="s">
        <v>44</v>
      </c>
      <c r="E107" s="1556" t="s">
        <v>618</v>
      </c>
      <c r="F107" s="2057">
        <v>0.01</v>
      </c>
      <c r="G107" s="1995">
        <f>G87</f>
        <v>115000</v>
      </c>
      <c r="H107" s="2041">
        <f>F107*G107</f>
        <v>1150</v>
      </c>
    </row>
    <row r="108" spans="2:16" s="2027" customFormat="1" x14ac:dyDescent="0.3">
      <c r="B108" s="2035"/>
      <c r="C108" s="2027" t="s">
        <v>1076</v>
      </c>
      <c r="D108" s="2039" t="s">
        <v>47</v>
      </c>
      <c r="E108" s="1556" t="s">
        <v>618</v>
      </c>
      <c r="F108" s="2057">
        <v>0.4</v>
      </c>
      <c r="G108" s="1995">
        <f>G88</f>
        <v>170000</v>
      </c>
      <c r="H108" s="2041">
        <f>F108*G108</f>
        <v>68000</v>
      </c>
    </row>
    <row r="109" spans="2:16" s="2027" customFormat="1" x14ac:dyDescent="0.3">
      <c r="B109" s="2035"/>
      <c r="C109" s="2027" t="s">
        <v>605</v>
      </c>
      <c r="D109" s="2039" t="s">
        <v>49</v>
      </c>
      <c r="E109" s="1556" t="s">
        <v>618</v>
      </c>
      <c r="F109" s="2057">
        <v>0.04</v>
      </c>
      <c r="G109" s="1995">
        <f>G89</f>
        <v>185000</v>
      </c>
      <c r="H109" s="2041">
        <f>F109*G109</f>
        <v>7400</v>
      </c>
    </row>
    <row r="110" spans="2:16" s="2027" customFormat="1" x14ac:dyDescent="0.3">
      <c r="B110" s="2035"/>
      <c r="C110" s="2027" t="s">
        <v>50</v>
      </c>
      <c r="D110" s="2039" t="s">
        <v>51</v>
      </c>
      <c r="E110" s="1556" t="s">
        <v>618</v>
      </c>
      <c r="F110" s="2057">
        <v>5.0000000000000001E-3</v>
      </c>
      <c r="G110" s="1995">
        <f>G90</f>
        <v>200000</v>
      </c>
      <c r="H110" s="2041">
        <f>F110*G110</f>
        <v>1000</v>
      </c>
    </row>
    <row r="111" spans="2:16" s="2027" customFormat="1" x14ac:dyDescent="0.3">
      <c r="B111" s="2035"/>
      <c r="D111" s="2035"/>
      <c r="E111" s="1556"/>
      <c r="F111" s="2058"/>
      <c r="G111" s="2042" t="s">
        <v>52</v>
      </c>
      <c r="H111" s="2041">
        <f>SUM(H107:H110)</f>
        <v>77550</v>
      </c>
    </row>
    <row r="112" spans="2:16" s="2027" customFormat="1" x14ac:dyDescent="0.3">
      <c r="B112" s="2035" t="s">
        <v>394</v>
      </c>
      <c r="C112" s="2026" t="s">
        <v>872</v>
      </c>
      <c r="D112" s="2035"/>
      <c r="E112" s="1556"/>
      <c r="F112" s="2058"/>
      <c r="G112" s="2043"/>
      <c r="H112" s="2041"/>
    </row>
    <row r="113" spans="2:16" s="2027" customFormat="1" x14ac:dyDescent="0.3">
      <c r="B113" s="2035"/>
      <c r="C113" s="2027" t="s">
        <v>1093</v>
      </c>
      <c r="E113" s="1556" t="s">
        <v>32</v>
      </c>
      <c r="F113" s="2058">
        <v>1</v>
      </c>
      <c r="G113" s="2043">
        <f>'UB mep'!J34</f>
        <v>135000</v>
      </c>
      <c r="H113" s="2041">
        <f>+F113*G113</f>
        <v>135000</v>
      </c>
    </row>
    <row r="114" spans="2:16" s="2027" customFormat="1" x14ac:dyDescent="0.3">
      <c r="B114" s="2023"/>
      <c r="C114" s="2027" t="s">
        <v>1094</v>
      </c>
      <c r="E114" s="1556" t="s">
        <v>456</v>
      </c>
      <c r="F114" s="2058">
        <v>0.1</v>
      </c>
      <c r="G114" s="2043" t="e">
        <f>BAHAN!#REF!</f>
        <v>#REF!</v>
      </c>
      <c r="H114" s="2041" t="e">
        <f>+F114*G114</f>
        <v>#REF!</v>
      </c>
    </row>
    <row r="115" spans="2:16" s="2027" customFormat="1" x14ac:dyDescent="0.3">
      <c r="B115" s="2026"/>
      <c r="E115" s="1556"/>
      <c r="F115" s="2044"/>
      <c r="G115" s="2045" t="s">
        <v>59</v>
      </c>
      <c r="H115" s="2041" t="e">
        <f>SUM(H113:H114)</f>
        <v>#REF!</v>
      </c>
    </row>
    <row r="116" spans="2:16" s="2027" customFormat="1" x14ac:dyDescent="0.3">
      <c r="B116" s="2023" t="s">
        <v>411</v>
      </c>
      <c r="C116" s="2046" t="s">
        <v>60</v>
      </c>
      <c r="E116" s="1556"/>
      <c r="F116" s="2044"/>
      <c r="G116" s="2047"/>
      <c r="H116" s="2047"/>
    </row>
    <row r="117" spans="2:16" s="2027" customFormat="1" x14ac:dyDescent="0.3">
      <c r="B117" s="2026"/>
      <c r="E117" s="1556"/>
      <c r="F117" s="2044"/>
      <c r="G117" s="2045" t="s">
        <v>61</v>
      </c>
      <c r="H117" s="2041">
        <v>0</v>
      </c>
    </row>
    <row r="118" spans="2:16" s="2027" customFormat="1" x14ac:dyDescent="0.3">
      <c r="B118" s="1556" t="s">
        <v>6</v>
      </c>
      <c r="C118" s="2027" t="s">
        <v>875</v>
      </c>
      <c r="E118" s="2028"/>
      <c r="F118" s="1556"/>
      <c r="G118" s="1556"/>
      <c r="H118" s="2047" t="e">
        <f>+H117+H115+H111</f>
        <v>#REF!</v>
      </c>
    </row>
    <row r="119" spans="2:16" s="2027" customFormat="1" x14ac:dyDescent="0.3">
      <c r="B119" s="1974" t="s">
        <v>7</v>
      </c>
      <c r="C119" s="1555" t="s">
        <v>100</v>
      </c>
      <c r="D119" s="1553"/>
      <c r="E119" s="1980"/>
      <c r="F119" s="1976"/>
      <c r="G119" s="2004">
        <v>0</v>
      </c>
      <c r="H119" s="1981" t="e">
        <f>H118*J101</f>
        <v>#REF!</v>
      </c>
    </row>
    <row r="120" spans="2:16" s="2027" customFormat="1" x14ac:dyDescent="0.3">
      <c r="B120" s="1976" t="s">
        <v>63</v>
      </c>
      <c r="C120" s="1553" t="s">
        <v>877</v>
      </c>
      <c r="D120" s="1553"/>
      <c r="E120" s="1980"/>
      <c r="F120" s="1976"/>
      <c r="G120" s="1976"/>
      <c r="H120" s="1981" t="e">
        <f>+H118+H119</f>
        <v>#REF!</v>
      </c>
    </row>
    <row r="121" spans="2:16" s="2027" customFormat="1" x14ac:dyDescent="0.3">
      <c r="B121" s="1553"/>
      <c r="C121" s="1554" t="s">
        <v>878</v>
      </c>
      <c r="D121" s="1555"/>
      <c r="E121" s="1555"/>
      <c r="F121" s="1555"/>
      <c r="G121" s="1555"/>
      <c r="H121" s="2005" t="e">
        <f>ROUNDDOWN(H120,2)</f>
        <v>#REF!</v>
      </c>
    </row>
    <row r="122" spans="2:16" x14ac:dyDescent="0.3">
      <c r="B122" s="2048"/>
      <c r="C122" s="2048"/>
      <c r="D122" s="2048"/>
      <c r="E122" s="2048"/>
      <c r="F122" s="2048"/>
      <c r="G122" s="2048"/>
      <c r="H122" s="2048"/>
    </row>
    <row r="123" spans="2:16" s="2027" customFormat="1" x14ac:dyDescent="0.3">
      <c r="B123" s="2026" t="s">
        <v>1095</v>
      </c>
      <c r="C123" s="2026" t="s">
        <v>1096</v>
      </c>
      <c r="E123" s="2028"/>
      <c r="F123" s="1556"/>
      <c r="G123" s="1556"/>
      <c r="H123" s="2029"/>
    </row>
    <row r="124" spans="2:16" s="1976" customFormat="1" ht="15.95" customHeight="1" x14ac:dyDescent="0.3">
      <c r="B124" s="1982" t="s">
        <v>12</v>
      </c>
      <c r="C124" s="1982" t="s">
        <v>36</v>
      </c>
      <c r="D124" s="1982" t="s">
        <v>37</v>
      </c>
      <c r="E124" s="1983" t="s">
        <v>184</v>
      </c>
      <c r="F124" s="1984" t="s">
        <v>868</v>
      </c>
      <c r="G124" s="1983" t="s">
        <v>1063</v>
      </c>
      <c r="H124" s="1983" t="s">
        <v>40</v>
      </c>
      <c r="I124" s="1985"/>
      <c r="J124" s="1986"/>
      <c r="K124" s="1986"/>
      <c r="L124" s="1986"/>
      <c r="M124" s="1986"/>
      <c r="N124" s="1987"/>
      <c r="O124" s="1988"/>
      <c r="P124" s="1989"/>
    </row>
    <row r="125" spans="2:16" s="2027" customFormat="1" x14ac:dyDescent="0.3">
      <c r="B125" s="2035" t="s">
        <v>368</v>
      </c>
      <c r="C125" s="2036" t="s">
        <v>42</v>
      </c>
      <c r="D125" s="2035"/>
      <c r="E125" s="2037"/>
      <c r="F125" s="2038"/>
      <c r="G125" s="2037"/>
      <c r="H125" s="2037"/>
    </row>
    <row r="126" spans="2:16" s="2027" customFormat="1" x14ac:dyDescent="0.3">
      <c r="B126" s="2035"/>
      <c r="C126" s="2027" t="s">
        <v>71</v>
      </c>
      <c r="D126" s="2039" t="s">
        <v>44</v>
      </c>
      <c r="E126" s="1556" t="s">
        <v>618</v>
      </c>
      <c r="F126" s="2057">
        <v>0.01</v>
      </c>
      <c r="G126" s="1995">
        <f>G107</f>
        <v>115000</v>
      </c>
      <c r="H126" s="2041">
        <f>F126*G126</f>
        <v>1150</v>
      </c>
    </row>
    <row r="127" spans="2:16" s="2027" customFormat="1" x14ac:dyDescent="0.3">
      <c r="B127" s="2035"/>
      <c r="C127" s="2027" t="s">
        <v>1076</v>
      </c>
      <c r="D127" s="2039" t="s">
        <v>47</v>
      </c>
      <c r="E127" s="1556" t="s">
        <v>618</v>
      </c>
      <c r="F127" s="2057">
        <v>0.4</v>
      </c>
      <c r="G127" s="1995">
        <f>G108</f>
        <v>170000</v>
      </c>
      <c r="H127" s="2041">
        <f>F127*G127</f>
        <v>68000</v>
      </c>
    </row>
    <row r="128" spans="2:16" s="2027" customFormat="1" x14ac:dyDescent="0.3">
      <c r="B128" s="2035"/>
      <c r="C128" s="2027" t="s">
        <v>605</v>
      </c>
      <c r="D128" s="2039" t="s">
        <v>49</v>
      </c>
      <c r="E128" s="1556" t="s">
        <v>618</v>
      </c>
      <c r="F128" s="2057">
        <v>0.04</v>
      </c>
      <c r="G128" s="1995">
        <f>G109</f>
        <v>185000</v>
      </c>
      <c r="H128" s="2041">
        <f>F128*G128</f>
        <v>7400</v>
      </c>
    </row>
    <row r="129" spans="2:16" s="2027" customFormat="1" x14ac:dyDescent="0.3">
      <c r="B129" s="2035"/>
      <c r="C129" s="2027" t="s">
        <v>50</v>
      </c>
      <c r="D129" s="2039" t="s">
        <v>51</v>
      </c>
      <c r="E129" s="1556" t="s">
        <v>618</v>
      </c>
      <c r="F129" s="2057">
        <v>5.0000000000000001E-3</v>
      </c>
      <c r="G129" s="1995">
        <f>G110</f>
        <v>200000</v>
      </c>
      <c r="H129" s="2041">
        <f>F129*G129</f>
        <v>1000</v>
      </c>
    </row>
    <row r="130" spans="2:16" s="2027" customFormat="1" x14ac:dyDescent="0.3">
      <c r="B130" s="2035"/>
      <c r="D130" s="2035"/>
      <c r="E130" s="1556"/>
      <c r="F130" s="2058"/>
      <c r="G130" s="2042" t="s">
        <v>52</v>
      </c>
      <c r="H130" s="2041">
        <f>SUM(H126:H129)</f>
        <v>77550</v>
      </c>
    </row>
    <row r="131" spans="2:16" s="2027" customFormat="1" x14ac:dyDescent="0.3">
      <c r="B131" s="2035" t="s">
        <v>394</v>
      </c>
      <c r="C131" s="2026" t="s">
        <v>872</v>
      </c>
      <c r="D131" s="2035"/>
      <c r="E131" s="1556"/>
      <c r="F131" s="2058"/>
      <c r="G131" s="2043"/>
      <c r="H131" s="2041"/>
    </row>
    <row r="132" spans="2:16" s="2027" customFormat="1" x14ac:dyDescent="0.3">
      <c r="B132" s="2035"/>
      <c r="C132" s="2027" t="s">
        <v>1097</v>
      </c>
      <c r="E132" s="1556" t="s">
        <v>32</v>
      </c>
      <c r="F132" s="2058">
        <v>1</v>
      </c>
      <c r="G132" s="2043">
        <f>'UB mep'!J35</f>
        <v>258000</v>
      </c>
      <c r="H132" s="2041">
        <f>+F132*G132</f>
        <v>258000</v>
      </c>
    </row>
    <row r="133" spans="2:16" s="2027" customFormat="1" x14ac:dyDescent="0.3">
      <c r="B133" s="2023"/>
      <c r="C133" s="2027" t="s">
        <v>1094</v>
      </c>
      <c r="E133" s="1556" t="s">
        <v>456</v>
      </c>
      <c r="F133" s="2058">
        <v>0.1</v>
      </c>
      <c r="G133" s="2043" t="e">
        <f>G114</f>
        <v>#REF!</v>
      </c>
      <c r="H133" s="2041" t="e">
        <f>+F133*G133</f>
        <v>#REF!</v>
      </c>
    </row>
    <row r="134" spans="2:16" s="2027" customFormat="1" x14ac:dyDescent="0.3">
      <c r="B134" s="2026"/>
      <c r="E134" s="1556"/>
      <c r="F134" s="2044"/>
      <c r="G134" s="2045" t="s">
        <v>59</v>
      </c>
      <c r="H134" s="2041" t="e">
        <f>SUM(H132:H133)</f>
        <v>#REF!</v>
      </c>
    </row>
    <row r="135" spans="2:16" s="2027" customFormat="1" x14ac:dyDescent="0.3">
      <c r="B135" s="2023" t="s">
        <v>411</v>
      </c>
      <c r="C135" s="2046" t="s">
        <v>60</v>
      </c>
      <c r="E135" s="1556"/>
      <c r="F135" s="2044"/>
      <c r="G135" s="2047"/>
      <c r="H135" s="2047"/>
    </row>
    <row r="136" spans="2:16" s="2027" customFormat="1" x14ac:dyDescent="0.3">
      <c r="B136" s="2026"/>
      <c r="E136" s="1556"/>
      <c r="F136" s="2044"/>
      <c r="G136" s="2045" t="s">
        <v>61</v>
      </c>
      <c r="H136" s="2041">
        <v>0</v>
      </c>
    </row>
    <row r="137" spans="2:16" s="2027" customFormat="1" x14ac:dyDescent="0.3">
      <c r="B137" s="1556" t="s">
        <v>6</v>
      </c>
      <c r="C137" s="2027" t="s">
        <v>875</v>
      </c>
      <c r="E137" s="2028"/>
      <c r="F137" s="1556"/>
      <c r="G137" s="1556"/>
      <c r="H137" s="2047" t="e">
        <f>+H136+H134+H130</f>
        <v>#REF!</v>
      </c>
    </row>
    <row r="138" spans="2:16" s="2027" customFormat="1" x14ac:dyDescent="0.3">
      <c r="B138" s="1974" t="s">
        <v>7</v>
      </c>
      <c r="C138" s="1555" t="s">
        <v>100</v>
      </c>
      <c r="D138" s="1553"/>
      <c r="E138" s="1980"/>
      <c r="F138" s="1976"/>
      <c r="G138" s="2004">
        <v>0</v>
      </c>
      <c r="H138" s="1981" t="e">
        <f>H137*J120</f>
        <v>#REF!</v>
      </c>
    </row>
    <row r="139" spans="2:16" s="2027" customFormat="1" x14ac:dyDescent="0.3">
      <c r="B139" s="1976" t="s">
        <v>63</v>
      </c>
      <c r="C139" s="1553" t="s">
        <v>877</v>
      </c>
      <c r="D139" s="1553"/>
      <c r="E139" s="1980"/>
      <c r="F139" s="1976"/>
      <c r="G139" s="1976"/>
      <c r="H139" s="1981" t="e">
        <f>+H137+H138</f>
        <v>#REF!</v>
      </c>
    </row>
    <row r="140" spans="2:16" s="2027" customFormat="1" x14ac:dyDescent="0.3">
      <c r="B140" s="1553"/>
      <c r="C140" s="1554" t="s">
        <v>878</v>
      </c>
      <c r="D140" s="1555"/>
      <c r="E140" s="1555"/>
      <c r="F140" s="1555"/>
      <c r="G140" s="1555"/>
      <c r="H140" s="2005" t="e">
        <f>ROUNDDOWN(H139,2)</f>
        <v>#REF!</v>
      </c>
    </row>
    <row r="141" spans="2:16" x14ac:dyDescent="0.3">
      <c r="B141" s="2048"/>
      <c r="C141" s="2048"/>
      <c r="D141" s="2048"/>
      <c r="E141" s="2048"/>
      <c r="F141" s="2048"/>
      <c r="G141" s="2048"/>
      <c r="H141" s="2048"/>
    </row>
    <row r="142" spans="2:16" x14ac:dyDescent="0.3">
      <c r="B142" s="2026" t="s">
        <v>1098</v>
      </c>
      <c r="C142" s="2026" t="s">
        <v>1099</v>
      </c>
      <c r="D142" s="2021"/>
      <c r="E142" s="2049"/>
      <c r="G142" s="2050"/>
      <c r="H142" s="2051"/>
    </row>
    <row r="143" spans="2:16" s="1976" customFormat="1" ht="15.95" customHeight="1" x14ac:dyDescent="0.3">
      <c r="B143" s="1982" t="s">
        <v>12</v>
      </c>
      <c r="C143" s="1982" t="s">
        <v>36</v>
      </c>
      <c r="D143" s="1982" t="s">
        <v>37</v>
      </c>
      <c r="E143" s="1983" t="s">
        <v>184</v>
      </c>
      <c r="F143" s="1984" t="s">
        <v>868</v>
      </c>
      <c r="G143" s="1983" t="s">
        <v>1063</v>
      </c>
      <c r="H143" s="1983" t="s">
        <v>40</v>
      </c>
      <c r="I143" s="1985"/>
      <c r="J143" s="1986"/>
      <c r="K143" s="1986"/>
      <c r="L143" s="1986"/>
      <c r="M143" s="1986"/>
      <c r="N143" s="1987"/>
      <c r="O143" s="1988"/>
      <c r="P143" s="1989"/>
    </row>
    <row r="144" spans="2:16" s="2027" customFormat="1" x14ac:dyDescent="0.3">
      <c r="B144" s="2035" t="s">
        <v>368</v>
      </c>
      <c r="C144" s="2036" t="s">
        <v>42</v>
      </c>
      <c r="D144" s="2035"/>
      <c r="E144" s="2037"/>
      <c r="F144" s="2038"/>
      <c r="G144" s="2037"/>
      <c r="H144" s="2037"/>
    </row>
    <row r="145" spans="2:8" s="2027" customFormat="1" x14ac:dyDescent="0.3">
      <c r="B145" s="2035"/>
      <c r="C145" s="2027" t="s">
        <v>71</v>
      </c>
      <c r="D145" s="2039" t="s">
        <v>44</v>
      </c>
      <c r="E145" s="1556" t="s">
        <v>618</v>
      </c>
      <c r="F145" s="2057">
        <v>0.01</v>
      </c>
      <c r="G145" s="1995">
        <f>G107</f>
        <v>115000</v>
      </c>
      <c r="H145" s="2041">
        <f>F145*G145</f>
        <v>1150</v>
      </c>
    </row>
    <row r="146" spans="2:8" s="2027" customFormat="1" x14ac:dyDescent="0.3">
      <c r="B146" s="2035"/>
      <c r="C146" s="2027" t="s">
        <v>1076</v>
      </c>
      <c r="D146" s="2039" t="s">
        <v>47</v>
      </c>
      <c r="E146" s="1556" t="s">
        <v>618</v>
      </c>
      <c r="F146" s="2057">
        <v>0.4</v>
      </c>
      <c r="G146" s="1995">
        <f>G108</f>
        <v>170000</v>
      </c>
      <c r="H146" s="2041">
        <f>F146*G146</f>
        <v>68000</v>
      </c>
    </row>
    <row r="147" spans="2:8" s="2027" customFormat="1" x14ac:dyDescent="0.3">
      <c r="B147" s="2035"/>
      <c r="C147" s="2027" t="s">
        <v>605</v>
      </c>
      <c r="D147" s="2039" t="s">
        <v>49</v>
      </c>
      <c r="E147" s="1556" t="s">
        <v>618</v>
      </c>
      <c r="F147" s="2057">
        <v>0.04</v>
      </c>
      <c r="G147" s="1995">
        <f>G109</f>
        <v>185000</v>
      </c>
      <c r="H147" s="2041">
        <f>F147*G147</f>
        <v>7400</v>
      </c>
    </row>
    <row r="148" spans="2:8" s="2027" customFormat="1" x14ac:dyDescent="0.3">
      <c r="B148" s="2035"/>
      <c r="C148" s="2027" t="s">
        <v>50</v>
      </c>
      <c r="D148" s="2039" t="s">
        <v>51</v>
      </c>
      <c r="E148" s="1556" t="s">
        <v>618</v>
      </c>
      <c r="F148" s="2057">
        <v>5.0000000000000001E-3</v>
      </c>
      <c r="G148" s="1995">
        <f>G110</f>
        <v>200000</v>
      </c>
      <c r="H148" s="2041">
        <f>F148*G148</f>
        <v>1000</v>
      </c>
    </row>
    <row r="149" spans="2:8" s="2027" customFormat="1" x14ac:dyDescent="0.3">
      <c r="B149" s="2035"/>
      <c r="D149" s="2035"/>
      <c r="E149" s="1556"/>
      <c r="F149" s="2058"/>
      <c r="G149" s="2042" t="s">
        <v>52</v>
      </c>
      <c r="H149" s="2041">
        <f>SUM(H145:H148)</f>
        <v>77550</v>
      </c>
    </row>
    <row r="150" spans="2:8" s="2027" customFormat="1" x14ac:dyDescent="0.3">
      <c r="B150" s="2035" t="s">
        <v>394</v>
      </c>
      <c r="C150" s="2026" t="s">
        <v>872</v>
      </c>
      <c r="D150" s="2035"/>
      <c r="E150" s="1556"/>
      <c r="F150" s="2058"/>
      <c r="G150" s="2043"/>
      <c r="H150" s="2041"/>
    </row>
    <row r="151" spans="2:8" s="2027" customFormat="1" x14ac:dyDescent="0.3">
      <c r="B151" s="2035"/>
      <c r="C151" s="2027" t="s">
        <v>1100</v>
      </c>
      <c r="E151" s="1556" t="s">
        <v>32</v>
      </c>
      <c r="F151" s="2058">
        <v>1</v>
      </c>
      <c r="G151" s="2043">
        <f>'UB mep'!J36</f>
        <v>365000</v>
      </c>
      <c r="H151" s="2041">
        <f>+F151*G151</f>
        <v>365000</v>
      </c>
    </row>
    <row r="152" spans="2:8" s="2027" customFormat="1" x14ac:dyDescent="0.3">
      <c r="B152" s="2023"/>
      <c r="C152" s="2027" t="s">
        <v>1094</v>
      </c>
      <c r="E152" s="1556" t="s">
        <v>456</v>
      </c>
      <c r="F152" s="2058">
        <v>0.1</v>
      </c>
      <c r="G152" s="2043" t="e">
        <f>G133</f>
        <v>#REF!</v>
      </c>
      <c r="H152" s="2041" t="e">
        <f>+F152*G152</f>
        <v>#REF!</v>
      </c>
    </row>
    <row r="153" spans="2:8" s="2027" customFormat="1" x14ac:dyDescent="0.3">
      <c r="B153" s="2026"/>
      <c r="E153" s="1556"/>
      <c r="F153" s="2044"/>
      <c r="G153" s="2045" t="s">
        <v>59</v>
      </c>
      <c r="H153" s="2041" t="e">
        <f>SUM(H151:H152)</f>
        <v>#REF!</v>
      </c>
    </row>
    <row r="154" spans="2:8" s="2027" customFormat="1" x14ac:dyDescent="0.3">
      <c r="B154" s="2023" t="s">
        <v>411</v>
      </c>
      <c r="C154" s="2046" t="s">
        <v>60</v>
      </c>
      <c r="E154" s="1556"/>
      <c r="F154" s="2044"/>
      <c r="G154" s="2047"/>
      <c r="H154" s="2047"/>
    </row>
    <row r="155" spans="2:8" s="2027" customFormat="1" x14ac:dyDescent="0.3">
      <c r="B155" s="2026"/>
      <c r="E155" s="1556"/>
      <c r="F155" s="2044"/>
      <c r="G155" s="2045" t="s">
        <v>61</v>
      </c>
      <c r="H155" s="2041">
        <v>0</v>
      </c>
    </row>
    <row r="156" spans="2:8" s="2027" customFormat="1" x14ac:dyDescent="0.3">
      <c r="B156" s="1556" t="s">
        <v>6</v>
      </c>
      <c r="C156" s="2027" t="s">
        <v>875</v>
      </c>
      <c r="E156" s="2028"/>
      <c r="F156" s="1556"/>
      <c r="G156" s="1556"/>
      <c r="H156" s="2047" t="e">
        <f>+H155+H153+H149</f>
        <v>#REF!</v>
      </c>
    </row>
    <row r="157" spans="2:8" s="2027" customFormat="1" x14ac:dyDescent="0.3">
      <c r="B157" s="1974" t="s">
        <v>7</v>
      </c>
      <c r="C157" s="1555" t="s">
        <v>100</v>
      </c>
      <c r="D157" s="1553"/>
      <c r="E157" s="1980"/>
      <c r="F157" s="1976"/>
      <c r="G157" s="2004">
        <v>0</v>
      </c>
      <c r="H157" s="1981" t="e">
        <f>H156*J139</f>
        <v>#REF!</v>
      </c>
    </row>
    <row r="158" spans="2:8" s="2027" customFormat="1" x14ac:dyDescent="0.3">
      <c r="B158" s="1976" t="s">
        <v>63</v>
      </c>
      <c r="C158" s="1553" t="s">
        <v>877</v>
      </c>
      <c r="D158" s="1553"/>
      <c r="E158" s="1980"/>
      <c r="F158" s="1976"/>
      <c r="G158" s="1976"/>
      <c r="H158" s="1981" t="e">
        <f>+H156+H157</f>
        <v>#REF!</v>
      </c>
    </row>
    <row r="159" spans="2:8" s="2027" customFormat="1" x14ac:dyDescent="0.3">
      <c r="B159" s="1553"/>
      <c r="C159" s="1554" t="s">
        <v>878</v>
      </c>
      <c r="D159" s="1555"/>
      <c r="E159" s="1555"/>
      <c r="F159" s="1555"/>
      <c r="G159" s="1555"/>
      <c r="H159" s="2005" t="e">
        <f>ROUNDDOWN(H158,2)</f>
        <v>#REF!</v>
      </c>
    </row>
    <row r="160" spans="2:8" x14ac:dyDescent="0.3">
      <c r="B160" s="2048"/>
      <c r="C160" s="2048"/>
      <c r="D160" s="2048"/>
      <c r="E160" s="2048"/>
      <c r="F160" s="2048"/>
      <c r="G160" s="2048"/>
      <c r="H160" s="2048"/>
    </row>
    <row r="161" spans="2:16" s="2026" customFormat="1" ht="14.25" x14ac:dyDescent="0.2">
      <c r="B161" s="2026" t="s">
        <v>1101</v>
      </c>
      <c r="C161" s="2026" t="s">
        <v>1102</v>
      </c>
      <c r="E161" s="2059"/>
      <c r="F161" s="2023"/>
      <c r="G161" s="2023"/>
      <c r="H161" s="2029"/>
    </row>
    <row r="162" spans="2:16" s="1976" customFormat="1" ht="15.95" customHeight="1" x14ac:dyDescent="0.3">
      <c r="B162" s="1982" t="s">
        <v>12</v>
      </c>
      <c r="C162" s="1982" t="s">
        <v>36</v>
      </c>
      <c r="D162" s="1982" t="s">
        <v>37</v>
      </c>
      <c r="E162" s="1983" t="s">
        <v>184</v>
      </c>
      <c r="F162" s="1984" t="s">
        <v>868</v>
      </c>
      <c r="G162" s="1983" t="s">
        <v>1063</v>
      </c>
      <c r="H162" s="1983" t="s">
        <v>40</v>
      </c>
      <c r="I162" s="1985"/>
      <c r="J162" s="1986"/>
      <c r="K162" s="1986"/>
      <c r="L162" s="1986"/>
      <c r="M162" s="1986"/>
      <c r="N162" s="1987"/>
      <c r="O162" s="1988"/>
      <c r="P162" s="1989"/>
    </row>
    <row r="163" spans="2:16" s="2027" customFormat="1" x14ac:dyDescent="0.3">
      <c r="B163" s="2035" t="s">
        <v>368</v>
      </c>
      <c r="C163" s="2036" t="s">
        <v>42</v>
      </c>
      <c r="D163" s="2035"/>
      <c r="E163" s="2037"/>
      <c r="F163" s="2038"/>
      <c r="G163" s="2037"/>
      <c r="H163" s="2037"/>
    </row>
    <row r="164" spans="2:16" s="2027" customFormat="1" x14ac:dyDescent="0.3">
      <c r="B164" s="2035"/>
      <c r="C164" s="2027" t="s">
        <v>71</v>
      </c>
      <c r="D164" s="2039" t="s">
        <v>44</v>
      </c>
      <c r="E164" s="1556" t="s">
        <v>618</v>
      </c>
      <c r="F164" s="2057">
        <v>0.08</v>
      </c>
      <c r="G164" s="1995">
        <f>G126</f>
        <v>115000</v>
      </c>
      <c r="H164" s="2041">
        <f>F164*G164</f>
        <v>9200</v>
      </c>
    </row>
    <row r="165" spans="2:16" s="2027" customFormat="1" x14ac:dyDescent="0.3">
      <c r="B165" s="2035"/>
      <c r="C165" s="2027" t="s">
        <v>1076</v>
      </c>
      <c r="D165" s="2039" t="s">
        <v>47</v>
      </c>
      <c r="E165" s="1556" t="s">
        <v>618</v>
      </c>
      <c r="F165" s="2057">
        <v>0.05</v>
      </c>
      <c r="G165" s="1995">
        <f>G127</f>
        <v>170000</v>
      </c>
      <c r="H165" s="2041">
        <f>F165*G165</f>
        <v>8500</v>
      </c>
    </row>
    <row r="166" spans="2:16" s="2027" customFormat="1" x14ac:dyDescent="0.3">
      <c r="B166" s="2035"/>
      <c r="C166" s="2027" t="s">
        <v>605</v>
      </c>
      <c r="D166" s="2039" t="s">
        <v>49</v>
      </c>
      <c r="E166" s="1556" t="s">
        <v>618</v>
      </c>
      <c r="F166" s="2057">
        <v>1E-3</v>
      </c>
      <c r="G166" s="1995">
        <f>G128</f>
        <v>185000</v>
      </c>
      <c r="H166" s="2041">
        <f>F166*G166</f>
        <v>185</v>
      </c>
    </row>
    <row r="167" spans="2:16" s="2027" customFormat="1" x14ac:dyDescent="0.3">
      <c r="B167" s="2035"/>
      <c r="C167" s="2027" t="s">
        <v>50</v>
      </c>
      <c r="D167" s="2039" t="s">
        <v>51</v>
      </c>
      <c r="E167" s="1556" t="s">
        <v>618</v>
      </c>
      <c r="F167" s="2057">
        <v>1E-3</v>
      </c>
      <c r="G167" s="1995">
        <f>G129</f>
        <v>200000</v>
      </c>
      <c r="H167" s="2041">
        <f>F167*G167</f>
        <v>200</v>
      </c>
    </row>
    <row r="168" spans="2:16" s="2027" customFormat="1" x14ac:dyDescent="0.3">
      <c r="B168" s="2035"/>
      <c r="D168" s="2035"/>
      <c r="E168" s="1556"/>
      <c r="F168" s="2058"/>
      <c r="G168" s="2042" t="s">
        <v>52</v>
      </c>
      <c r="H168" s="2041">
        <f>SUM(H164:H167)</f>
        <v>18085</v>
      </c>
    </row>
    <row r="169" spans="2:16" s="2027" customFormat="1" x14ac:dyDescent="0.3">
      <c r="B169" s="2035" t="s">
        <v>394</v>
      </c>
      <c r="C169" s="2026" t="s">
        <v>872</v>
      </c>
      <c r="D169" s="2035"/>
      <c r="E169" s="1556"/>
      <c r="F169" s="2058"/>
      <c r="G169" s="2043"/>
      <c r="H169" s="2041"/>
    </row>
    <row r="170" spans="2:16" s="2027" customFormat="1" x14ac:dyDescent="0.3">
      <c r="B170" s="2035"/>
      <c r="C170" s="2027" t="s">
        <v>1103</v>
      </c>
      <c r="E170" s="1556" t="s">
        <v>32</v>
      </c>
      <c r="F170" s="2058">
        <v>1</v>
      </c>
      <c r="G170" s="2043">
        <f>'UB mep'!J50</f>
        <v>25000</v>
      </c>
      <c r="H170" s="2041">
        <f>+F170*G170</f>
        <v>25000</v>
      </c>
    </row>
    <row r="171" spans="2:16" s="2027" customFormat="1" x14ac:dyDescent="0.3">
      <c r="B171" s="2023"/>
      <c r="C171" s="2027" t="s">
        <v>1094</v>
      </c>
      <c r="E171" s="1556" t="s">
        <v>456</v>
      </c>
      <c r="F171" s="2058">
        <v>0.1</v>
      </c>
      <c r="G171" s="2043" t="e">
        <f>G152</f>
        <v>#REF!</v>
      </c>
      <c r="H171" s="2041" t="e">
        <f>+F171*G171</f>
        <v>#REF!</v>
      </c>
    </row>
    <row r="172" spans="2:16" s="2027" customFormat="1" x14ac:dyDescent="0.3">
      <c r="B172" s="2026"/>
      <c r="E172" s="1556"/>
      <c r="F172" s="2044"/>
      <c r="G172" s="2045" t="s">
        <v>59</v>
      </c>
      <c r="H172" s="2041" t="e">
        <f>SUM(H170:H171)</f>
        <v>#REF!</v>
      </c>
    </row>
    <row r="173" spans="2:16" s="2027" customFormat="1" x14ac:dyDescent="0.3">
      <c r="B173" s="2023" t="s">
        <v>411</v>
      </c>
      <c r="C173" s="2046" t="s">
        <v>60</v>
      </c>
      <c r="E173" s="1556"/>
      <c r="F173" s="2044"/>
      <c r="G173" s="2047"/>
      <c r="H173" s="2047"/>
    </row>
    <row r="174" spans="2:16" s="2027" customFormat="1" x14ac:dyDescent="0.3">
      <c r="B174" s="2026"/>
      <c r="E174" s="1556"/>
      <c r="F174" s="2044"/>
      <c r="G174" s="2045" t="s">
        <v>61</v>
      </c>
      <c r="H174" s="2041">
        <v>0</v>
      </c>
    </row>
    <row r="175" spans="2:16" s="2027" customFormat="1" x14ac:dyDescent="0.3">
      <c r="B175" s="1556" t="s">
        <v>6</v>
      </c>
      <c r="C175" s="2027" t="s">
        <v>875</v>
      </c>
      <c r="E175" s="2028"/>
      <c r="F175" s="1556"/>
      <c r="G175" s="1556"/>
      <c r="H175" s="2047" t="e">
        <f>+H174+H172+H168</f>
        <v>#REF!</v>
      </c>
    </row>
    <row r="176" spans="2:16" x14ac:dyDescent="0.3">
      <c r="B176" s="1974" t="s">
        <v>7</v>
      </c>
      <c r="C176" s="1555" t="s">
        <v>100</v>
      </c>
      <c r="D176" s="1553"/>
      <c r="E176" s="1980"/>
      <c r="F176" s="1976"/>
      <c r="G176" s="2004">
        <v>0</v>
      </c>
      <c r="H176" s="1981" t="e">
        <f>H175*J158</f>
        <v>#REF!</v>
      </c>
    </row>
    <row r="177" spans="2:16" x14ac:dyDescent="0.3">
      <c r="B177" s="1976" t="s">
        <v>63</v>
      </c>
      <c r="C177" s="1553" t="s">
        <v>877</v>
      </c>
      <c r="D177" s="1553"/>
      <c r="E177" s="1980"/>
      <c r="F177" s="1976"/>
      <c r="G177" s="1976"/>
      <c r="H177" s="1981" t="e">
        <f>+H175+H176</f>
        <v>#REF!</v>
      </c>
    </row>
    <row r="178" spans="2:16" x14ac:dyDescent="0.3">
      <c r="B178" s="1553"/>
      <c r="C178" s="1554" t="s">
        <v>878</v>
      </c>
      <c r="D178" s="1555"/>
      <c r="E178" s="1555"/>
      <c r="F178" s="1555"/>
      <c r="G178" s="1555"/>
      <c r="H178" s="2005" t="e">
        <f>ROUNDDOWN(H177,2)</f>
        <v>#REF!</v>
      </c>
    </row>
    <row r="179" spans="2:16" x14ac:dyDescent="0.3">
      <c r="B179" s="2048"/>
      <c r="C179" s="2048"/>
      <c r="D179" s="2048"/>
      <c r="E179" s="2048"/>
      <c r="F179" s="2048"/>
      <c r="G179" s="2048"/>
      <c r="H179" s="2048"/>
    </row>
    <row r="180" spans="2:16" s="2027" customFormat="1" x14ac:dyDescent="0.3">
      <c r="B180" s="2026" t="s">
        <v>1104</v>
      </c>
      <c r="C180" s="2026" t="s">
        <v>1105</v>
      </c>
      <c r="E180" s="2028"/>
      <c r="F180" s="1556"/>
      <c r="G180" s="1556"/>
      <c r="H180" s="2029"/>
    </row>
    <row r="181" spans="2:16" s="1976" customFormat="1" ht="15.95" customHeight="1" x14ac:dyDescent="0.3">
      <c r="B181" s="1982" t="s">
        <v>12</v>
      </c>
      <c r="C181" s="1982" t="s">
        <v>36</v>
      </c>
      <c r="D181" s="1982" t="s">
        <v>37</v>
      </c>
      <c r="E181" s="1983" t="s">
        <v>184</v>
      </c>
      <c r="F181" s="1984" t="s">
        <v>868</v>
      </c>
      <c r="G181" s="1983" t="s">
        <v>1063</v>
      </c>
      <c r="H181" s="1983" t="s">
        <v>40</v>
      </c>
      <c r="I181" s="1985"/>
      <c r="J181" s="1986"/>
      <c r="K181" s="1986"/>
      <c r="L181" s="1986"/>
      <c r="M181" s="1986"/>
      <c r="N181" s="1987"/>
      <c r="O181" s="1988"/>
      <c r="P181" s="1989"/>
    </row>
    <row r="182" spans="2:16" s="2027" customFormat="1" x14ac:dyDescent="0.3">
      <c r="B182" s="2035" t="s">
        <v>368</v>
      </c>
      <c r="C182" s="2036" t="s">
        <v>42</v>
      </c>
      <c r="D182" s="2035"/>
      <c r="E182" s="2037"/>
      <c r="F182" s="2038"/>
      <c r="G182" s="2037"/>
      <c r="H182" s="2037"/>
    </row>
    <row r="183" spans="2:16" s="2027" customFormat="1" x14ac:dyDescent="0.3">
      <c r="B183" s="2035"/>
      <c r="C183" s="2027" t="s">
        <v>71</v>
      </c>
      <c r="D183" s="2039" t="s">
        <v>44</v>
      </c>
      <c r="E183" s="1556" t="s">
        <v>618</v>
      </c>
      <c r="F183" s="2057">
        <v>0.01</v>
      </c>
      <c r="G183" s="1995">
        <f>G164</f>
        <v>115000</v>
      </c>
      <c r="H183" s="2041">
        <f>F183*G183</f>
        <v>1150</v>
      </c>
    </row>
    <row r="184" spans="2:16" s="2027" customFormat="1" x14ac:dyDescent="0.3">
      <c r="B184" s="2035"/>
      <c r="C184" s="2027" t="s">
        <v>1076</v>
      </c>
      <c r="D184" s="2039" t="s">
        <v>47</v>
      </c>
      <c r="E184" s="1556" t="s">
        <v>618</v>
      </c>
      <c r="F184" s="2057">
        <v>0.4</v>
      </c>
      <c r="G184" s="1995">
        <f>G165</f>
        <v>170000</v>
      </c>
      <c r="H184" s="2041">
        <f>F184*G184</f>
        <v>68000</v>
      </c>
    </row>
    <row r="185" spans="2:16" s="2027" customFormat="1" x14ac:dyDescent="0.3">
      <c r="B185" s="2035"/>
      <c r="C185" s="2027" t="s">
        <v>605</v>
      </c>
      <c r="D185" s="2039" t="s">
        <v>49</v>
      </c>
      <c r="E185" s="1556" t="s">
        <v>618</v>
      </c>
      <c r="F185" s="2057">
        <v>0.04</v>
      </c>
      <c r="G185" s="1995">
        <f>G166</f>
        <v>185000</v>
      </c>
      <c r="H185" s="2041">
        <f>F185*G185</f>
        <v>7400</v>
      </c>
    </row>
    <row r="186" spans="2:16" s="2027" customFormat="1" x14ac:dyDescent="0.3">
      <c r="B186" s="2035"/>
      <c r="C186" s="2027" t="s">
        <v>50</v>
      </c>
      <c r="D186" s="2039" t="s">
        <v>51</v>
      </c>
      <c r="E186" s="1556" t="s">
        <v>618</v>
      </c>
      <c r="F186" s="2057">
        <v>5.0000000000000001E-3</v>
      </c>
      <c r="G186" s="1995">
        <f>G167</f>
        <v>200000</v>
      </c>
      <c r="H186" s="2041">
        <f>F186*G186</f>
        <v>1000</v>
      </c>
    </row>
    <row r="187" spans="2:16" s="2027" customFormat="1" x14ac:dyDescent="0.3">
      <c r="B187" s="2035"/>
      <c r="D187" s="2035"/>
      <c r="E187" s="1556"/>
      <c r="F187" s="2058"/>
      <c r="G187" s="2042" t="s">
        <v>52</v>
      </c>
      <c r="H187" s="2041">
        <f>SUM(H183:H186)</f>
        <v>77550</v>
      </c>
    </row>
    <row r="188" spans="2:16" s="2027" customFormat="1" x14ac:dyDescent="0.3">
      <c r="B188" s="2035" t="s">
        <v>394</v>
      </c>
      <c r="C188" s="2026" t="s">
        <v>872</v>
      </c>
      <c r="D188" s="2035"/>
      <c r="E188" s="1556"/>
      <c r="F188" s="2058"/>
      <c r="G188" s="2043"/>
      <c r="H188" s="2041"/>
    </row>
    <row r="189" spans="2:16" s="2027" customFormat="1" x14ac:dyDescent="0.3">
      <c r="B189" s="2035"/>
      <c r="C189" s="2027" t="s">
        <v>1106</v>
      </c>
      <c r="E189" s="1556" t="s">
        <v>32</v>
      </c>
      <c r="F189" s="2058">
        <v>1</v>
      </c>
      <c r="G189" s="2043">
        <f>'UB mep'!J37</f>
        <v>256000</v>
      </c>
      <c r="H189" s="2041">
        <f>+F189*G189</f>
        <v>256000</v>
      </c>
    </row>
    <row r="190" spans="2:16" s="2027" customFormat="1" x14ac:dyDescent="0.3">
      <c r="B190" s="2023"/>
      <c r="C190" s="2027" t="s">
        <v>1094</v>
      </c>
      <c r="E190" s="1556" t="s">
        <v>456</v>
      </c>
      <c r="F190" s="2058">
        <v>0.1</v>
      </c>
      <c r="G190" s="2043" t="e">
        <f>G171</f>
        <v>#REF!</v>
      </c>
      <c r="H190" s="2041" t="e">
        <f>+F190*G190</f>
        <v>#REF!</v>
      </c>
    </row>
    <row r="191" spans="2:16" s="2027" customFormat="1" x14ac:dyDescent="0.3">
      <c r="B191" s="2026"/>
      <c r="E191" s="1556"/>
      <c r="F191" s="2044"/>
      <c r="G191" s="2045" t="s">
        <v>59</v>
      </c>
      <c r="H191" s="2041" t="e">
        <f>SUM(H189:H190)</f>
        <v>#REF!</v>
      </c>
    </row>
    <row r="192" spans="2:16" s="2027" customFormat="1" x14ac:dyDescent="0.3">
      <c r="B192" s="2023" t="s">
        <v>411</v>
      </c>
      <c r="C192" s="2046" t="s">
        <v>60</v>
      </c>
      <c r="E192" s="1556"/>
      <c r="F192" s="2044"/>
      <c r="G192" s="2047"/>
      <c r="H192" s="2047"/>
    </row>
    <row r="193" spans="2:16" s="2027" customFormat="1" x14ac:dyDescent="0.3">
      <c r="B193" s="2026"/>
      <c r="E193" s="1556"/>
      <c r="F193" s="2044"/>
      <c r="G193" s="2045" t="s">
        <v>61</v>
      </c>
      <c r="H193" s="2041">
        <v>0</v>
      </c>
    </row>
    <row r="194" spans="2:16" s="2027" customFormat="1" x14ac:dyDescent="0.3">
      <c r="B194" s="1556" t="s">
        <v>6</v>
      </c>
      <c r="C194" s="2027" t="s">
        <v>875</v>
      </c>
      <c r="E194" s="2028"/>
      <c r="F194" s="1556"/>
      <c r="G194" s="1556"/>
      <c r="H194" s="2047" t="e">
        <f>+H193+H191+H187</f>
        <v>#REF!</v>
      </c>
    </row>
    <row r="195" spans="2:16" s="2027" customFormat="1" x14ac:dyDescent="0.3">
      <c r="B195" s="1974" t="s">
        <v>7</v>
      </c>
      <c r="C195" s="1555" t="s">
        <v>100</v>
      </c>
      <c r="D195" s="1553"/>
      <c r="E195" s="1980"/>
      <c r="F195" s="1976"/>
      <c r="G195" s="2004">
        <v>0</v>
      </c>
      <c r="H195" s="1981" t="e">
        <f>H194*J177</f>
        <v>#REF!</v>
      </c>
    </row>
    <row r="196" spans="2:16" s="2027" customFormat="1" x14ac:dyDescent="0.3">
      <c r="B196" s="1976" t="s">
        <v>63</v>
      </c>
      <c r="C196" s="1553" t="s">
        <v>877</v>
      </c>
      <c r="D196" s="1553"/>
      <c r="E196" s="1980"/>
      <c r="F196" s="1976"/>
      <c r="G196" s="1976"/>
      <c r="H196" s="1981" t="e">
        <f>+H194+H195</f>
        <v>#REF!</v>
      </c>
    </row>
    <row r="197" spans="2:16" s="2027" customFormat="1" x14ac:dyDescent="0.3">
      <c r="B197" s="1553"/>
      <c r="C197" s="1554" t="s">
        <v>878</v>
      </c>
      <c r="D197" s="1555"/>
      <c r="E197" s="1555"/>
      <c r="F197" s="1555"/>
      <c r="G197" s="1555"/>
      <c r="H197" s="2005" t="e">
        <f>ROUNDDOWN(H196,2)</f>
        <v>#REF!</v>
      </c>
    </row>
    <row r="198" spans="2:16" s="2027" customFormat="1" x14ac:dyDescent="0.3">
      <c r="C198" s="2046"/>
      <c r="D198" s="2026"/>
      <c r="E198" s="2026"/>
      <c r="F198" s="2026"/>
      <c r="G198" s="2026"/>
      <c r="H198" s="2060"/>
    </row>
    <row r="199" spans="2:16" s="2027" customFormat="1" x14ac:dyDescent="0.3">
      <c r="B199" s="2026" t="s">
        <v>1107</v>
      </c>
      <c r="C199" s="2026" t="s">
        <v>1108</v>
      </c>
      <c r="E199" s="2028"/>
      <c r="F199" s="1556"/>
      <c r="G199" s="1556"/>
      <c r="H199" s="2029"/>
    </row>
    <row r="200" spans="2:16" s="1976" customFormat="1" ht="15.95" customHeight="1" x14ac:dyDescent="0.3">
      <c r="B200" s="1982" t="s">
        <v>12</v>
      </c>
      <c r="C200" s="1982" t="s">
        <v>36</v>
      </c>
      <c r="D200" s="1982" t="s">
        <v>37</v>
      </c>
      <c r="E200" s="1983" t="s">
        <v>184</v>
      </c>
      <c r="F200" s="1984" t="s">
        <v>868</v>
      </c>
      <c r="G200" s="1983" t="s">
        <v>1063</v>
      </c>
      <c r="H200" s="1983" t="s">
        <v>40</v>
      </c>
      <c r="I200" s="1985"/>
      <c r="J200" s="1986"/>
      <c r="K200" s="1986"/>
      <c r="L200" s="1986"/>
      <c r="M200" s="1986"/>
      <c r="N200" s="1987"/>
      <c r="O200" s="1988"/>
      <c r="P200" s="1989"/>
    </row>
    <row r="201" spans="2:16" s="2027" customFormat="1" x14ac:dyDescent="0.3">
      <c r="B201" s="2035" t="s">
        <v>368</v>
      </c>
      <c r="C201" s="2036" t="s">
        <v>42</v>
      </c>
      <c r="D201" s="2035"/>
      <c r="E201" s="2037"/>
      <c r="F201" s="2038"/>
      <c r="G201" s="2037"/>
      <c r="H201" s="2037"/>
    </row>
    <row r="202" spans="2:16" s="2027" customFormat="1" x14ac:dyDescent="0.3">
      <c r="B202" s="2035"/>
      <c r="C202" s="2027" t="s">
        <v>71</v>
      </c>
      <c r="D202" s="2039" t="s">
        <v>44</v>
      </c>
      <c r="E202" s="1556" t="s">
        <v>618</v>
      </c>
      <c r="F202" s="2057">
        <v>0.01</v>
      </c>
      <c r="G202" s="1995">
        <f>G183</f>
        <v>115000</v>
      </c>
      <c r="H202" s="2041">
        <f>F202*G202</f>
        <v>1150</v>
      </c>
    </row>
    <row r="203" spans="2:16" s="2027" customFormat="1" x14ac:dyDescent="0.3">
      <c r="B203" s="2035"/>
      <c r="C203" s="2027" t="s">
        <v>1076</v>
      </c>
      <c r="D203" s="2039" t="s">
        <v>47</v>
      </c>
      <c r="E203" s="1556" t="s">
        <v>618</v>
      </c>
      <c r="F203" s="2057">
        <v>0.4</v>
      </c>
      <c r="G203" s="1995">
        <f>G184</f>
        <v>170000</v>
      </c>
      <c r="H203" s="2041">
        <f>F203*G203</f>
        <v>68000</v>
      </c>
    </row>
    <row r="204" spans="2:16" s="2027" customFormat="1" x14ac:dyDescent="0.3">
      <c r="B204" s="2035"/>
      <c r="C204" s="2027" t="s">
        <v>605</v>
      </c>
      <c r="D204" s="2039" t="s">
        <v>49</v>
      </c>
      <c r="E204" s="1556" t="s">
        <v>618</v>
      </c>
      <c r="F204" s="2057">
        <v>0.04</v>
      </c>
      <c r="G204" s="1995">
        <f>G185</f>
        <v>185000</v>
      </c>
      <c r="H204" s="2041">
        <f>F204*G204</f>
        <v>7400</v>
      </c>
    </row>
    <row r="205" spans="2:16" s="2027" customFormat="1" x14ac:dyDescent="0.3">
      <c r="B205" s="2035"/>
      <c r="C205" s="2027" t="s">
        <v>50</v>
      </c>
      <c r="D205" s="2039" t="s">
        <v>51</v>
      </c>
      <c r="E205" s="1556" t="s">
        <v>618</v>
      </c>
      <c r="F205" s="2057">
        <v>5.0000000000000001E-3</v>
      </c>
      <c r="G205" s="1995">
        <f>G186</f>
        <v>200000</v>
      </c>
      <c r="H205" s="2041">
        <f>F205*G205</f>
        <v>1000</v>
      </c>
    </row>
    <row r="206" spans="2:16" s="2027" customFormat="1" x14ac:dyDescent="0.3">
      <c r="B206" s="2035"/>
      <c r="D206" s="2035"/>
      <c r="E206" s="1556"/>
      <c r="F206" s="2058"/>
      <c r="G206" s="2042" t="s">
        <v>52</v>
      </c>
      <c r="H206" s="2041">
        <f>SUM(H202:H205)</f>
        <v>77550</v>
      </c>
    </row>
    <row r="207" spans="2:16" s="2027" customFormat="1" x14ac:dyDescent="0.3">
      <c r="B207" s="2035" t="s">
        <v>394</v>
      </c>
      <c r="C207" s="2026" t="s">
        <v>872</v>
      </c>
      <c r="D207" s="2035"/>
      <c r="E207" s="1556"/>
      <c r="F207" s="2058"/>
      <c r="G207" s="2043"/>
      <c r="H207" s="2041"/>
    </row>
    <row r="208" spans="2:16" s="2027" customFormat="1" x14ac:dyDescent="0.3">
      <c r="B208" s="2035"/>
      <c r="C208" s="2027" t="s">
        <v>1109</v>
      </c>
      <c r="E208" s="1556" t="s">
        <v>32</v>
      </c>
      <c r="F208" s="2058">
        <v>1</v>
      </c>
      <c r="G208" s="2043">
        <f>'UB mep'!J38</f>
        <v>155000</v>
      </c>
      <c r="H208" s="2041">
        <f>+F208*G208</f>
        <v>155000</v>
      </c>
    </row>
    <row r="209" spans="2:16" s="2027" customFormat="1" x14ac:dyDescent="0.3">
      <c r="B209" s="2023"/>
      <c r="C209" s="2027" t="s">
        <v>1094</v>
      </c>
      <c r="E209" s="1556" t="s">
        <v>456</v>
      </c>
      <c r="F209" s="2058">
        <v>0.1</v>
      </c>
      <c r="G209" s="2043" t="e">
        <f>G190</f>
        <v>#REF!</v>
      </c>
      <c r="H209" s="2041" t="e">
        <f>+F209*G209</f>
        <v>#REF!</v>
      </c>
    </row>
    <row r="210" spans="2:16" s="2027" customFormat="1" x14ac:dyDescent="0.3">
      <c r="B210" s="2026"/>
      <c r="E210" s="1556"/>
      <c r="F210" s="2044"/>
      <c r="G210" s="2045" t="s">
        <v>59</v>
      </c>
      <c r="H210" s="2041" t="e">
        <f>SUM(H208:H209)</f>
        <v>#REF!</v>
      </c>
    </row>
    <row r="211" spans="2:16" s="2027" customFormat="1" x14ac:dyDescent="0.3">
      <c r="B211" s="2023" t="s">
        <v>411</v>
      </c>
      <c r="C211" s="2046" t="s">
        <v>60</v>
      </c>
      <c r="E211" s="1556"/>
      <c r="F211" s="2044"/>
      <c r="G211" s="2047"/>
      <c r="H211" s="2047"/>
    </row>
    <row r="212" spans="2:16" s="2027" customFormat="1" x14ac:dyDescent="0.3">
      <c r="B212" s="2026"/>
      <c r="E212" s="1556"/>
      <c r="F212" s="2044"/>
      <c r="G212" s="2045" t="s">
        <v>61</v>
      </c>
      <c r="H212" s="2041">
        <v>0</v>
      </c>
    </row>
    <row r="213" spans="2:16" s="2027" customFormat="1" x14ac:dyDescent="0.3">
      <c r="B213" s="1556" t="s">
        <v>6</v>
      </c>
      <c r="C213" s="2027" t="s">
        <v>875</v>
      </c>
      <c r="E213" s="2028"/>
      <c r="F213" s="1556"/>
      <c r="G213" s="1556"/>
      <c r="H213" s="2047" t="e">
        <f>+H212+H210+H206</f>
        <v>#REF!</v>
      </c>
    </row>
    <row r="214" spans="2:16" s="2027" customFormat="1" x14ac:dyDescent="0.3">
      <c r="B214" s="1974" t="s">
        <v>7</v>
      </c>
      <c r="C214" s="1555" t="s">
        <v>100</v>
      </c>
      <c r="D214" s="1553"/>
      <c r="E214" s="1980"/>
      <c r="F214" s="1976"/>
      <c r="G214" s="2004">
        <v>0</v>
      </c>
      <c r="H214" s="1981" t="e">
        <f>H213*J196</f>
        <v>#REF!</v>
      </c>
    </row>
    <row r="215" spans="2:16" s="2027" customFormat="1" x14ac:dyDescent="0.3">
      <c r="B215" s="1976" t="s">
        <v>63</v>
      </c>
      <c r="C215" s="1553" t="s">
        <v>877</v>
      </c>
      <c r="D215" s="1553"/>
      <c r="E215" s="1980"/>
      <c r="F215" s="1976"/>
      <c r="G215" s="1976"/>
      <c r="H215" s="1981" t="e">
        <f>+H213+H214</f>
        <v>#REF!</v>
      </c>
    </row>
    <row r="216" spans="2:16" s="2027" customFormat="1" x14ac:dyDescent="0.3">
      <c r="B216" s="1553"/>
      <c r="C216" s="1554" t="s">
        <v>878</v>
      </c>
      <c r="D216" s="1555"/>
      <c r="E216" s="1555"/>
      <c r="F216" s="1555"/>
      <c r="G216" s="1555"/>
      <c r="H216" s="2005" t="e">
        <f>ROUNDDOWN(H215,2)</f>
        <v>#REF!</v>
      </c>
    </row>
    <row r="217" spans="2:16" x14ac:dyDescent="0.3">
      <c r="C217" s="2052"/>
      <c r="D217" s="2053"/>
      <c r="E217" s="2053"/>
      <c r="F217" s="2053"/>
      <c r="G217" s="2053"/>
      <c r="H217" s="2054"/>
    </row>
    <row r="218" spans="2:16" s="2027" customFormat="1" x14ac:dyDescent="0.3">
      <c r="B218" s="2027" t="s">
        <v>1110</v>
      </c>
      <c r="C218" s="2026" t="s">
        <v>1111</v>
      </c>
      <c r="E218" s="2028"/>
      <c r="F218" s="1556"/>
      <c r="G218" s="1556"/>
      <c r="H218" s="2029"/>
    </row>
    <row r="219" spans="2:16" s="1976" customFormat="1" ht="15.95" customHeight="1" x14ac:dyDescent="0.3">
      <c r="B219" s="1982" t="s">
        <v>12</v>
      </c>
      <c r="C219" s="1982" t="s">
        <v>36</v>
      </c>
      <c r="D219" s="1982" t="s">
        <v>37</v>
      </c>
      <c r="E219" s="1983" t="s">
        <v>184</v>
      </c>
      <c r="F219" s="1984" t="s">
        <v>868</v>
      </c>
      <c r="G219" s="1983" t="s">
        <v>1063</v>
      </c>
      <c r="H219" s="1983" t="s">
        <v>40</v>
      </c>
      <c r="I219" s="1985"/>
      <c r="J219" s="1986"/>
      <c r="K219" s="1986"/>
      <c r="L219" s="1986"/>
      <c r="M219" s="1986"/>
      <c r="N219" s="1987"/>
      <c r="O219" s="1988"/>
      <c r="P219" s="1989"/>
    </row>
    <row r="220" spans="2:16" s="2027" customFormat="1" x14ac:dyDescent="0.3">
      <c r="B220" s="2035" t="s">
        <v>368</v>
      </c>
      <c r="C220" s="2036" t="s">
        <v>42</v>
      </c>
      <c r="D220" s="2035"/>
      <c r="E220" s="2037"/>
      <c r="F220" s="2038"/>
      <c r="G220" s="2037"/>
      <c r="H220" s="2037"/>
    </row>
    <row r="221" spans="2:16" s="2027" customFormat="1" x14ac:dyDescent="0.3">
      <c r="B221" s="2035"/>
      <c r="C221" s="2027" t="s">
        <v>71</v>
      </c>
      <c r="D221" s="2039" t="s">
        <v>44</v>
      </c>
      <c r="E221" s="1556" t="s">
        <v>618</v>
      </c>
      <c r="F221" s="2057">
        <v>0.01</v>
      </c>
      <c r="G221" s="1995">
        <f>G202</f>
        <v>115000</v>
      </c>
      <c r="H221" s="2041">
        <f>F221*G221</f>
        <v>1150</v>
      </c>
    </row>
    <row r="222" spans="2:16" s="2027" customFormat="1" x14ac:dyDescent="0.3">
      <c r="B222" s="2035"/>
      <c r="C222" s="2027" t="s">
        <v>1076</v>
      </c>
      <c r="D222" s="2039" t="s">
        <v>47</v>
      </c>
      <c r="E222" s="1556" t="s">
        <v>618</v>
      </c>
      <c r="F222" s="2057">
        <v>0.4</v>
      </c>
      <c r="G222" s="1995">
        <f>G203</f>
        <v>170000</v>
      </c>
      <c r="H222" s="2041">
        <f>F222*G222</f>
        <v>68000</v>
      </c>
    </row>
    <row r="223" spans="2:16" s="2027" customFormat="1" x14ac:dyDescent="0.3">
      <c r="B223" s="2035"/>
      <c r="C223" s="2027" t="s">
        <v>605</v>
      </c>
      <c r="D223" s="2039" t="s">
        <v>49</v>
      </c>
      <c r="E223" s="1556" t="s">
        <v>618</v>
      </c>
      <c r="F223" s="2057">
        <v>0.04</v>
      </c>
      <c r="G223" s="1995">
        <f>G204</f>
        <v>185000</v>
      </c>
      <c r="H223" s="2041">
        <f>F223*G223</f>
        <v>7400</v>
      </c>
    </row>
    <row r="224" spans="2:16" s="2027" customFormat="1" x14ac:dyDescent="0.3">
      <c r="B224" s="2035"/>
      <c r="C224" s="2027" t="s">
        <v>50</v>
      </c>
      <c r="D224" s="2039" t="s">
        <v>51</v>
      </c>
      <c r="E224" s="1556" t="s">
        <v>618</v>
      </c>
      <c r="F224" s="2057">
        <v>5.0000000000000001E-3</v>
      </c>
      <c r="G224" s="1995">
        <f>G205</f>
        <v>200000</v>
      </c>
      <c r="H224" s="2041">
        <f>F224*G224</f>
        <v>1000</v>
      </c>
    </row>
    <row r="225" spans="2:16" s="2027" customFormat="1" x14ac:dyDescent="0.3">
      <c r="B225" s="2035"/>
      <c r="D225" s="2035"/>
      <c r="E225" s="1556"/>
      <c r="F225" s="2058"/>
      <c r="G225" s="2042" t="s">
        <v>52</v>
      </c>
      <c r="H225" s="2041">
        <f>SUM(H221:H224)</f>
        <v>77550</v>
      </c>
    </row>
    <row r="226" spans="2:16" s="2027" customFormat="1" x14ac:dyDescent="0.3">
      <c r="B226" s="2035" t="s">
        <v>394</v>
      </c>
      <c r="C226" s="2026" t="s">
        <v>872</v>
      </c>
      <c r="D226" s="2035"/>
      <c r="E226" s="1556"/>
      <c r="F226" s="2058"/>
      <c r="G226" s="2043"/>
      <c r="H226" s="2041"/>
    </row>
    <row r="227" spans="2:16" s="2027" customFormat="1" x14ac:dyDescent="0.3">
      <c r="B227" s="2035"/>
      <c r="C227" s="2027" t="s">
        <v>1112</v>
      </c>
      <c r="E227" s="1556" t="s">
        <v>32</v>
      </c>
      <c r="F227" s="2058">
        <v>1</v>
      </c>
      <c r="G227" s="2043">
        <f>'UB mep'!J39</f>
        <v>395000</v>
      </c>
      <c r="H227" s="2041">
        <f>+F227*G227</f>
        <v>395000</v>
      </c>
    </row>
    <row r="228" spans="2:16" s="2027" customFormat="1" x14ac:dyDescent="0.3">
      <c r="B228" s="2023"/>
      <c r="C228" s="2027" t="s">
        <v>1094</v>
      </c>
      <c r="E228" s="1556" t="s">
        <v>456</v>
      </c>
      <c r="F228" s="2058">
        <v>0.1</v>
      </c>
      <c r="G228" s="2043" t="e">
        <f>G209</f>
        <v>#REF!</v>
      </c>
      <c r="H228" s="2041" t="e">
        <f>+F228*G228</f>
        <v>#REF!</v>
      </c>
    </row>
    <row r="229" spans="2:16" s="2027" customFormat="1" x14ac:dyDescent="0.3">
      <c r="B229" s="2026"/>
      <c r="E229" s="1556"/>
      <c r="F229" s="2044"/>
      <c r="G229" s="2045" t="s">
        <v>59</v>
      </c>
      <c r="H229" s="2041" t="e">
        <f>SUM(H227:H228)</f>
        <v>#REF!</v>
      </c>
    </row>
    <row r="230" spans="2:16" s="2027" customFormat="1" x14ac:dyDescent="0.3">
      <c r="B230" s="2023" t="s">
        <v>411</v>
      </c>
      <c r="C230" s="2046" t="s">
        <v>60</v>
      </c>
      <c r="E230" s="1556"/>
      <c r="F230" s="2044"/>
      <c r="G230" s="2047"/>
      <c r="H230" s="2047"/>
    </row>
    <row r="231" spans="2:16" s="2027" customFormat="1" x14ac:dyDescent="0.3">
      <c r="B231" s="2026"/>
      <c r="E231" s="1556"/>
      <c r="F231" s="2044"/>
      <c r="G231" s="2045" t="s">
        <v>61</v>
      </c>
      <c r="H231" s="2041">
        <v>0</v>
      </c>
    </row>
    <row r="232" spans="2:16" s="2027" customFormat="1" x14ac:dyDescent="0.3">
      <c r="B232" s="1556" t="s">
        <v>6</v>
      </c>
      <c r="C232" s="2027" t="s">
        <v>875</v>
      </c>
      <c r="E232" s="2028"/>
      <c r="F232" s="1556"/>
      <c r="G232" s="1556"/>
      <c r="H232" s="2047" t="e">
        <f>+H231+H229+H225</f>
        <v>#REF!</v>
      </c>
    </row>
    <row r="233" spans="2:16" s="2027" customFormat="1" x14ac:dyDescent="0.3">
      <c r="B233" s="1974" t="s">
        <v>7</v>
      </c>
      <c r="C233" s="1555" t="s">
        <v>100</v>
      </c>
      <c r="D233" s="1553"/>
      <c r="E233" s="1980"/>
      <c r="F233" s="1976"/>
      <c r="G233" s="2004">
        <v>0</v>
      </c>
      <c r="H233" s="1981" t="e">
        <f>H232*J215</f>
        <v>#REF!</v>
      </c>
    </row>
    <row r="234" spans="2:16" s="2027" customFormat="1" x14ac:dyDescent="0.3">
      <c r="B234" s="1976" t="s">
        <v>63</v>
      </c>
      <c r="C234" s="1553" t="s">
        <v>877</v>
      </c>
      <c r="D234" s="1553"/>
      <c r="E234" s="1980"/>
      <c r="F234" s="1976"/>
      <c r="G234" s="1976"/>
      <c r="H234" s="1981" t="e">
        <f>+H232+H233</f>
        <v>#REF!</v>
      </c>
    </row>
    <row r="235" spans="2:16" s="2027" customFormat="1" x14ac:dyDescent="0.3">
      <c r="B235" s="1553"/>
      <c r="C235" s="1554" t="s">
        <v>878</v>
      </c>
      <c r="D235" s="1555"/>
      <c r="E235" s="1555"/>
      <c r="F235" s="1555"/>
      <c r="G235" s="1555"/>
      <c r="H235" s="2005" t="e">
        <f>ROUNDDOWN(H234,2)</f>
        <v>#REF!</v>
      </c>
    </row>
    <row r="236" spans="2:16" x14ac:dyDescent="0.3">
      <c r="C236" s="2052"/>
      <c r="D236" s="2053"/>
      <c r="E236" s="2053"/>
      <c r="F236" s="2053"/>
      <c r="G236" s="2053"/>
      <c r="H236" s="2054"/>
    </row>
    <row r="237" spans="2:16" x14ac:dyDescent="0.3">
      <c r="B237" s="2026" t="s">
        <v>1113</v>
      </c>
      <c r="C237" s="2026" t="s">
        <v>1114</v>
      </c>
      <c r="D237" s="2021"/>
      <c r="E237" s="2049"/>
      <c r="G237" s="2050"/>
      <c r="H237" s="2051"/>
    </row>
    <row r="238" spans="2:16" s="1976" customFormat="1" ht="15.95" customHeight="1" x14ac:dyDescent="0.3">
      <c r="B238" s="1982" t="s">
        <v>12</v>
      </c>
      <c r="C238" s="1982" t="s">
        <v>36</v>
      </c>
      <c r="D238" s="1982" t="s">
        <v>37</v>
      </c>
      <c r="E238" s="1983" t="s">
        <v>184</v>
      </c>
      <c r="F238" s="1984" t="s">
        <v>868</v>
      </c>
      <c r="G238" s="1983" t="s">
        <v>1063</v>
      </c>
      <c r="H238" s="1983" t="s">
        <v>40</v>
      </c>
      <c r="I238" s="1985"/>
      <c r="J238" s="1986"/>
      <c r="K238" s="1986"/>
      <c r="L238" s="1986"/>
      <c r="M238" s="1986"/>
      <c r="N238" s="1987"/>
      <c r="O238" s="1988"/>
      <c r="P238" s="1989"/>
    </row>
    <row r="239" spans="2:16" s="2027" customFormat="1" x14ac:dyDescent="0.3">
      <c r="B239" s="2035" t="s">
        <v>368</v>
      </c>
      <c r="C239" s="2036" t="s">
        <v>42</v>
      </c>
      <c r="D239" s="2035"/>
      <c r="E239" s="2037"/>
      <c r="F239" s="2038"/>
      <c r="G239" s="2037"/>
      <c r="H239" s="2037"/>
    </row>
    <row r="240" spans="2:16" s="2027" customFormat="1" x14ac:dyDescent="0.3">
      <c r="B240" s="2035"/>
      <c r="C240" s="2027" t="s">
        <v>71</v>
      </c>
      <c r="D240" s="2039" t="s">
        <v>44</v>
      </c>
      <c r="E240" s="1556" t="s">
        <v>618</v>
      </c>
      <c r="F240" s="2057">
        <v>0.01</v>
      </c>
      <c r="G240" s="1995">
        <f>G221</f>
        <v>115000</v>
      </c>
      <c r="H240" s="2041">
        <f>F240*G240</f>
        <v>1150</v>
      </c>
    </row>
    <row r="241" spans="2:8" s="2027" customFormat="1" x14ac:dyDescent="0.3">
      <c r="B241" s="2035"/>
      <c r="C241" s="2027" t="s">
        <v>1076</v>
      </c>
      <c r="D241" s="2039" t="s">
        <v>47</v>
      </c>
      <c r="E241" s="1556" t="s">
        <v>618</v>
      </c>
      <c r="F241" s="2057">
        <v>0.4</v>
      </c>
      <c r="G241" s="1995">
        <f>G222</f>
        <v>170000</v>
      </c>
      <c r="H241" s="2041">
        <f>F241*G241</f>
        <v>68000</v>
      </c>
    </row>
    <row r="242" spans="2:8" s="2027" customFormat="1" x14ac:dyDescent="0.3">
      <c r="B242" s="2035"/>
      <c r="C242" s="2027" t="s">
        <v>605</v>
      </c>
      <c r="D242" s="2039" t="s">
        <v>49</v>
      </c>
      <c r="E242" s="1556" t="s">
        <v>618</v>
      </c>
      <c r="F242" s="2057">
        <v>0.04</v>
      </c>
      <c r="G242" s="1995">
        <f>G223</f>
        <v>185000</v>
      </c>
      <c r="H242" s="2041">
        <f>F242*G242</f>
        <v>7400</v>
      </c>
    </row>
    <row r="243" spans="2:8" s="2027" customFormat="1" x14ac:dyDescent="0.3">
      <c r="B243" s="2035"/>
      <c r="C243" s="2027" t="s">
        <v>50</v>
      </c>
      <c r="D243" s="2039" t="s">
        <v>51</v>
      </c>
      <c r="E243" s="1556" t="s">
        <v>618</v>
      </c>
      <c r="F243" s="2057">
        <v>5.0000000000000001E-3</v>
      </c>
      <c r="G243" s="1995">
        <f>G224</f>
        <v>200000</v>
      </c>
      <c r="H243" s="2041">
        <f>F243*G243</f>
        <v>1000</v>
      </c>
    </row>
    <row r="244" spans="2:8" s="2027" customFormat="1" x14ac:dyDescent="0.3">
      <c r="B244" s="2035"/>
      <c r="D244" s="2035"/>
      <c r="E244" s="1556"/>
      <c r="F244" s="2058"/>
      <c r="G244" s="2042" t="s">
        <v>52</v>
      </c>
      <c r="H244" s="2041">
        <f>SUM(H240:H243)</f>
        <v>77550</v>
      </c>
    </row>
    <row r="245" spans="2:8" s="2027" customFormat="1" x14ac:dyDescent="0.3">
      <c r="B245" s="2035" t="s">
        <v>394</v>
      </c>
      <c r="C245" s="2026" t="s">
        <v>872</v>
      </c>
      <c r="D245" s="2035"/>
      <c r="E245" s="1556"/>
      <c r="F245" s="2058"/>
      <c r="G245" s="2043"/>
      <c r="H245" s="2041"/>
    </row>
    <row r="246" spans="2:8" s="2027" customFormat="1" x14ac:dyDescent="0.3">
      <c r="B246" s="2035"/>
      <c r="C246" s="2027" t="s">
        <v>1217</v>
      </c>
      <c r="E246" s="1556" t="s">
        <v>32</v>
      </c>
      <c r="F246" s="2058">
        <v>1</v>
      </c>
      <c r="G246" s="2043">
        <f>'UB mep'!J40</f>
        <v>410000</v>
      </c>
      <c r="H246" s="2041">
        <f>+F246*G246</f>
        <v>410000</v>
      </c>
    </row>
    <row r="247" spans="2:8" s="2027" customFormat="1" x14ac:dyDescent="0.3">
      <c r="B247" s="2023"/>
      <c r="C247" s="2027" t="s">
        <v>1094</v>
      </c>
      <c r="E247" s="1556" t="s">
        <v>456</v>
      </c>
      <c r="F247" s="2058">
        <v>0.1</v>
      </c>
      <c r="G247" s="2043" t="e">
        <f>G228</f>
        <v>#REF!</v>
      </c>
      <c r="H247" s="2041" t="e">
        <f>+F247*G247</f>
        <v>#REF!</v>
      </c>
    </row>
    <row r="248" spans="2:8" s="2027" customFormat="1" x14ac:dyDescent="0.3">
      <c r="B248" s="2026"/>
      <c r="E248" s="1556"/>
      <c r="F248" s="2044"/>
      <c r="G248" s="2045" t="s">
        <v>59</v>
      </c>
      <c r="H248" s="2041" t="e">
        <f>SUM(H246:H247)</f>
        <v>#REF!</v>
      </c>
    </row>
    <row r="249" spans="2:8" s="2027" customFormat="1" x14ac:dyDescent="0.3">
      <c r="B249" s="2023" t="s">
        <v>411</v>
      </c>
      <c r="C249" s="2046" t="s">
        <v>60</v>
      </c>
      <c r="E249" s="1556"/>
      <c r="F249" s="2044"/>
      <c r="G249" s="2047"/>
      <c r="H249" s="2047"/>
    </row>
    <row r="250" spans="2:8" s="2027" customFormat="1" x14ac:dyDescent="0.3">
      <c r="B250" s="2026"/>
      <c r="E250" s="1556"/>
      <c r="F250" s="2044"/>
      <c r="G250" s="2045" t="s">
        <v>61</v>
      </c>
      <c r="H250" s="2041">
        <v>0</v>
      </c>
    </row>
    <row r="251" spans="2:8" s="2027" customFormat="1" x14ac:dyDescent="0.3">
      <c r="B251" s="1556" t="s">
        <v>6</v>
      </c>
      <c r="C251" s="2027" t="s">
        <v>875</v>
      </c>
      <c r="E251" s="2028"/>
      <c r="F251" s="1556"/>
      <c r="G251" s="1556"/>
      <c r="H251" s="2047" t="e">
        <f>+H250+H248+H244</f>
        <v>#REF!</v>
      </c>
    </row>
    <row r="252" spans="2:8" s="2027" customFormat="1" x14ac:dyDescent="0.3">
      <c r="B252" s="1974" t="s">
        <v>7</v>
      </c>
      <c r="C252" s="1555" t="s">
        <v>100</v>
      </c>
      <c r="D252" s="1553"/>
      <c r="E252" s="1980"/>
      <c r="F252" s="1976"/>
      <c r="G252" s="2004">
        <v>0</v>
      </c>
      <c r="H252" s="1981" t="e">
        <f>H251*J234</f>
        <v>#REF!</v>
      </c>
    </row>
    <row r="253" spans="2:8" s="2027" customFormat="1" x14ac:dyDescent="0.3">
      <c r="B253" s="1976" t="s">
        <v>63</v>
      </c>
      <c r="C253" s="1553" t="s">
        <v>877</v>
      </c>
      <c r="D253" s="1553"/>
      <c r="E253" s="1980"/>
      <c r="F253" s="1976"/>
      <c r="G253" s="1976"/>
      <c r="H253" s="1981" t="e">
        <f>+H251+H252</f>
        <v>#REF!</v>
      </c>
    </row>
    <row r="254" spans="2:8" s="2027" customFormat="1" x14ac:dyDescent="0.3">
      <c r="B254" s="1553"/>
      <c r="C254" s="1554" t="s">
        <v>878</v>
      </c>
      <c r="D254" s="1555"/>
      <c r="E254" s="1555"/>
      <c r="F254" s="1555"/>
      <c r="G254" s="1555"/>
      <c r="H254" s="2005" t="e">
        <f>ROUNDDOWN(H253,2)</f>
        <v>#REF!</v>
      </c>
    </row>
    <row r="255" spans="2:8" x14ac:dyDescent="0.3">
      <c r="C255" s="2052"/>
      <c r="D255" s="2053"/>
      <c r="E255" s="2053"/>
      <c r="F255" s="2053"/>
      <c r="G255" s="2053"/>
      <c r="H255" s="2054"/>
    </row>
    <row r="256" spans="2:8" s="2027" customFormat="1" x14ac:dyDescent="0.3">
      <c r="B256" s="2026" t="s">
        <v>1115</v>
      </c>
      <c r="C256" s="2026" t="s">
        <v>1116</v>
      </c>
      <c r="E256" s="2028"/>
      <c r="F256" s="1556"/>
      <c r="G256" s="1556"/>
      <c r="H256" s="2029"/>
    </row>
    <row r="257" spans="2:16" s="1976" customFormat="1" ht="15.95" customHeight="1" x14ac:dyDescent="0.3">
      <c r="B257" s="1982" t="s">
        <v>12</v>
      </c>
      <c r="C257" s="1982" t="s">
        <v>36</v>
      </c>
      <c r="D257" s="1982" t="s">
        <v>37</v>
      </c>
      <c r="E257" s="1983" t="s">
        <v>184</v>
      </c>
      <c r="F257" s="1984" t="s">
        <v>868</v>
      </c>
      <c r="G257" s="1983" t="s">
        <v>1063</v>
      </c>
      <c r="H257" s="1983" t="s">
        <v>40</v>
      </c>
      <c r="I257" s="1985"/>
      <c r="J257" s="1986"/>
      <c r="K257" s="1986"/>
      <c r="L257" s="1986"/>
      <c r="M257" s="1986"/>
      <c r="N257" s="1987"/>
      <c r="O257" s="1988"/>
      <c r="P257" s="1989"/>
    </row>
    <row r="258" spans="2:16" s="2027" customFormat="1" x14ac:dyDescent="0.3">
      <c r="B258" s="2035" t="s">
        <v>368</v>
      </c>
      <c r="C258" s="2036" t="s">
        <v>42</v>
      </c>
      <c r="D258" s="2035"/>
      <c r="E258" s="2037"/>
      <c r="F258" s="2038"/>
      <c r="G258" s="2037"/>
      <c r="H258" s="2037"/>
    </row>
    <row r="259" spans="2:16" s="2027" customFormat="1" x14ac:dyDescent="0.3">
      <c r="B259" s="2035"/>
      <c r="C259" s="2027" t="s">
        <v>71</v>
      </c>
      <c r="D259" s="2039" t="s">
        <v>44</v>
      </c>
      <c r="E259" s="1556" t="s">
        <v>618</v>
      </c>
      <c r="F259" s="2057">
        <v>0.01</v>
      </c>
      <c r="G259" s="1995">
        <f>G240</f>
        <v>115000</v>
      </c>
      <c r="H259" s="2041">
        <f>F259*G259</f>
        <v>1150</v>
      </c>
    </row>
    <row r="260" spans="2:16" s="2027" customFormat="1" x14ac:dyDescent="0.3">
      <c r="B260" s="2035"/>
      <c r="C260" s="2027" t="s">
        <v>1076</v>
      </c>
      <c r="D260" s="2039" t="s">
        <v>47</v>
      </c>
      <c r="E260" s="1556" t="s">
        <v>618</v>
      </c>
      <c r="F260" s="2057">
        <v>0.4</v>
      </c>
      <c r="G260" s="1995">
        <f>G241</f>
        <v>170000</v>
      </c>
      <c r="H260" s="2041">
        <f>F260*G260</f>
        <v>68000</v>
      </c>
    </row>
    <row r="261" spans="2:16" s="2027" customFormat="1" x14ac:dyDescent="0.3">
      <c r="B261" s="2035"/>
      <c r="C261" s="2027" t="s">
        <v>605</v>
      </c>
      <c r="D261" s="2039" t="s">
        <v>49</v>
      </c>
      <c r="E261" s="1556" t="s">
        <v>618</v>
      </c>
      <c r="F261" s="2057">
        <v>0.04</v>
      </c>
      <c r="G261" s="1995">
        <f>G242</f>
        <v>185000</v>
      </c>
      <c r="H261" s="2041">
        <f>F261*G261</f>
        <v>7400</v>
      </c>
    </row>
    <row r="262" spans="2:16" s="2027" customFormat="1" x14ac:dyDescent="0.3">
      <c r="B262" s="2035"/>
      <c r="C262" s="2027" t="s">
        <v>50</v>
      </c>
      <c r="D262" s="2039" t="s">
        <v>51</v>
      </c>
      <c r="E262" s="1556" t="s">
        <v>618</v>
      </c>
      <c r="F262" s="2057">
        <v>5.0000000000000001E-3</v>
      </c>
      <c r="G262" s="1995">
        <f>G243</f>
        <v>200000</v>
      </c>
      <c r="H262" s="2041">
        <f>F262*G262</f>
        <v>1000</v>
      </c>
    </row>
    <row r="263" spans="2:16" s="2027" customFormat="1" x14ac:dyDescent="0.3">
      <c r="B263" s="2035"/>
      <c r="D263" s="2035"/>
      <c r="E263" s="1556"/>
      <c r="F263" s="2058"/>
      <c r="G263" s="2042" t="s">
        <v>52</v>
      </c>
      <c r="H263" s="2041">
        <f>SUM(H259:H262)</f>
        <v>77550</v>
      </c>
    </row>
    <row r="264" spans="2:16" s="2027" customFormat="1" x14ac:dyDescent="0.3">
      <c r="B264" s="2035" t="s">
        <v>394</v>
      </c>
      <c r="C264" s="2026" t="s">
        <v>872</v>
      </c>
      <c r="D264" s="2035"/>
      <c r="E264" s="1556"/>
      <c r="F264" s="2058"/>
      <c r="G264" s="2043"/>
      <c r="H264" s="2041"/>
    </row>
    <row r="265" spans="2:16" s="2027" customFormat="1" x14ac:dyDescent="0.3">
      <c r="B265" s="2035"/>
      <c r="C265" s="2027" t="s">
        <v>1218</v>
      </c>
      <c r="E265" s="1556" t="s">
        <v>32</v>
      </c>
      <c r="F265" s="2058">
        <v>1</v>
      </c>
      <c r="G265" s="2043">
        <f>'UB mep'!J41</f>
        <v>245000</v>
      </c>
      <c r="H265" s="2041">
        <f>+F265*G265</f>
        <v>245000</v>
      </c>
    </row>
    <row r="266" spans="2:16" s="2027" customFormat="1" x14ac:dyDescent="0.3">
      <c r="B266" s="2023"/>
      <c r="C266" s="2027" t="s">
        <v>1094</v>
      </c>
      <c r="E266" s="1556" t="s">
        <v>456</v>
      </c>
      <c r="F266" s="2058">
        <v>0.1</v>
      </c>
      <c r="G266" s="2043" t="e">
        <f>G247</f>
        <v>#REF!</v>
      </c>
      <c r="H266" s="2041" t="e">
        <f>+F266*G266</f>
        <v>#REF!</v>
      </c>
    </row>
    <row r="267" spans="2:16" s="2027" customFormat="1" x14ac:dyDescent="0.3">
      <c r="B267" s="2026"/>
      <c r="E267" s="1556"/>
      <c r="F267" s="2044"/>
      <c r="G267" s="2045" t="s">
        <v>59</v>
      </c>
      <c r="H267" s="2041" t="e">
        <f>SUM(H265:H266)</f>
        <v>#REF!</v>
      </c>
    </row>
    <row r="268" spans="2:16" s="2027" customFormat="1" x14ac:dyDescent="0.3">
      <c r="B268" s="2023" t="s">
        <v>411</v>
      </c>
      <c r="C268" s="2046" t="s">
        <v>60</v>
      </c>
      <c r="E268" s="1556"/>
      <c r="F268" s="2044"/>
      <c r="G268" s="2047"/>
      <c r="H268" s="2047"/>
    </row>
    <row r="269" spans="2:16" s="2027" customFormat="1" x14ac:dyDescent="0.3">
      <c r="B269" s="2026"/>
      <c r="E269" s="1556"/>
      <c r="F269" s="2044"/>
      <c r="G269" s="2045" t="s">
        <v>61</v>
      </c>
      <c r="H269" s="2041">
        <v>0</v>
      </c>
    </row>
    <row r="270" spans="2:16" s="2027" customFormat="1" x14ac:dyDescent="0.3">
      <c r="B270" s="1556" t="s">
        <v>6</v>
      </c>
      <c r="C270" s="2027" t="s">
        <v>875</v>
      </c>
      <c r="E270" s="2028"/>
      <c r="F270" s="1556"/>
      <c r="G270" s="1556"/>
      <c r="H270" s="2047" t="e">
        <f>+H269+H267+H263</f>
        <v>#REF!</v>
      </c>
    </row>
    <row r="271" spans="2:16" s="2027" customFormat="1" x14ac:dyDescent="0.3">
      <c r="B271" s="1974" t="s">
        <v>7</v>
      </c>
      <c r="C271" s="1555" t="s">
        <v>100</v>
      </c>
      <c r="D271" s="1553"/>
      <c r="E271" s="1980"/>
      <c r="F271" s="1976"/>
      <c r="G271" s="2004">
        <v>0</v>
      </c>
      <c r="H271" s="1981" t="e">
        <f>H270*J253</f>
        <v>#REF!</v>
      </c>
    </row>
    <row r="272" spans="2:16" s="2027" customFormat="1" x14ac:dyDescent="0.3">
      <c r="B272" s="1976" t="s">
        <v>63</v>
      </c>
      <c r="C272" s="1553" t="s">
        <v>877</v>
      </c>
      <c r="D272" s="1553"/>
      <c r="E272" s="1980"/>
      <c r="F272" s="1976"/>
      <c r="G272" s="1976"/>
      <c r="H272" s="1981" t="e">
        <f>+H270+H271</f>
        <v>#REF!</v>
      </c>
    </row>
    <row r="273" spans="2:16" x14ac:dyDescent="0.3">
      <c r="B273" s="1553"/>
      <c r="C273" s="1554" t="s">
        <v>878</v>
      </c>
      <c r="D273" s="1555"/>
      <c r="E273" s="1555"/>
      <c r="F273" s="1555"/>
      <c r="G273" s="1555"/>
      <c r="H273" s="2005" t="e">
        <f>ROUNDDOWN(H272,2)</f>
        <v>#REF!</v>
      </c>
    </row>
    <row r="274" spans="2:16" x14ac:dyDescent="0.3">
      <c r="C274" s="2052"/>
      <c r="D274" s="2053"/>
      <c r="E274" s="2053"/>
      <c r="F274" s="2053"/>
      <c r="G274" s="2053"/>
      <c r="H274" s="2054"/>
    </row>
    <row r="275" spans="2:16" s="2027" customFormat="1" x14ac:dyDescent="0.3">
      <c r="B275" s="2026" t="s">
        <v>1117</v>
      </c>
      <c r="C275" s="2026" t="s">
        <v>1118</v>
      </c>
      <c r="E275" s="2028"/>
      <c r="F275" s="1556"/>
      <c r="G275" s="1556"/>
      <c r="H275" s="2029"/>
    </row>
    <row r="276" spans="2:16" s="1976" customFormat="1" ht="15.95" customHeight="1" x14ac:dyDescent="0.3">
      <c r="B276" s="1982" t="s">
        <v>12</v>
      </c>
      <c r="C276" s="1982" t="s">
        <v>36</v>
      </c>
      <c r="D276" s="1982" t="s">
        <v>37</v>
      </c>
      <c r="E276" s="1983" t="s">
        <v>184</v>
      </c>
      <c r="F276" s="1984" t="s">
        <v>868</v>
      </c>
      <c r="G276" s="1983" t="s">
        <v>1063</v>
      </c>
      <c r="H276" s="1983" t="s">
        <v>40</v>
      </c>
      <c r="I276" s="1985"/>
      <c r="J276" s="1986"/>
      <c r="K276" s="1986"/>
      <c r="L276" s="1986"/>
      <c r="M276" s="1986"/>
      <c r="N276" s="1987"/>
      <c r="O276" s="1988"/>
      <c r="P276" s="1989"/>
    </row>
    <row r="277" spans="2:16" s="2027" customFormat="1" x14ac:dyDescent="0.3">
      <c r="B277" s="2035" t="s">
        <v>368</v>
      </c>
      <c r="C277" s="2036" t="s">
        <v>42</v>
      </c>
      <c r="D277" s="2035"/>
      <c r="E277" s="2037"/>
      <c r="F277" s="2038"/>
      <c r="G277" s="2037"/>
      <c r="H277" s="2037"/>
    </row>
    <row r="278" spans="2:16" s="2027" customFormat="1" x14ac:dyDescent="0.3">
      <c r="B278" s="2035"/>
      <c r="C278" s="2027" t="s">
        <v>71</v>
      </c>
      <c r="D278" s="2039" t="s">
        <v>44</v>
      </c>
      <c r="E278" s="1556" t="s">
        <v>618</v>
      </c>
      <c r="F278" s="2057">
        <v>0.01</v>
      </c>
      <c r="G278" s="1995">
        <f>G259</f>
        <v>115000</v>
      </c>
      <c r="H278" s="2041">
        <f>F278*G278</f>
        <v>1150</v>
      </c>
    </row>
    <row r="279" spans="2:16" s="2027" customFormat="1" x14ac:dyDescent="0.3">
      <c r="B279" s="2035"/>
      <c r="C279" s="2027" t="s">
        <v>1076</v>
      </c>
      <c r="D279" s="2039" t="s">
        <v>47</v>
      </c>
      <c r="E279" s="1556" t="s">
        <v>618</v>
      </c>
      <c r="F279" s="2057">
        <v>0.4</v>
      </c>
      <c r="G279" s="1995">
        <f>G260</f>
        <v>170000</v>
      </c>
      <c r="H279" s="2041">
        <f>F279*G279</f>
        <v>68000</v>
      </c>
    </row>
    <row r="280" spans="2:16" s="2027" customFormat="1" x14ac:dyDescent="0.3">
      <c r="B280" s="2035"/>
      <c r="C280" s="2027" t="s">
        <v>605</v>
      </c>
      <c r="D280" s="2039" t="s">
        <v>49</v>
      </c>
      <c r="E280" s="1556" t="s">
        <v>618</v>
      </c>
      <c r="F280" s="2057">
        <v>0.04</v>
      </c>
      <c r="G280" s="1995">
        <f>G261</f>
        <v>185000</v>
      </c>
      <c r="H280" s="2041">
        <f>F280*G280</f>
        <v>7400</v>
      </c>
    </row>
    <row r="281" spans="2:16" s="2027" customFormat="1" x14ac:dyDescent="0.3">
      <c r="B281" s="2035"/>
      <c r="C281" s="2027" t="s">
        <v>50</v>
      </c>
      <c r="D281" s="2039" t="s">
        <v>51</v>
      </c>
      <c r="E281" s="1556" t="s">
        <v>618</v>
      </c>
      <c r="F281" s="2057">
        <v>5.0000000000000001E-3</v>
      </c>
      <c r="G281" s="1995">
        <f>G262</f>
        <v>200000</v>
      </c>
      <c r="H281" s="2041">
        <f>F281*G281</f>
        <v>1000</v>
      </c>
    </row>
    <row r="282" spans="2:16" s="2027" customFormat="1" x14ac:dyDescent="0.3">
      <c r="B282" s="2035"/>
      <c r="D282" s="2035"/>
      <c r="E282" s="1556"/>
      <c r="F282" s="2058"/>
      <c r="G282" s="2042" t="s">
        <v>52</v>
      </c>
      <c r="H282" s="2041">
        <f>SUM(H278:H281)</f>
        <v>77550</v>
      </c>
    </row>
    <row r="283" spans="2:16" s="2027" customFormat="1" x14ac:dyDescent="0.3">
      <c r="B283" s="2035" t="s">
        <v>394</v>
      </c>
      <c r="C283" s="2026" t="s">
        <v>872</v>
      </c>
      <c r="D283" s="2035"/>
      <c r="E283" s="1556"/>
      <c r="F283" s="2058"/>
      <c r="G283" s="2043"/>
      <c r="H283" s="2041"/>
    </row>
    <row r="284" spans="2:16" s="2027" customFormat="1" x14ac:dyDescent="0.3">
      <c r="B284" s="2035"/>
      <c r="C284" s="2027" t="s">
        <v>1119</v>
      </c>
      <c r="E284" s="1556" t="s">
        <v>32</v>
      </c>
      <c r="F284" s="2058">
        <v>1</v>
      </c>
      <c r="G284" s="2043">
        <f>'UB mep'!J42</f>
        <v>700000</v>
      </c>
      <c r="H284" s="2041">
        <f>+F284*G284</f>
        <v>700000</v>
      </c>
    </row>
    <row r="285" spans="2:16" s="2027" customFormat="1" x14ac:dyDescent="0.3">
      <c r="B285" s="2023"/>
      <c r="C285" s="2027" t="s">
        <v>1094</v>
      </c>
      <c r="E285" s="1556" t="s">
        <v>456</v>
      </c>
      <c r="F285" s="2058">
        <v>0.3</v>
      </c>
      <c r="G285" s="2043" t="e">
        <f>G266</f>
        <v>#REF!</v>
      </c>
      <c r="H285" s="2041" t="e">
        <f>+F285*G285</f>
        <v>#REF!</v>
      </c>
    </row>
    <row r="286" spans="2:16" s="2027" customFormat="1" x14ac:dyDescent="0.3">
      <c r="B286" s="2026"/>
      <c r="E286" s="1556"/>
      <c r="F286" s="2044"/>
      <c r="G286" s="2045" t="s">
        <v>59</v>
      </c>
      <c r="H286" s="2041" t="e">
        <f>SUM(H284:H285)</f>
        <v>#REF!</v>
      </c>
    </row>
    <row r="287" spans="2:16" s="2027" customFormat="1" x14ac:dyDescent="0.3">
      <c r="B287" s="2023" t="s">
        <v>411</v>
      </c>
      <c r="C287" s="2046" t="s">
        <v>60</v>
      </c>
      <c r="E287" s="1556"/>
      <c r="F287" s="2044"/>
      <c r="G287" s="2047"/>
      <c r="H287" s="2047"/>
    </row>
    <row r="288" spans="2:16" s="2027" customFormat="1" x14ac:dyDescent="0.3">
      <c r="B288" s="2026"/>
      <c r="E288" s="1556"/>
      <c r="F288" s="2044"/>
      <c r="G288" s="2045" t="s">
        <v>61</v>
      </c>
      <c r="H288" s="2041">
        <v>0</v>
      </c>
    </row>
    <row r="289" spans="2:16" s="2027" customFormat="1" x14ac:dyDescent="0.3">
      <c r="B289" s="1556" t="s">
        <v>6</v>
      </c>
      <c r="C289" s="2027" t="s">
        <v>875</v>
      </c>
      <c r="E289" s="2028"/>
      <c r="F289" s="1556"/>
      <c r="G289" s="1556"/>
      <c r="H289" s="2047" t="e">
        <f>+H288+H286+H282</f>
        <v>#REF!</v>
      </c>
    </row>
    <row r="290" spans="2:16" s="2027" customFormat="1" x14ac:dyDescent="0.3">
      <c r="B290" s="1974" t="s">
        <v>7</v>
      </c>
      <c r="C290" s="1555" t="s">
        <v>100</v>
      </c>
      <c r="D290" s="1553"/>
      <c r="E290" s="1980"/>
      <c r="F290" s="1976"/>
      <c r="G290" s="2004">
        <v>0</v>
      </c>
      <c r="H290" s="1981" t="e">
        <f>H289*J272</f>
        <v>#REF!</v>
      </c>
    </row>
    <row r="291" spans="2:16" s="2027" customFormat="1" x14ac:dyDescent="0.3">
      <c r="B291" s="1976" t="s">
        <v>63</v>
      </c>
      <c r="C291" s="1553" t="s">
        <v>877</v>
      </c>
      <c r="D291" s="1553"/>
      <c r="E291" s="1980"/>
      <c r="F291" s="1976"/>
      <c r="G291" s="1976"/>
      <c r="H291" s="1981" t="e">
        <f>+H289+H290</f>
        <v>#REF!</v>
      </c>
    </row>
    <row r="292" spans="2:16" s="2027" customFormat="1" x14ac:dyDescent="0.3">
      <c r="B292" s="1553"/>
      <c r="C292" s="1554" t="s">
        <v>878</v>
      </c>
      <c r="D292" s="1555"/>
      <c r="E292" s="1555"/>
      <c r="F292" s="1555"/>
      <c r="G292" s="1555"/>
      <c r="H292" s="2005" t="e">
        <f>ROUNDDOWN(H291,2)</f>
        <v>#REF!</v>
      </c>
    </row>
    <row r="293" spans="2:16" x14ac:dyDescent="0.3">
      <c r="C293" s="2052"/>
      <c r="D293" s="2053"/>
      <c r="E293" s="2053"/>
      <c r="F293" s="2053"/>
      <c r="G293" s="2053"/>
      <c r="H293" s="2054"/>
    </row>
    <row r="294" spans="2:16" s="2027" customFormat="1" x14ac:dyDescent="0.3">
      <c r="B294" s="2026" t="s">
        <v>1120</v>
      </c>
      <c r="C294" s="2026" t="s">
        <v>1121</v>
      </c>
      <c r="E294" s="2028"/>
      <c r="F294" s="1556"/>
      <c r="G294" s="1556"/>
      <c r="H294" s="2029"/>
    </row>
    <row r="295" spans="2:16" s="1976" customFormat="1" ht="15.95" customHeight="1" x14ac:dyDescent="0.3">
      <c r="B295" s="1982" t="s">
        <v>12</v>
      </c>
      <c r="C295" s="1982" t="s">
        <v>36</v>
      </c>
      <c r="D295" s="1982" t="s">
        <v>37</v>
      </c>
      <c r="E295" s="1983" t="s">
        <v>184</v>
      </c>
      <c r="F295" s="1984" t="s">
        <v>868</v>
      </c>
      <c r="G295" s="1983" t="s">
        <v>1063</v>
      </c>
      <c r="H295" s="1983" t="s">
        <v>40</v>
      </c>
      <c r="I295" s="1985"/>
      <c r="J295" s="1986"/>
      <c r="K295" s="1986"/>
      <c r="L295" s="1986"/>
      <c r="M295" s="1986"/>
      <c r="N295" s="1987"/>
      <c r="O295" s="1988"/>
      <c r="P295" s="1989"/>
    </row>
    <row r="296" spans="2:16" s="2027" customFormat="1" x14ac:dyDescent="0.3">
      <c r="B296" s="2035" t="s">
        <v>368</v>
      </c>
      <c r="C296" s="2036" t="s">
        <v>42</v>
      </c>
      <c r="D296" s="2035"/>
      <c r="E296" s="2037"/>
      <c r="F296" s="2038"/>
      <c r="G296" s="2037"/>
      <c r="H296" s="2037"/>
    </row>
    <row r="297" spans="2:16" s="2027" customFormat="1" x14ac:dyDescent="0.3">
      <c r="B297" s="2035"/>
      <c r="C297" s="2027" t="s">
        <v>71</v>
      </c>
      <c r="D297" s="2039" t="s">
        <v>44</v>
      </c>
      <c r="E297" s="1556" t="s">
        <v>618</v>
      </c>
      <c r="F297" s="2057">
        <v>0.01</v>
      </c>
      <c r="G297" s="1995">
        <f>G278</f>
        <v>115000</v>
      </c>
      <c r="H297" s="2041">
        <f>F297*G297</f>
        <v>1150</v>
      </c>
    </row>
    <row r="298" spans="2:16" s="2027" customFormat="1" x14ac:dyDescent="0.3">
      <c r="B298" s="2035"/>
      <c r="C298" s="2027" t="s">
        <v>1076</v>
      </c>
      <c r="D298" s="2039" t="s">
        <v>47</v>
      </c>
      <c r="E298" s="1556" t="s">
        <v>618</v>
      </c>
      <c r="F298" s="2057">
        <v>0.4</v>
      </c>
      <c r="G298" s="1995">
        <f>G279</f>
        <v>170000</v>
      </c>
      <c r="H298" s="2041">
        <f>F298*G298</f>
        <v>68000</v>
      </c>
    </row>
    <row r="299" spans="2:16" s="2027" customFormat="1" x14ac:dyDescent="0.3">
      <c r="B299" s="2035"/>
      <c r="C299" s="2027" t="s">
        <v>605</v>
      </c>
      <c r="D299" s="2039" t="s">
        <v>49</v>
      </c>
      <c r="E299" s="1556" t="s">
        <v>618</v>
      </c>
      <c r="F299" s="2057">
        <v>0.04</v>
      </c>
      <c r="G299" s="1995">
        <f>G280</f>
        <v>185000</v>
      </c>
      <c r="H299" s="2041">
        <f>F299*G299</f>
        <v>7400</v>
      </c>
    </row>
    <row r="300" spans="2:16" s="2027" customFormat="1" x14ac:dyDescent="0.3">
      <c r="B300" s="2035"/>
      <c r="C300" s="2027" t="s">
        <v>50</v>
      </c>
      <c r="D300" s="2039" t="s">
        <v>51</v>
      </c>
      <c r="E300" s="1556" t="s">
        <v>618</v>
      </c>
      <c r="F300" s="2057">
        <v>5.0000000000000001E-3</v>
      </c>
      <c r="G300" s="1995">
        <f>G281</f>
        <v>200000</v>
      </c>
      <c r="H300" s="2041">
        <f>F300*G300</f>
        <v>1000</v>
      </c>
    </row>
    <row r="301" spans="2:16" s="2027" customFormat="1" x14ac:dyDescent="0.3">
      <c r="B301" s="2035"/>
      <c r="D301" s="2035"/>
      <c r="E301" s="1556"/>
      <c r="F301" s="2058"/>
      <c r="G301" s="2042" t="s">
        <v>52</v>
      </c>
      <c r="H301" s="2041">
        <f>SUM(H297:H300)</f>
        <v>77550</v>
      </c>
    </row>
    <row r="302" spans="2:16" s="2027" customFormat="1" x14ac:dyDescent="0.3">
      <c r="B302" s="2035" t="s">
        <v>394</v>
      </c>
      <c r="C302" s="2026" t="s">
        <v>872</v>
      </c>
      <c r="D302" s="2035"/>
      <c r="E302" s="1556"/>
      <c r="F302" s="2058"/>
      <c r="G302" s="2043"/>
      <c r="H302" s="2041"/>
    </row>
    <row r="303" spans="2:16" s="2027" customFormat="1" x14ac:dyDescent="0.3">
      <c r="B303" s="2035"/>
      <c r="C303" s="2027" t="s">
        <v>1122</v>
      </c>
      <c r="E303" s="1556" t="s">
        <v>32</v>
      </c>
      <c r="F303" s="2058">
        <v>1</v>
      </c>
      <c r="G303" s="2043">
        <f>'UB mep'!J43</f>
        <v>980000</v>
      </c>
      <c r="H303" s="2041">
        <f>+F303*G303</f>
        <v>980000</v>
      </c>
    </row>
    <row r="304" spans="2:16" s="2027" customFormat="1" x14ac:dyDescent="0.3">
      <c r="B304" s="2023"/>
      <c r="C304" s="2027" t="s">
        <v>1094</v>
      </c>
      <c r="E304" s="1556" t="s">
        <v>456</v>
      </c>
      <c r="F304" s="2058">
        <v>0.5</v>
      </c>
      <c r="G304" s="2043" t="e">
        <f>G285</f>
        <v>#REF!</v>
      </c>
      <c r="H304" s="2041" t="e">
        <f>+F304*G304</f>
        <v>#REF!</v>
      </c>
    </row>
    <row r="305" spans="2:16" s="2027" customFormat="1" x14ac:dyDescent="0.3">
      <c r="B305" s="2026"/>
      <c r="E305" s="1556"/>
      <c r="F305" s="2044"/>
      <c r="G305" s="2045" t="s">
        <v>59</v>
      </c>
      <c r="H305" s="2041" t="e">
        <f>SUM(H303:H304)</f>
        <v>#REF!</v>
      </c>
    </row>
    <row r="306" spans="2:16" s="2027" customFormat="1" x14ac:dyDescent="0.3">
      <c r="B306" s="2023" t="s">
        <v>411</v>
      </c>
      <c r="C306" s="2046" t="s">
        <v>60</v>
      </c>
      <c r="E306" s="1556"/>
      <c r="F306" s="2044"/>
      <c r="G306" s="2047"/>
      <c r="H306" s="2047"/>
    </row>
    <row r="307" spans="2:16" s="2027" customFormat="1" x14ac:dyDescent="0.3">
      <c r="B307" s="2026"/>
      <c r="E307" s="1556"/>
      <c r="F307" s="2044"/>
      <c r="G307" s="2045" t="s">
        <v>61</v>
      </c>
      <c r="H307" s="2041">
        <v>0</v>
      </c>
    </row>
    <row r="308" spans="2:16" s="2027" customFormat="1" x14ac:dyDescent="0.3">
      <c r="B308" s="1556" t="s">
        <v>6</v>
      </c>
      <c r="C308" s="2027" t="s">
        <v>875</v>
      </c>
      <c r="E308" s="2028"/>
      <c r="F308" s="1556"/>
      <c r="G308" s="1556"/>
      <c r="H308" s="2047" t="e">
        <f>+H307+H305+H301</f>
        <v>#REF!</v>
      </c>
    </row>
    <row r="309" spans="2:16" s="2027" customFormat="1" x14ac:dyDescent="0.3">
      <c r="B309" s="1974" t="s">
        <v>7</v>
      </c>
      <c r="C309" s="1555" t="s">
        <v>100</v>
      </c>
      <c r="D309" s="1553"/>
      <c r="E309" s="1980"/>
      <c r="F309" s="1976"/>
      <c r="G309" s="2004">
        <v>0</v>
      </c>
      <c r="H309" s="1981" t="e">
        <f>H308*J291</f>
        <v>#REF!</v>
      </c>
    </row>
    <row r="310" spans="2:16" s="2027" customFormat="1" x14ac:dyDescent="0.3">
      <c r="B310" s="1976" t="s">
        <v>63</v>
      </c>
      <c r="C310" s="1553" t="s">
        <v>877</v>
      </c>
      <c r="D310" s="1553"/>
      <c r="E310" s="1980"/>
      <c r="F310" s="1976"/>
      <c r="G310" s="1976"/>
      <c r="H310" s="1981" t="e">
        <f>+H308+H309</f>
        <v>#REF!</v>
      </c>
    </row>
    <row r="311" spans="2:16" s="2027" customFormat="1" x14ac:dyDescent="0.3">
      <c r="B311" s="1553"/>
      <c r="C311" s="1554" t="s">
        <v>878</v>
      </c>
      <c r="D311" s="1555"/>
      <c r="E311" s="1555"/>
      <c r="F311" s="1555"/>
      <c r="G311" s="1555"/>
      <c r="H311" s="2005" t="e">
        <f>ROUNDDOWN(H310,2)</f>
        <v>#REF!</v>
      </c>
    </row>
    <row r="312" spans="2:16" x14ac:dyDescent="0.3">
      <c r="C312" s="2052"/>
      <c r="D312" s="2053"/>
      <c r="E312" s="2053"/>
      <c r="F312" s="2053"/>
      <c r="G312" s="2053"/>
      <c r="H312" s="2054"/>
    </row>
    <row r="313" spans="2:16" x14ac:dyDescent="0.3">
      <c r="B313" s="2026" t="s">
        <v>1123</v>
      </c>
      <c r="C313" s="2026" t="s">
        <v>1124</v>
      </c>
      <c r="D313" s="2021"/>
      <c r="E313" s="2049"/>
      <c r="G313" s="2050"/>
      <c r="H313" s="2051"/>
    </row>
    <row r="314" spans="2:16" s="1976" customFormat="1" ht="15.95" customHeight="1" x14ac:dyDescent="0.3">
      <c r="B314" s="1982" t="s">
        <v>12</v>
      </c>
      <c r="C314" s="1982" t="s">
        <v>36</v>
      </c>
      <c r="D314" s="1982" t="s">
        <v>37</v>
      </c>
      <c r="E314" s="1983" t="s">
        <v>184</v>
      </c>
      <c r="F314" s="1984" t="s">
        <v>868</v>
      </c>
      <c r="G314" s="1983" t="s">
        <v>1063</v>
      </c>
      <c r="H314" s="1983" t="s">
        <v>40</v>
      </c>
      <c r="I314" s="1985"/>
      <c r="J314" s="1986"/>
      <c r="K314" s="1986"/>
      <c r="L314" s="1986"/>
      <c r="M314" s="1986"/>
      <c r="N314" s="1987"/>
      <c r="O314" s="1988"/>
      <c r="P314" s="1989"/>
    </row>
    <row r="315" spans="2:16" s="2027" customFormat="1" x14ac:dyDescent="0.3">
      <c r="B315" s="2035" t="s">
        <v>368</v>
      </c>
      <c r="C315" s="2036" t="s">
        <v>42</v>
      </c>
      <c r="D315" s="2035"/>
      <c r="E315" s="2037"/>
      <c r="F315" s="2038"/>
      <c r="G315" s="2037"/>
      <c r="H315" s="2037"/>
    </row>
    <row r="316" spans="2:16" s="2027" customFormat="1" x14ac:dyDescent="0.3">
      <c r="B316" s="2035"/>
      <c r="C316" s="2027" t="s">
        <v>71</v>
      </c>
      <c r="D316" s="2039" t="s">
        <v>44</v>
      </c>
      <c r="E316" s="1556" t="s">
        <v>618</v>
      </c>
      <c r="F316" s="2057">
        <v>0.01</v>
      </c>
      <c r="G316" s="1995">
        <f>G297</f>
        <v>115000</v>
      </c>
      <c r="H316" s="2041">
        <f>F316*G316</f>
        <v>1150</v>
      </c>
    </row>
    <row r="317" spans="2:16" s="2027" customFormat="1" x14ac:dyDescent="0.3">
      <c r="B317" s="2035"/>
      <c r="C317" s="2027" t="s">
        <v>1076</v>
      </c>
      <c r="D317" s="2039" t="s">
        <v>47</v>
      </c>
      <c r="E317" s="1556" t="s">
        <v>618</v>
      </c>
      <c r="F317" s="2057">
        <v>0.4</v>
      </c>
      <c r="G317" s="1995">
        <f>G298</f>
        <v>170000</v>
      </c>
      <c r="H317" s="2041">
        <f>F317*G317</f>
        <v>68000</v>
      </c>
    </row>
    <row r="318" spans="2:16" s="2027" customFormat="1" x14ac:dyDescent="0.3">
      <c r="B318" s="2035"/>
      <c r="C318" s="2027" t="s">
        <v>605</v>
      </c>
      <c r="D318" s="2039" t="s">
        <v>49</v>
      </c>
      <c r="E318" s="1556" t="s">
        <v>618</v>
      </c>
      <c r="F318" s="2057">
        <v>0.04</v>
      </c>
      <c r="G318" s="1995">
        <f>G299</f>
        <v>185000</v>
      </c>
      <c r="H318" s="2041">
        <f>F318*G318</f>
        <v>7400</v>
      </c>
    </row>
    <row r="319" spans="2:16" s="2027" customFormat="1" x14ac:dyDescent="0.3">
      <c r="B319" s="2035"/>
      <c r="C319" s="2027" t="s">
        <v>50</v>
      </c>
      <c r="D319" s="2039" t="s">
        <v>51</v>
      </c>
      <c r="E319" s="1556" t="s">
        <v>618</v>
      </c>
      <c r="F319" s="2057">
        <v>5.0000000000000001E-3</v>
      </c>
      <c r="G319" s="1995">
        <f>G300</f>
        <v>200000</v>
      </c>
      <c r="H319" s="2041">
        <f>F319*G319</f>
        <v>1000</v>
      </c>
    </row>
    <row r="320" spans="2:16" s="2027" customFormat="1" x14ac:dyDescent="0.3">
      <c r="B320" s="2035"/>
      <c r="D320" s="2035"/>
      <c r="E320" s="1556"/>
      <c r="F320" s="2058"/>
      <c r="G320" s="2042" t="s">
        <v>52</v>
      </c>
      <c r="H320" s="2041">
        <f>SUM(H316:H319)</f>
        <v>77550</v>
      </c>
    </row>
    <row r="321" spans="2:16" s="2027" customFormat="1" x14ac:dyDescent="0.3">
      <c r="B321" s="2035" t="s">
        <v>394</v>
      </c>
      <c r="C321" s="2026" t="s">
        <v>872</v>
      </c>
      <c r="D321" s="2035"/>
      <c r="E321" s="1556"/>
      <c r="F321" s="2058"/>
      <c r="G321" s="2043"/>
      <c r="H321" s="2041"/>
    </row>
    <row r="322" spans="2:16" s="2027" customFormat="1" x14ac:dyDescent="0.3">
      <c r="B322" s="2035"/>
      <c r="C322" s="2027" t="s">
        <v>1125</v>
      </c>
      <c r="E322" s="1556" t="s">
        <v>32</v>
      </c>
      <c r="F322" s="2058">
        <v>1</v>
      </c>
      <c r="G322" s="2043">
        <f>'UB mep'!J44</f>
        <v>1980000</v>
      </c>
      <c r="H322" s="2041">
        <f>+F322*G322</f>
        <v>1980000</v>
      </c>
    </row>
    <row r="323" spans="2:16" s="2027" customFormat="1" x14ac:dyDescent="0.3">
      <c r="B323" s="2023"/>
      <c r="C323" s="2027" t="s">
        <v>1094</v>
      </c>
      <c r="E323" s="1556" t="s">
        <v>456</v>
      </c>
      <c r="F323" s="2058">
        <v>1</v>
      </c>
      <c r="G323" s="2043" t="e">
        <f>G304</f>
        <v>#REF!</v>
      </c>
      <c r="H323" s="2041" t="e">
        <f>+F323*G323</f>
        <v>#REF!</v>
      </c>
    </row>
    <row r="324" spans="2:16" s="2027" customFormat="1" x14ac:dyDescent="0.3">
      <c r="B324" s="2026"/>
      <c r="E324" s="1556"/>
      <c r="F324" s="2044"/>
      <c r="G324" s="2045" t="s">
        <v>59</v>
      </c>
      <c r="H324" s="2041" t="e">
        <f>SUM(H322:H323)</f>
        <v>#REF!</v>
      </c>
    </row>
    <row r="325" spans="2:16" s="2027" customFormat="1" x14ac:dyDescent="0.3">
      <c r="B325" s="2023" t="s">
        <v>411</v>
      </c>
      <c r="C325" s="2046" t="s">
        <v>60</v>
      </c>
      <c r="E325" s="1556"/>
      <c r="F325" s="2044"/>
      <c r="G325" s="2047"/>
      <c r="H325" s="2047"/>
    </row>
    <row r="326" spans="2:16" s="2027" customFormat="1" x14ac:dyDescent="0.3">
      <c r="B326" s="2026"/>
      <c r="E326" s="1556"/>
      <c r="F326" s="2044"/>
      <c r="G326" s="2045" t="s">
        <v>61</v>
      </c>
      <c r="H326" s="2041">
        <v>0</v>
      </c>
    </row>
    <row r="327" spans="2:16" s="2027" customFormat="1" x14ac:dyDescent="0.3">
      <c r="B327" s="1556" t="s">
        <v>6</v>
      </c>
      <c r="C327" s="2027" t="s">
        <v>875</v>
      </c>
      <c r="E327" s="2028"/>
      <c r="F327" s="1556"/>
      <c r="G327" s="1556"/>
      <c r="H327" s="2047" t="e">
        <f>+H326+H324+H320</f>
        <v>#REF!</v>
      </c>
    </row>
    <row r="328" spans="2:16" s="2027" customFormat="1" x14ac:dyDescent="0.3">
      <c r="B328" s="1974" t="s">
        <v>7</v>
      </c>
      <c r="C328" s="1555" t="s">
        <v>100</v>
      </c>
      <c r="D328" s="1553"/>
      <c r="E328" s="1980"/>
      <c r="F328" s="1976"/>
      <c r="G328" s="2004">
        <v>0</v>
      </c>
      <c r="H328" s="1981" t="e">
        <f>H327*J310</f>
        <v>#REF!</v>
      </c>
    </row>
    <row r="329" spans="2:16" s="2027" customFormat="1" x14ac:dyDescent="0.3">
      <c r="B329" s="1976" t="s">
        <v>63</v>
      </c>
      <c r="C329" s="1553" t="s">
        <v>877</v>
      </c>
      <c r="D329" s="1553"/>
      <c r="E329" s="1980"/>
      <c r="F329" s="1976"/>
      <c r="G329" s="1976"/>
      <c r="H329" s="1981" t="e">
        <f>+H327+H328</f>
        <v>#REF!</v>
      </c>
    </row>
    <row r="330" spans="2:16" s="2027" customFormat="1" x14ac:dyDescent="0.3">
      <c r="B330" s="1553"/>
      <c r="C330" s="1554" t="s">
        <v>878</v>
      </c>
      <c r="D330" s="1555"/>
      <c r="E330" s="1555"/>
      <c r="F330" s="1555"/>
      <c r="G330" s="1555"/>
      <c r="H330" s="2005" t="e">
        <f>ROUNDDOWN(H329,2)</f>
        <v>#REF!</v>
      </c>
    </row>
    <row r="331" spans="2:16" x14ac:dyDescent="0.3">
      <c r="C331" s="2052"/>
      <c r="D331" s="2053"/>
      <c r="E331" s="2053"/>
      <c r="F331" s="2053"/>
      <c r="G331" s="2053"/>
      <c r="H331" s="2054"/>
    </row>
    <row r="332" spans="2:16" s="2027" customFormat="1" x14ac:dyDescent="0.3">
      <c r="B332" s="2026" t="s">
        <v>1126</v>
      </c>
      <c r="C332" s="2026" t="s">
        <v>1127</v>
      </c>
      <c r="E332" s="2028"/>
      <c r="F332" s="1556"/>
      <c r="G332" s="1556"/>
      <c r="H332" s="2029"/>
    </row>
    <row r="333" spans="2:16" s="1976" customFormat="1" ht="15.95" customHeight="1" x14ac:dyDescent="0.3">
      <c r="B333" s="1982" t="s">
        <v>12</v>
      </c>
      <c r="C333" s="1982" t="s">
        <v>36</v>
      </c>
      <c r="D333" s="1982" t="s">
        <v>37</v>
      </c>
      <c r="E333" s="1983" t="s">
        <v>184</v>
      </c>
      <c r="F333" s="1984" t="s">
        <v>868</v>
      </c>
      <c r="G333" s="1983" t="s">
        <v>1063</v>
      </c>
      <c r="H333" s="1983" t="s">
        <v>40</v>
      </c>
      <c r="I333" s="1985"/>
      <c r="J333" s="1986"/>
      <c r="K333" s="1986"/>
      <c r="L333" s="1986"/>
      <c r="M333" s="1986"/>
      <c r="N333" s="1987"/>
      <c r="O333" s="1988"/>
      <c r="P333" s="1989"/>
    </row>
    <row r="334" spans="2:16" s="2027" customFormat="1" x14ac:dyDescent="0.3">
      <c r="B334" s="2035" t="s">
        <v>368</v>
      </c>
      <c r="C334" s="2036" t="s">
        <v>42</v>
      </c>
      <c r="D334" s="2035"/>
      <c r="E334" s="2037"/>
      <c r="F334" s="2038"/>
      <c r="G334" s="2037"/>
      <c r="H334" s="2037"/>
    </row>
    <row r="335" spans="2:16" s="2027" customFormat="1" x14ac:dyDescent="0.3">
      <c r="B335" s="2035"/>
      <c r="C335" s="2027" t="s">
        <v>71</v>
      </c>
      <c r="D335" s="2039" t="s">
        <v>44</v>
      </c>
      <c r="E335" s="1556" t="s">
        <v>618</v>
      </c>
      <c r="F335" s="2057">
        <v>0.01</v>
      </c>
      <c r="G335" s="1995">
        <f>G316</f>
        <v>115000</v>
      </c>
      <c r="H335" s="2041">
        <f>F335*G335</f>
        <v>1150</v>
      </c>
    </row>
    <row r="336" spans="2:16" s="2027" customFormat="1" x14ac:dyDescent="0.3">
      <c r="B336" s="2035"/>
      <c r="C336" s="2027" t="s">
        <v>1076</v>
      </c>
      <c r="D336" s="2039" t="s">
        <v>47</v>
      </c>
      <c r="E336" s="1556" t="s">
        <v>618</v>
      </c>
      <c r="F336" s="2057">
        <v>0.4</v>
      </c>
      <c r="G336" s="1995">
        <f>G317</f>
        <v>170000</v>
      </c>
      <c r="H336" s="2041">
        <f>F336*G336</f>
        <v>68000</v>
      </c>
    </row>
    <row r="337" spans="2:16" s="2027" customFormat="1" x14ac:dyDescent="0.3">
      <c r="B337" s="2035"/>
      <c r="C337" s="2027" t="s">
        <v>605</v>
      </c>
      <c r="D337" s="2039" t="s">
        <v>49</v>
      </c>
      <c r="E337" s="1556" t="s">
        <v>618</v>
      </c>
      <c r="F337" s="2057">
        <v>0.04</v>
      </c>
      <c r="G337" s="1995">
        <f>G318</f>
        <v>185000</v>
      </c>
      <c r="H337" s="2041">
        <f>F337*G337</f>
        <v>7400</v>
      </c>
    </row>
    <row r="338" spans="2:16" s="2027" customFormat="1" x14ac:dyDescent="0.3">
      <c r="B338" s="2035"/>
      <c r="C338" s="2027" t="s">
        <v>50</v>
      </c>
      <c r="D338" s="2039" t="s">
        <v>51</v>
      </c>
      <c r="E338" s="1556" t="s">
        <v>618</v>
      </c>
      <c r="F338" s="2057">
        <v>5.0000000000000001E-3</v>
      </c>
      <c r="G338" s="1995">
        <f>G319</f>
        <v>200000</v>
      </c>
      <c r="H338" s="2041">
        <f>F338*G338</f>
        <v>1000</v>
      </c>
    </row>
    <row r="339" spans="2:16" s="2027" customFormat="1" x14ac:dyDescent="0.3">
      <c r="B339" s="2035"/>
      <c r="D339" s="2035"/>
      <c r="E339" s="1556"/>
      <c r="F339" s="2058"/>
      <c r="G339" s="2042" t="s">
        <v>52</v>
      </c>
      <c r="H339" s="2041">
        <f>SUM(H335:H338)</f>
        <v>77550</v>
      </c>
    </row>
    <row r="340" spans="2:16" s="2027" customFormat="1" x14ac:dyDescent="0.3">
      <c r="B340" s="2035" t="s">
        <v>394</v>
      </c>
      <c r="C340" s="2026" t="s">
        <v>872</v>
      </c>
      <c r="D340" s="2035"/>
      <c r="E340" s="1556"/>
      <c r="F340" s="2058"/>
      <c r="G340" s="2043"/>
      <c r="H340" s="2041"/>
    </row>
    <row r="341" spans="2:16" s="2027" customFormat="1" x14ac:dyDescent="0.3">
      <c r="B341" s="2035"/>
      <c r="C341" s="2027" t="s">
        <v>1128</v>
      </c>
      <c r="E341" s="1556" t="s">
        <v>32</v>
      </c>
      <c r="F341" s="2058">
        <v>1</v>
      </c>
      <c r="G341" s="2043">
        <f>'UB mep'!J51</f>
        <v>650000</v>
      </c>
      <c r="H341" s="2041">
        <f>+F341*G341</f>
        <v>650000</v>
      </c>
    </row>
    <row r="342" spans="2:16" s="2027" customFormat="1" x14ac:dyDescent="0.3">
      <c r="B342" s="2023"/>
      <c r="C342" s="2027" t="s">
        <v>1094</v>
      </c>
      <c r="E342" s="1556" t="s">
        <v>456</v>
      </c>
      <c r="F342" s="2058">
        <v>0.5</v>
      </c>
      <c r="G342" s="2043" t="e">
        <f>G323</f>
        <v>#REF!</v>
      </c>
      <c r="H342" s="2041" t="e">
        <f>+F342*G342</f>
        <v>#REF!</v>
      </c>
    </row>
    <row r="343" spans="2:16" s="2027" customFormat="1" x14ac:dyDescent="0.3">
      <c r="B343" s="2026"/>
      <c r="E343" s="1556"/>
      <c r="F343" s="2044"/>
      <c r="G343" s="2045" t="s">
        <v>59</v>
      </c>
      <c r="H343" s="2041" t="e">
        <f>SUM(H341:H342)</f>
        <v>#REF!</v>
      </c>
    </row>
    <row r="344" spans="2:16" s="2027" customFormat="1" x14ac:dyDescent="0.3">
      <c r="B344" s="2023" t="s">
        <v>411</v>
      </c>
      <c r="C344" s="2046" t="s">
        <v>60</v>
      </c>
      <c r="E344" s="1556"/>
      <c r="F344" s="2044"/>
      <c r="G344" s="2047"/>
      <c r="H344" s="2047"/>
    </row>
    <row r="345" spans="2:16" s="2027" customFormat="1" x14ac:dyDescent="0.3">
      <c r="B345" s="2026"/>
      <c r="E345" s="1556"/>
      <c r="F345" s="2044"/>
      <c r="G345" s="2045" t="s">
        <v>61</v>
      </c>
      <c r="H345" s="2041">
        <v>0</v>
      </c>
    </row>
    <row r="346" spans="2:16" s="2027" customFormat="1" x14ac:dyDescent="0.3">
      <c r="B346" s="1556" t="s">
        <v>6</v>
      </c>
      <c r="C346" s="2027" t="s">
        <v>875</v>
      </c>
      <c r="E346" s="2028"/>
      <c r="F346" s="1556"/>
      <c r="G346" s="1556"/>
      <c r="H346" s="2047" t="e">
        <f>+H345+H343+H339</f>
        <v>#REF!</v>
      </c>
    </row>
    <row r="347" spans="2:16" s="2027" customFormat="1" x14ac:dyDescent="0.3">
      <c r="B347" s="1974" t="s">
        <v>7</v>
      </c>
      <c r="C347" s="1555" t="s">
        <v>100</v>
      </c>
      <c r="D347" s="1553"/>
      <c r="E347" s="1980"/>
      <c r="F347" s="1976"/>
      <c r="G347" s="2004">
        <v>0</v>
      </c>
      <c r="H347" s="1981" t="e">
        <f>H346*J329</f>
        <v>#REF!</v>
      </c>
    </row>
    <row r="348" spans="2:16" s="2027" customFormat="1" x14ac:dyDescent="0.3">
      <c r="B348" s="1976" t="s">
        <v>63</v>
      </c>
      <c r="C348" s="1553" t="s">
        <v>877</v>
      </c>
      <c r="D348" s="1553"/>
      <c r="E348" s="1980"/>
      <c r="F348" s="1976"/>
      <c r="G348" s="1976"/>
      <c r="H348" s="1981" t="e">
        <f>+H346+H347</f>
        <v>#REF!</v>
      </c>
    </row>
    <row r="349" spans="2:16" s="2027" customFormat="1" x14ac:dyDescent="0.3">
      <c r="B349" s="1553"/>
      <c r="C349" s="1554" t="s">
        <v>878</v>
      </c>
      <c r="D349" s="1555"/>
      <c r="E349" s="1555"/>
      <c r="F349" s="1555"/>
      <c r="G349" s="1555"/>
      <c r="H349" s="2005" t="e">
        <f>ROUNDDOWN(H348,2)</f>
        <v>#REF!</v>
      </c>
    </row>
    <row r="350" spans="2:16" x14ac:dyDescent="0.3">
      <c r="C350" s="2052"/>
      <c r="D350" s="2053"/>
      <c r="E350" s="2053"/>
      <c r="F350" s="2053"/>
      <c r="G350" s="2053"/>
      <c r="H350" s="2054"/>
    </row>
    <row r="351" spans="2:16" s="2027" customFormat="1" x14ac:dyDescent="0.3">
      <c r="B351" s="2026" t="s">
        <v>1129</v>
      </c>
      <c r="C351" s="2026" t="s">
        <v>1130</v>
      </c>
      <c r="E351" s="2028"/>
      <c r="F351" s="1556"/>
      <c r="G351" s="1556"/>
      <c r="H351" s="2029"/>
    </row>
    <row r="352" spans="2:16" s="1976" customFormat="1" ht="15.95" customHeight="1" x14ac:dyDescent="0.3">
      <c r="B352" s="1982" t="s">
        <v>12</v>
      </c>
      <c r="C352" s="1982" t="s">
        <v>36</v>
      </c>
      <c r="D352" s="1982" t="s">
        <v>37</v>
      </c>
      <c r="E352" s="1983" t="s">
        <v>184</v>
      </c>
      <c r="F352" s="1984" t="s">
        <v>868</v>
      </c>
      <c r="G352" s="1983" t="s">
        <v>1063</v>
      </c>
      <c r="H352" s="1983" t="s">
        <v>40</v>
      </c>
      <c r="I352" s="1985"/>
      <c r="J352" s="1986"/>
      <c r="K352" s="1986"/>
      <c r="L352" s="1986"/>
      <c r="M352" s="1986"/>
      <c r="N352" s="1987"/>
      <c r="O352" s="1988"/>
      <c r="P352" s="1989"/>
    </row>
    <row r="353" spans="2:8" s="2027" customFormat="1" x14ac:dyDescent="0.3">
      <c r="B353" s="2035" t="s">
        <v>368</v>
      </c>
      <c r="C353" s="2036" t="s">
        <v>42</v>
      </c>
      <c r="D353" s="2035"/>
      <c r="E353" s="2037"/>
      <c r="F353" s="2038"/>
      <c r="G353" s="2037"/>
      <c r="H353" s="2037"/>
    </row>
    <row r="354" spans="2:8" s="2027" customFormat="1" x14ac:dyDescent="0.3">
      <c r="B354" s="2035"/>
      <c r="C354" s="2027" t="s">
        <v>71</v>
      </c>
      <c r="D354" s="2039" t="s">
        <v>44</v>
      </c>
      <c r="E354" s="1556" t="s">
        <v>618</v>
      </c>
      <c r="F354" s="2057">
        <v>0.01</v>
      </c>
      <c r="G354" s="1995">
        <f>G335</f>
        <v>115000</v>
      </c>
      <c r="H354" s="2041">
        <f>F354*G354</f>
        <v>1150</v>
      </c>
    </row>
    <row r="355" spans="2:8" s="2027" customFormat="1" x14ac:dyDescent="0.3">
      <c r="B355" s="2035"/>
      <c r="C355" s="2027" t="s">
        <v>1076</v>
      </c>
      <c r="D355" s="2039" t="s">
        <v>47</v>
      </c>
      <c r="E355" s="1556" t="s">
        <v>618</v>
      </c>
      <c r="F355" s="2057">
        <v>0.4</v>
      </c>
      <c r="G355" s="1995">
        <f>G336</f>
        <v>170000</v>
      </c>
      <c r="H355" s="2041">
        <f>F355*G355</f>
        <v>68000</v>
      </c>
    </row>
    <row r="356" spans="2:8" s="2027" customFormat="1" x14ac:dyDescent="0.3">
      <c r="B356" s="2035"/>
      <c r="C356" s="2027" t="s">
        <v>605</v>
      </c>
      <c r="D356" s="2039" t="s">
        <v>49</v>
      </c>
      <c r="E356" s="1556" t="s">
        <v>618</v>
      </c>
      <c r="F356" s="2057">
        <v>0.04</v>
      </c>
      <c r="G356" s="1995">
        <f>G337</f>
        <v>185000</v>
      </c>
      <c r="H356" s="2041">
        <f>F356*G356</f>
        <v>7400</v>
      </c>
    </row>
    <row r="357" spans="2:8" s="2027" customFormat="1" x14ac:dyDescent="0.3">
      <c r="B357" s="2035"/>
      <c r="C357" s="2027" t="s">
        <v>50</v>
      </c>
      <c r="D357" s="2039" t="s">
        <v>51</v>
      </c>
      <c r="E357" s="1556" t="s">
        <v>618</v>
      </c>
      <c r="F357" s="2057">
        <v>5.0000000000000001E-3</v>
      </c>
      <c r="G357" s="1995">
        <f>G338</f>
        <v>200000</v>
      </c>
      <c r="H357" s="2041">
        <f>F357*G357</f>
        <v>1000</v>
      </c>
    </row>
    <row r="358" spans="2:8" s="2027" customFormat="1" x14ac:dyDescent="0.3">
      <c r="B358" s="2035"/>
      <c r="D358" s="2035"/>
      <c r="E358" s="1556"/>
      <c r="F358" s="2058"/>
      <c r="G358" s="2042" t="s">
        <v>52</v>
      </c>
      <c r="H358" s="2041">
        <f>SUM(H354:H357)</f>
        <v>77550</v>
      </c>
    </row>
    <row r="359" spans="2:8" s="2027" customFormat="1" x14ac:dyDescent="0.3">
      <c r="B359" s="2035" t="s">
        <v>394</v>
      </c>
      <c r="C359" s="2026" t="s">
        <v>872</v>
      </c>
      <c r="D359" s="2035"/>
      <c r="E359" s="1556"/>
      <c r="F359" s="2058"/>
      <c r="G359" s="2043"/>
      <c r="H359" s="2041"/>
    </row>
    <row r="360" spans="2:8" s="2027" customFormat="1" x14ac:dyDescent="0.3">
      <c r="B360" s="2035"/>
      <c r="C360" s="2027" t="s">
        <v>1131</v>
      </c>
      <c r="E360" s="1556" t="s">
        <v>32</v>
      </c>
      <c r="F360" s="2058">
        <v>1</v>
      </c>
      <c r="G360" s="2043">
        <f>'UB mep'!J46</f>
        <v>675000</v>
      </c>
      <c r="H360" s="2041">
        <f>+F360*G360</f>
        <v>675000</v>
      </c>
    </row>
    <row r="361" spans="2:8" s="2027" customFormat="1" x14ac:dyDescent="0.3">
      <c r="B361" s="2023"/>
      <c r="C361" s="2027" t="s">
        <v>1094</v>
      </c>
      <c r="E361" s="1556" t="s">
        <v>456</v>
      </c>
      <c r="F361" s="2058">
        <v>0.5</v>
      </c>
      <c r="G361" s="2043" t="e">
        <f>G342</f>
        <v>#REF!</v>
      </c>
      <c r="H361" s="2041" t="e">
        <f>+F361*G361</f>
        <v>#REF!</v>
      </c>
    </row>
    <row r="362" spans="2:8" s="2027" customFormat="1" x14ac:dyDescent="0.3">
      <c r="B362" s="2026"/>
      <c r="E362" s="1556"/>
      <c r="F362" s="2044"/>
      <c r="G362" s="2045" t="s">
        <v>59</v>
      </c>
      <c r="H362" s="2041" t="e">
        <f>SUM(H360:H361)</f>
        <v>#REF!</v>
      </c>
    </row>
    <row r="363" spans="2:8" s="2027" customFormat="1" x14ac:dyDescent="0.3">
      <c r="B363" s="2023" t="s">
        <v>411</v>
      </c>
      <c r="C363" s="2046" t="s">
        <v>60</v>
      </c>
      <c r="E363" s="1556"/>
      <c r="F363" s="2044"/>
      <c r="G363" s="2047"/>
      <c r="H363" s="2047"/>
    </row>
    <row r="364" spans="2:8" s="2027" customFormat="1" x14ac:dyDescent="0.3">
      <c r="B364" s="2026"/>
      <c r="E364" s="1556"/>
      <c r="F364" s="2044"/>
      <c r="G364" s="2045" t="s">
        <v>61</v>
      </c>
      <c r="H364" s="2041">
        <v>0</v>
      </c>
    </row>
    <row r="365" spans="2:8" s="2027" customFormat="1" x14ac:dyDescent="0.3">
      <c r="B365" s="1556" t="s">
        <v>6</v>
      </c>
      <c r="C365" s="2027" t="s">
        <v>875</v>
      </c>
      <c r="E365" s="2028"/>
      <c r="F365" s="1556"/>
      <c r="G365" s="1556"/>
      <c r="H365" s="2047" t="e">
        <f>+H364+H362+H358</f>
        <v>#REF!</v>
      </c>
    </row>
    <row r="366" spans="2:8" s="2027" customFormat="1" x14ac:dyDescent="0.3">
      <c r="B366" s="1974" t="s">
        <v>7</v>
      </c>
      <c r="C366" s="1555" t="s">
        <v>100</v>
      </c>
      <c r="D366" s="1553"/>
      <c r="E366" s="1980"/>
      <c r="F366" s="1976"/>
      <c r="G366" s="2004">
        <v>0</v>
      </c>
      <c r="H366" s="1981" t="e">
        <f>H365*J348</f>
        <v>#REF!</v>
      </c>
    </row>
    <row r="367" spans="2:8" s="2027" customFormat="1" x14ac:dyDescent="0.3">
      <c r="B367" s="1976" t="s">
        <v>63</v>
      </c>
      <c r="C367" s="1553" t="s">
        <v>877</v>
      </c>
      <c r="D367" s="1553"/>
      <c r="E367" s="1980"/>
      <c r="F367" s="1976"/>
      <c r="G367" s="1976"/>
      <c r="H367" s="1981" t="e">
        <f>+H365+H366</f>
        <v>#REF!</v>
      </c>
    </row>
    <row r="368" spans="2:8" s="2027" customFormat="1" x14ac:dyDescent="0.3">
      <c r="B368" s="1553"/>
      <c r="C368" s="1554" t="s">
        <v>878</v>
      </c>
      <c r="D368" s="1555"/>
      <c r="E368" s="1555"/>
      <c r="F368" s="1555"/>
      <c r="G368" s="1555"/>
      <c r="H368" s="2005" t="e">
        <f>ROUNDDOWN(H367,2)</f>
        <v>#REF!</v>
      </c>
    </row>
    <row r="369" spans="2:16" x14ac:dyDescent="0.3">
      <c r="C369" s="2052"/>
      <c r="D369" s="2053"/>
      <c r="E369" s="2053"/>
      <c r="F369" s="2053"/>
      <c r="G369" s="2053"/>
      <c r="H369" s="2054"/>
    </row>
    <row r="370" spans="2:16" x14ac:dyDescent="0.3">
      <c r="B370" s="2026" t="s">
        <v>1132</v>
      </c>
      <c r="C370" s="2026" t="s">
        <v>1133</v>
      </c>
      <c r="D370" s="2021"/>
      <c r="E370" s="2049"/>
      <c r="G370" s="2050"/>
      <c r="H370" s="2051"/>
    </row>
    <row r="371" spans="2:16" s="1976" customFormat="1" ht="15.95" customHeight="1" x14ac:dyDescent="0.3">
      <c r="B371" s="1982" t="s">
        <v>12</v>
      </c>
      <c r="C371" s="1982" t="s">
        <v>36</v>
      </c>
      <c r="D371" s="1982" t="s">
        <v>37</v>
      </c>
      <c r="E371" s="1983" t="s">
        <v>184</v>
      </c>
      <c r="F371" s="1984" t="s">
        <v>868</v>
      </c>
      <c r="G371" s="1983" t="s">
        <v>1063</v>
      </c>
      <c r="H371" s="1983" t="s">
        <v>40</v>
      </c>
      <c r="I371" s="1985"/>
      <c r="J371" s="1986"/>
      <c r="K371" s="1986"/>
      <c r="L371" s="1986"/>
      <c r="M371" s="1986"/>
      <c r="N371" s="1987"/>
      <c r="O371" s="1988"/>
      <c r="P371" s="1989"/>
    </row>
    <row r="372" spans="2:16" s="2027" customFormat="1" x14ac:dyDescent="0.3">
      <c r="B372" s="2035" t="s">
        <v>368</v>
      </c>
      <c r="C372" s="2036" t="s">
        <v>42</v>
      </c>
      <c r="D372" s="2035"/>
      <c r="E372" s="2037"/>
      <c r="F372" s="2038"/>
      <c r="G372" s="2037"/>
      <c r="H372" s="2037"/>
    </row>
    <row r="373" spans="2:16" s="2027" customFormat="1" x14ac:dyDescent="0.3">
      <c r="B373" s="2035"/>
      <c r="C373" s="2027" t="s">
        <v>71</v>
      </c>
      <c r="D373" s="2039" t="s">
        <v>44</v>
      </c>
      <c r="E373" s="1556" t="s">
        <v>618</v>
      </c>
      <c r="F373" s="2057">
        <v>0.01</v>
      </c>
      <c r="G373" s="1995">
        <f>G354</f>
        <v>115000</v>
      </c>
      <c r="H373" s="2041">
        <f>F373*G373</f>
        <v>1150</v>
      </c>
    </row>
    <row r="374" spans="2:16" s="2027" customFormat="1" x14ac:dyDescent="0.3">
      <c r="B374" s="2035"/>
      <c r="C374" s="2027" t="s">
        <v>1076</v>
      </c>
      <c r="D374" s="2039" t="s">
        <v>47</v>
      </c>
      <c r="E374" s="1556" t="s">
        <v>618</v>
      </c>
      <c r="F374" s="2057">
        <v>0.4</v>
      </c>
      <c r="G374" s="1995">
        <f>G355</f>
        <v>170000</v>
      </c>
      <c r="H374" s="2041">
        <f>F374*G374</f>
        <v>68000</v>
      </c>
    </row>
    <row r="375" spans="2:16" s="2027" customFormat="1" x14ac:dyDescent="0.3">
      <c r="B375" s="2035"/>
      <c r="C375" s="2027" t="s">
        <v>605</v>
      </c>
      <c r="D375" s="2039" t="s">
        <v>49</v>
      </c>
      <c r="E375" s="1556" t="s">
        <v>618</v>
      </c>
      <c r="F375" s="2057">
        <v>0.04</v>
      </c>
      <c r="G375" s="1995">
        <f>G356</f>
        <v>185000</v>
      </c>
      <c r="H375" s="2041">
        <f>F375*G375</f>
        <v>7400</v>
      </c>
    </row>
    <row r="376" spans="2:16" s="2027" customFormat="1" x14ac:dyDescent="0.3">
      <c r="B376" s="2035"/>
      <c r="C376" s="2027" t="s">
        <v>50</v>
      </c>
      <c r="D376" s="2039" t="s">
        <v>51</v>
      </c>
      <c r="E376" s="1556" t="s">
        <v>618</v>
      </c>
      <c r="F376" s="2057">
        <v>5.0000000000000001E-3</v>
      </c>
      <c r="G376" s="1995">
        <f>G357</f>
        <v>200000</v>
      </c>
      <c r="H376" s="2041">
        <f>F376*G376</f>
        <v>1000</v>
      </c>
    </row>
    <row r="377" spans="2:16" s="2027" customFormat="1" x14ac:dyDescent="0.3">
      <c r="B377" s="2035"/>
      <c r="D377" s="2035"/>
      <c r="E377" s="1556"/>
      <c r="F377" s="2058"/>
      <c r="G377" s="2042" t="s">
        <v>52</v>
      </c>
      <c r="H377" s="2041">
        <f>SUM(H373:H376)</f>
        <v>77550</v>
      </c>
    </row>
    <row r="378" spans="2:16" s="2027" customFormat="1" x14ac:dyDescent="0.3">
      <c r="B378" s="2035" t="s">
        <v>394</v>
      </c>
      <c r="C378" s="2026" t="s">
        <v>872</v>
      </c>
      <c r="D378" s="2035"/>
      <c r="E378" s="1556"/>
      <c r="F378" s="2058"/>
      <c r="G378" s="2043"/>
      <c r="H378" s="2041"/>
    </row>
    <row r="379" spans="2:16" s="2027" customFormat="1" x14ac:dyDescent="0.3">
      <c r="B379" s="2035"/>
      <c r="C379" s="2027" t="s">
        <v>1134</v>
      </c>
      <c r="E379" s="1556" t="s">
        <v>32</v>
      </c>
      <c r="F379" s="2058">
        <v>1</v>
      </c>
      <c r="G379" s="2043">
        <f>'UB mep'!J48</f>
        <v>890000</v>
      </c>
      <c r="H379" s="2041">
        <f>+F379*G379</f>
        <v>890000</v>
      </c>
    </row>
    <row r="380" spans="2:16" s="2027" customFormat="1" x14ac:dyDescent="0.3">
      <c r="B380" s="2023"/>
      <c r="C380" s="2027" t="s">
        <v>1094</v>
      </c>
      <c r="E380" s="1556" t="s">
        <v>456</v>
      </c>
      <c r="F380" s="2058">
        <v>0.5</v>
      </c>
      <c r="G380" s="2043" t="e">
        <f>G361</f>
        <v>#REF!</v>
      </c>
      <c r="H380" s="2041" t="e">
        <f>+F380*G380</f>
        <v>#REF!</v>
      </c>
    </row>
    <row r="381" spans="2:16" s="2027" customFormat="1" x14ac:dyDescent="0.3">
      <c r="B381" s="2026"/>
      <c r="E381" s="1556"/>
      <c r="F381" s="2044"/>
      <c r="G381" s="2045" t="s">
        <v>59</v>
      </c>
      <c r="H381" s="2041" t="e">
        <f>SUM(H379:H380)</f>
        <v>#REF!</v>
      </c>
    </row>
    <row r="382" spans="2:16" s="2027" customFormat="1" x14ac:dyDescent="0.3">
      <c r="B382" s="2023" t="s">
        <v>411</v>
      </c>
      <c r="C382" s="2046" t="s">
        <v>60</v>
      </c>
      <c r="E382" s="1556"/>
      <c r="F382" s="2044"/>
      <c r="G382" s="2047"/>
      <c r="H382" s="2047"/>
    </row>
    <row r="383" spans="2:16" s="2027" customFormat="1" x14ac:dyDescent="0.3">
      <c r="B383" s="2026"/>
      <c r="E383" s="1556"/>
      <c r="F383" s="2044"/>
      <c r="G383" s="2045" t="s">
        <v>61</v>
      </c>
      <c r="H383" s="2041">
        <v>0</v>
      </c>
    </row>
    <row r="384" spans="2:16" s="2027" customFormat="1" x14ac:dyDescent="0.3">
      <c r="B384" s="1556" t="s">
        <v>6</v>
      </c>
      <c r="C384" s="2027" t="s">
        <v>875</v>
      </c>
      <c r="E384" s="2028"/>
      <c r="F384" s="1556"/>
      <c r="G384" s="1556"/>
      <c r="H384" s="2047" t="e">
        <f>+H383+H381+H377</f>
        <v>#REF!</v>
      </c>
    </row>
    <row r="385" spans="2:16" s="2027" customFormat="1" x14ac:dyDescent="0.3">
      <c r="B385" s="1974" t="s">
        <v>7</v>
      </c>
      <c r="C385" s="1555" t="s">
        <v>100</v>
      </c>
      <c r="D385" s="1553"/>
      <c r="E385" s="1980"/>
      <c r="F385" s="1976"/>
      <c r="G385" s="2004">
        <v>0</v>
      </c>
      <c r="H385" s="1981" t="e">
        <f>H384*J368</f>
        <v>#REF!</v>
      </c>
    </row>
    <row r="386" spans="2:16" s="2027" customFormat="1" x14ac:dyDescent="0.3">
      <c r="B386" s="1976" t="s">
        <v>63</v>
      </c>
      <c r="C386" s="1553" t="s">
        <v>877</v>
      </c>
      <c r="D386" s="1553"/>
      <c r="E386" s="1980"/>
      <c r="F386" s="1976"/>
      <c r="G386" s="1976"/>
      <c r="H386" s="1981" t="e">
        <f>+H384+H385</f>
        <v>#REF!</v>
      </c>
    </row>
    <row r="387" spans="2:16" s="2027" customFormat="1" x14ac:dyDescent="0.3">
      <c r="B387" s="1553"/>
      <c r="C387" s="1554" t="s">
        <v>878</v>
      </c>
      <c r="D387" s="1555"/>
      <c r="E387" s="1555"/>
      <c r="F387" s="1555"/>
      <c r="G387" s="1555"/>
      <c r="H387" s="2005" t="e">
        <f>ROUNDDOWN(H386,2)</f>
        <v>#REF!</v>
      </c>
    </row>
    <row r="388" spans="2:16" x14ac:dyDescent="0.3">
      <c r="C388" s="2052"/>
      <c r="D388" s="2053"/>
      <c r="E388" s="2053"/>
      <c r="F388" s="2053"/>
      <c r="G388" s="2053"/>
      <c r="H388" s="2054"/>
    </row>
    <row r="389" spans="2:16" x14ac:dyDescent="0.3">
      <c r="B389" s="2026" t="s">
        <v>1135</v>
      </c>
      <c r="C389" s="2026" t="s">
        <v>1136</v>
      </c>
      <c r="D389" s="2021"/>
      <c r="E389" s="2049"/>
      <c r="G389" s="2050"/>
      <c r="H389" s="2051"/>
    </row>
    <row r="390" spans="2:16" s="1976" customFormat="1" ht="15.95" customHeight="1" x14ac:dyDescent="0.3">
      <c r="B390" s="1982" t="s">
        <v>12</v>
      </c>
      <c r="C390" s="1982" t="s">
        <v>36</v>
      </c>
      <c r="D390" s="1982" t="s">
        <v>37</v>
      </c>
      <c r="E390" s="1983" t="s">
        <v>184</v>
      </c>
      <c r="F390" s="1984" t="s">
        <v>868</v>
      </c>
      <c r="G390" s="1983" t="s">
        <v>1063</v>
      </c>
      <c r="H390" s="1983" t="s">
        <v>40</v>
      </c>
      <c r="I390" s="1985"/>
      <c r="J390" s="1986"/>
      <c r="K390" s="1986"/>
      <c r="L390" s="1986"/>
      <c r="M390" s="1986"/>
      <c r="N390" s="1987"/>
      <c r="O390" s="1988"/>
      <c r="P390" s="1989"/>
    </row>
    <row r="391" spans="2:16" s="2027" customFormat="1" x14ac:dyDescent="0.3">
      <c r="B391" s="2035" t="s">
        <v>368</v>
      </c>
      <c r="C391" s="2036" t="s">
        <v>42</v>
      </c>
      <c r="D391" s="2035"/>
      <c r="E391" s="2037"/>
      <c r="F391" s="2038"/>
      <c r="G391" s="2037"/>
      <c r="H391" s="2037"/>
    </row>
    <row r="392" spans="2:16" s="2027" customFormat="1" x14ac:dyDescent="0.3">
      <c r="B392" s="2035"/>
      <c r="C392" s="2027" t="s">
        <v>71</v>
      </c>
      <c r="D392" s="2039" t="s">
        <v>44</v>
      </c>
      <c r="E392" s="1556" t="s">
        <v>618</v>
      </c>
      <c r="F392" s="2057">
        <v>0.01</v>
      </c>
      <c r="G392" s="1995">
        <f>G373</f>
        <v>115000</v>
      </c>
      <c r="H392" s="2041">
        <f>F392*G392</f>
        <v>1150</v>
      </c>
    </row>
    <row r="393" spans="2:16" s="2027" customFormat="1" x14ac:dyDescent="0.3">
      <c r="B393" s="2035"/>
      <c r="C393" s="2027" t="s">
        <v>1076</v>
      </c>
      <c r="D393" s="2039" t="s">
        <v>47</v>
      </c>
      <c r="E393" s="1556" t="s">
        <v>618</v>
      </c>
      <c r="F393" s="2057">
        <v>0.4</v>
      </c>
      <c r="G393" s="1995">
        <f>G374</f>
        <v>170000</v>
      </c>
      <c r="H393" s="2041">
        <f>F393*G393</f>
        <v>68000</v>
      </c>
    </row>
    <row r="394" spans="2:16" s="2027" customFormat="1" x14ac:dyDescent="0.3">
      <c r="B394" s="2035"/>
      <c r="C394" s="2027" t="s">
        <v>605</v>
      </c>
      <c r="D394" s="2039" t="s">
        <v>49</v>
      </c>
      <c r="E394" s="1556" t="s">
        <v>618</v>
      </c>
      <c r="F394" s="2057">
        <v>0.04</v>
      </c>
      <c r="G394" s="1995">
        <f>G375</f>
        <v>185000</v>
      </c>
      <c r="H394" s="2041">
        <f>F394*G394</f>
        <v>7400</v>
      </c>
    </row>
    <row r="395" spans="2:16" s="2027" customFormat="1" x14ac:dyDescent="0.3">
      <c r="B395" s="2035"/>
      <c r="C395" s="2027" t="s">
        <v>50</v>
      </c>
      <c r="D395" s="2039" t="s">
        <v>51</v>
      </c>
      <c r="E395" s="1556" t="s">
        <v>618</v>
      </c>
      <c r="F395" s="2057">
        <v>5.0000000000000001E-3</v>
      </c>
      <c r="G395" s="1995">
        <f>G376</f>
        <v>200000</v>
      </c>
      <c r="H395" s="2041">
        <f>F395*G395</f>
        <v>1000</v>
      </c>
    </row>
    <row r="396" spans="2:16" s="2027" customFormat="1" x14ac:dyDescent="0.3">
      <c r="B396" s="2035"/>
      <c r="D396" s="2035"/>
      <c r="E396" s="1556"/>
      <c r="F396" s="2058"/>
      <c r="G396" s="2042" t="s">
        <v>52</v>
      </c>
      <c r="H396" s="2041">
        <f>SUM(H392:H395)</f>
        <v>77550</v>
      </c>
    </row>
    <row r="397" spans="2:16" s="2027" customFormat="1" x14ac:dyDescent="0.3">
      <c r="B397" s="2035" t="s">
        <v>394</v>
      </c>
      <c r="C397" s="2026" t="s">
        <v>872</v>
      </c>
      <c r="D397" s="2035"/>
      <c r="E397" s="1556"/>
      <c r="F397" s="2058"/>
      <c r="G397" s="2043"/>
      <c r="H397" s="2041"/>
    </row>
    <row r="398" spans="2:16" s="2027" customFormat="1" x14ac:dyDescent="0.3">
      <c r="B398" s="2035"/>
      <c r="C398" s="2027" t="s">
        <v>1137</v>
      </c>
      <c r="E398" s="1556" t="s">
        <v>32</v>
      </c>
      <c r="F398" s="2058">
        <v>1</v>
      </c>
      <c r="G398" s="2043">
        <f>'UB mep'!J47</f>
        <v>810000</v>
      </c>
      <c r="H398" s="2041">
        <f>+F398*G398</f>
        <v>810000</v>
      </c>
    </row>
    <row r="399" spans="2:16" s="2027" customFormat="1" x14ac:dyDescent="0.3">
      <c r="B399" s="2023"/>
      <c r="C399" s="2027" t="s">
        <v>1094</v>
      </c>
      <c r="E399" s="1556" t="s">
        <v>456</v>
      </c>
      <c r="F399" s="2058">
        <v>0.5</v>
      </c>
      <c r="G399" s="2043" t="e">
        <f>G380</f>
        <v>#REF!</v>
      </c>
      <c r="H399" s="2041" t="e">
        <f>+F399*G399</f>
        <v>#REF!</v>
      </c>
    </row>
    <row r="400" spans="2:16" s="2027" customFormat="1" x14ac:dyDescent="0.3">
      <c r="B400" s="2026"/>
      <c r="E400" s="1556"/>
      <c r="F400" s="2044"/>
      <c r="G400" s="2045" t="s">
        <v>59</v>
      </c>
      <c r="H400" s="2041" t="e">
        <f>SUM(H398:H399)</f>
        <v>#REF!</v>
      </c>
    </row>
    <row r="401" spans="2:16" s="2027" customFormat="1" x14ac:dyDescent="0.3">
      <c r="B401" s="2023" t="s">
        <v>411</v>
      </c>
      <c r="C401" s="2046" t="s">
        <v>60</v>
      </c>
      <c r="E401" s="1556"/>
      <c r="F401" s="2044"/>
      <c r="G401" s="2047"/>
      <c r="H401" s="2047"/>
    </row>
    <row r="402" spans="2:16" s="2027" customFormat="1" x14ac:dyDescent="0.3">
      <c r="B402" s="2026"/>
      <c r="E402" s="1556"/>
      <c r="F402" s="2044"/>
      <c r="G402" s="2045" t="s">
        <v>61</v>
      </c>
      <c r="H402" s="2041">
        <v>0</v>
      </c>
    </row>
    <row r="403" spans="2:16" s="2027" customFormat="1" x14ac:dyDescent="0.3">
      <c r="B403" s="1556" t="s">
        <v>6</v>
      </c>
      <c r="C403" s="2027" t="s">
        <v>875</v>
      </c>
      <c r="E403" s="2028"/>
      <c r="F403" s="1556"/>
      <c r="G403" s="1556"/>
      <c r="H403" s="2047" t="e">
        <f>+H402+H400+H396</f>
        <v>#REF!</v>
      </c>
    </row>
    <row r="404" spans="2:16" s="2027" customFormat="1" x14ac:dyDescent="0.3">
      <c r="B404" s="1974" t="s">
        <v>7</v>
      </c>
      <c r="C404" s="1555" t="s">
        <v>100</v>
      </c>
      <c r="D404" s="1553"/>
      <c r="E404" s="1980"/>
      <c r="F404" s="1976"/>
      <c r="G404" s="2004">
        <v>0</v>
      </c>
      <c r="H404" s="1981" t="e">
        <f>H403*J387</f>
        <v>#REF!</v>
      </c>
    </row>
    <row r="405" spans="2:16" s="2027" customFormat="1" x14ac:dyDescent="0.3">
      <c r="B405" s="1976" t="s">
        <v>63</v>
      </c>
      <c r="C405" s="1553" t="s">
        <v>877</v>
      </c>
      <c r="D405" s="1553"/>
      <c r="E405" s="1980"/>
      <c r="F405" s="1976"/>
      <c r="G405" s="1976"/>
      <c r="H405" s="1981" t="e">
        <f>+H403+H404</f>
        <v>#REF!</v>
      </c>
    </row>
    <row r="406" spans="2:16" s="2027" customFormat="1" x14ac:dyDescent="0.3">
      <c r="B406" s="1553"/>
      <c r="C406" s="1554" t="s">
        <v>878</v>
      </c>
      <c r="D406" s="1555"/>
      <c r="E406" s="1555"/>
      <c r="F406" s="1555"/>
      <c r="G406" s="1555"/>
      <c r="H406" s="2005" t="e">
        <f>ROUNDDOWN(H405,2)</f>
        <v>#REF!</v>
      </c>
    </row>
    <row r="407" spans="2:16" x14ac:dyDescent="0.3">
      <c r="C407" s="2052"/>
      <c r="D407" s="2053"/>
      <c r="E407" s="2053"/>
      <c r="F407" s="2053"/>
      <c r="G407" s="2053"/>
      <c r="H407" s="2054"/>
    </row>
    <row r="408" spans="2:16" s="2027" customFormat="1" x14ac:dyDescent="0.3">
      <c r="B408" s="2026" t="s">
        <v>1138</v>
      </c>
      <c r="C408" s="2026" t="s">
        <v>1139</v>
      </c>
      <c r="E408" s="2028"/>
      <c r="F408" s="1556"/>
      <c r="G408" s="1556"/>
      <c r="H408" s="2029"/>
    </row>
    <row r="409" spans="2:16" s="1976" customFormat="1" ht="15.95" customHeight="1" x14ac:dyDescent="0.3">
      <c r="B409" s="1982" t="s">
        <v>12</v>
      </c>
      <c r="C409" s="1982" t="s">
        <v>36</v>
      </c>
      <c r="D409" s="1982" t="s">
        <v>37</v>
      </c>
      <c r="E409" s="1983" t="s">
        <v>184</v>
      </c>
      <c r="F409" s="1984" t="s">
        <v>868</v>
      </c>
      <c r="G409" s="1983" t="s">
        <v>1063</v>
      </c>
      <c r="H409" s="1983" t="s">
        <v>40</v>
      </c>
      <c r="I409" s="1985"/>
      <c r="J409" s="1986"/>
      <c r="K409" s="1986"/>
      <c r="L409" s="1986"/>
      <c r="M409" s="1986"/>
      <c r="N409" s="1987"/>
      <c r="O409" s="1988"/>
      <c r="P409" s="1989"/>
    </row>
    <row r="410" spans="2:16" s="2027" customFormat="1" x14ac:dyDescent="0.3">
      <c r="B410" s="2035" t="s">
        <v>368</v>
      </c>
      <c r="C410" s="2036" t="s">
        <v>42</v>
      </c>
      <c r="D410" s="2035"/>
      <c r="E410" s="2037"/>
      <c r="F410" s="2038"/>
      <c r="G410" s="2037"/>
      <c r="H410" s="2037"/>
    </row>
    <row r="411" spans="2:16" s="2027" customFormat="1" x14ac:dyDescent="0.3">
      <c r="B411" s="2035"/>
      <c r="C411" s="2027" t="s">
        <v>71</v>
      </c>
      <c r="D411" s="2039" t="s">
        <v>44</v>
      </c>
      <c r="E411" s="1556" t="s">
        <v>618</v>
      </c>
      <c r="F411" s="2057">
        <v>0.01</v>
      </c>
      <c r="G411" s="1995">
        <f>G392</f>
        <v>115000</v>
      </c>
      <c r="H411" s="2041">
        <f>F411*G411</f>
        <v>1150</v>
      </c>
    </row>
    <row r="412" spans="2:16" s="2027" customFormat="1" x14ac:dyDescent="0.3">
      <c r="B412" s="2035"/>
      <c r="C412" s="2027" t="s">
        <v>1076</v>
      </c>
      <c r="D412" s="2039" t="s">
        <v>47</v>
      </c>
      <c r="E412" s="1556" t="s">
        <v>618</v>
      </c>
      <c r="F412" s="2057">
        <v>0.4</v>
      </c>
      <c r="G412" s="1995">
        <f>G393</f>
        <v>170000</v>
      </c>
      <c r="H412" s="2041">
        <f>F412*G412</f>
        <v>68000</v>
      </c>
    </row>
    <row r="413" spans="2:16" s="2027" customFormat="1" x14ac:dyDescent="0.3">
      <c r="B413" s="2035"/>
      <c r="C413" s="2027" t="s">
        <v>605</v>
      </c>
      <c r="D413" s="2039" t="s">
        <v>49</v>
      </c>
      <c r="E413" s="1556" t="s">
        <v>618</v>
      </c>
      <c r="F413" s="2057">
        <v>0.04</v>
      </c>
      <c r="G413" s="1995">
        <f>G394</f>
        <v>185000</v>
      </c>
      <c r="H413" s="2041">
        <f>F413*G413</f>
        <v>7400</v>
      </c>
    </row>
    <row r="414" spans="2:16" s="2027" customFormat="1" x14ac:dyDescent="0.3">
      <c r="B414" s="2035"/>
      <c r="C414" s="2027" t="s">
        <v>50</v>
      </c>
      <c r="D414" s="2039" t="s">
        <v>51</v>
      </c>
      <c r="E414" s="1556" t="s">
        <v>618</v>
      </c>
      <c r="F414" s="2057">
        <v>5.0000000000000001E-3</v>
      </c>
      <c r="G414" s="1995">
        <f>G395</f>
        <v>200000</v>
      </c>
      <c r="H414" s="2041">
        <f>F414*G414</f>
        <v>1000</v>
      </c>
    </row>
    <row r="415" spans="2:16" s="2027" customFormat="1" x14ac:dyDescent="0.3">
      <c r="B415" s="2035"/>
      <c r="D415" s="2035"/>
      <c r="E415" s="1556"/>
      <c r="F415" s="2058"/>
      <c r="G415" s="2042" t="s">
        <v>52</v>
      </c>
      <c r="H415" s="2041">
        <f>SUM(H411:H414)</f>
        <v>77550</v>
      </c>
    </row>
    <row r="416" spans="2:16" s="2027" customFormat="1" x14ac:dyDescent="0.3">
      <c r="B416" s="2035" t="s">
        <v>394</v>
      </c>
      <c r="C416" s="2026" t="s">
        <v>872</v>
      </c>
      <c r="D416" s="2035"/>
      <c r="E416" s="1556"/>
      <c r="F416" s="2058"/>
      <c r="G416" s="2043"/>
      <c r="H416" s="2041"/>
    </row>
    <row r="417" spans="2:16" s="2027" customFormat="1" x14ac:dyDescent="0.3">
      <c r="B417" s="2035"/>
      <c r="C417" s="2027" t="s">
        <v>1140</v>
      </c>
      <c r="E417" s="1556" t="s">
        <v>32</v>
      </c>
      <c r="F417" s="2058">
        <v>1</v>
      </c>
      <c r="G417" s="2043">
        <f>'UB mep'!J49</f>
        <v>800000</v>
      </c>
      <c r="H417" s="2041">
        <f>+F417*G417</f>
        <v>800000</v>
      </c>
    </row>
    <row r="418" spans="2:16" s="2027" customFormat="1" x14ac:dyDescent="0.3">
      <c r="B418" s="2023"/>
      <c r="C418" s="2027" t="s">
        <v>1094</v>
      </c>
      <c r="E418" s="1556" t="s">
        <v>456</v>
      </c>
      <c r="F418" s="2058">
        <v>0.5</v>
      </c>
      <c r="G418" s="2043" t="e">
        <f>G399</f>
        <v>#REF!</v>
      </c>
      <c r="H418" s="2041" t="e">
        <f>+F418*G418</f>
        <v>#REF!</v>
      </c>
    </row>
    <row r="419" spans="2:16" s="2027" customFormat="1" x14ac:dyDescent="0.3">
      <c r="B419" s="2026"/>
      <c r="E419" s="1556"/>
      <c r="F419" s="2044"/>
      <c r="G419" s="2045" t="s">
        <v>59</v>
      </c>
      <c r="H419" s="2041" t="e">
        <f>SUM(H417:H418)</f>
        <v>#REF!</v>
      </c>
    </row>
    <row r="420" spans="2:16" s="2027" customFormat="1" x14ac:dyDescent="0.3">
      <c r="B420" s="2023" t="s">
        <v>411</v>
      </c>
      <c r="C420" s="2046" t="s">
        <v>60</v>
      </c>
      <c r="E420" s="1556"/>
      <c r="F420" s="2044"/>
      <c r="G420" s="2047"/>
      <c r="H420" s="2047"/>
    </row>
    <row r="421" spans="2:16" s="2027" customFormat="1" x14ac:dyDescent="0.3">
      <c r="B421" s="2023"/>
      <c r="C421" s="2046"/>
      <c r="E421" s="1556"/>
      <c r="F421" s="2044"/>
      <c r="G421" s="2047"/>
      <c r="H421" s="2047"/>
    </row>
    <row r="422" spans="2:16" s="2027" customFormat="1" x14ac:dyDescent="0.3">
      <c r="B422" s="2026"/>
      <c r="E422" s="1556"/>
      <c r="F422" s="2044"/>
      <c r="G422" s="2045" t="s">
        <v>61</v>
      </c>
      <c r="H422" s="2041">
        <v>0</v>
      </c>
    </row>
    <row r="423" spans="2:16" s="2027" customFormat="1" x14ac:dyDescent="0.3">
      <c r="B423" s="1556" t="s">
        <v>6</v>
      </c>
      <c r="C423" s="2027" t="s">
        <v>875</v>
      </c>
      <c r="E423" s="2028"/>
      <c r="F423" s="1556"/>
      <c r="G423" s="1556"/>
      <c r="H423" s="2047" t="e">
        <f>+H422+H419+H415</f>
        <v>#REF!</v>
      </c>
    </row>
    <row r="424" spans="2:16" s="2027" customFormat="1" x14ac:dyDescent="0.3">
      <c r="B424" s="1974" t="s">
        <v>7</v>
      </c>
      <c r="C424" s="1555" t="s">
        <v>100</v>
      </c>
      <c r="D424" s="1553"/>
      <c r="E424" s="1980"/>
      <c r="F424" s="1976"/>
      <c r="G424" s="2004">
        <v>0</v>
      </c>
      <c r="H424" s="1981" t="e">
        <f>H423*J406</f>
        <v>#REF!</v>
      </c>
    </row>
    <row r="425" spans="2:16" s="2027" customFormat="1" x14ac:dyDescent="0.3">
      <c r="B425" s="1976" t="s">
        <v>63</v>
      </c>
      <c r="C425" s="1553" t="s">
        <v>877</v>
      </c>
      <c r="D425" s="1553"/>
      <c r="E425" s="1980"/>
      <c r="F425" s="1976"/>
      <c r="G425" s="1976"/>
      <c r="H425" s="1981" t="e">
        <f>+H423+H424</f>
        <v>#REF!</v>
      </c>
    </row>
    <row r="426" spans="2:16" s="2027" customFormat="1" x14ac:dyDescent="0.3">
      <c r="B426" s="1553"/>
      <c r="C426" s="1554" t="s">
        <v>878</v>
      </c>
      <c r="D426" s="1555"/>
      <c r="E426" s="1555"/>
      <c r="F426" s="1555"/>
      <c r="G426" s="1555"/>
      <c r="H426" s="2005" t="e">
        <f>ROUNDDOWN(H425,2)</f>
        <v>#REF!</v>
      </c>
    </row>
    <row r="427" spans="2:16" x14ac:dyDescent="0.3">
      <c r="C427" s="2052"/>
      <c r="D427" s="2053"/>
      <c r="E427" s="2053"/>
      <c r="F427" s="2053"/>
      <c r="G427" s="2053"/>
      <c r="H427" s="2054"/>
    </row>
    <row r="428" spans="2:16" x14ac:dyDescent="0.3">
      <c r="B428" s="2026" t="s">
        <v>1141</v>
      </c>
      <c r="C428" s="2026" t="s">
        <v>1142</v>
      </c>
      <c r="D428" s="2021"/>
      <c r="E428" s="2049"/>
      <c r="G428" s="2050"/>
      <c r="H428" s="2051"/>
    </row>
    <row r="429" spans="2:16" s="1976" customFormat="1" ht="15.95" customHeight="1" x14ac:dyDescent="0.3">
      <c r="B429" s="1982" t="s">
        <v>12</v>
      </c>
      <c r="C429" s="1982" t="s">
        <v>36</v>
      </c>
      <c r="D429" s="1982" t="s">
        <v>37</v>
      </c>
      <c r="E429" s="1983" t="s">
        <v>184</v>
      </c>
      <c r="F429" s="1984" t="s">
        <v>868</v>
      </c>
      <c r="G429" s="1983" t="s">
        <v>1063</v>
      </c>
      <c r="H429" s="1983" t="s">
        <v>40</v>
      </c>
      <c r="I429" s="1985"/>
      <c r="J429" s="1986"/>
      <c r="K429" s="1986"/>
      <c r="L429" s="1986"/>
      <c r="M429" s="1986"/>
      <c r="N429" s="1987"/>
      <c r="O429" s="1988"/>
      <c r="P429" s="1989"/>
    </row>
    <row r="430" spans="2:16" s="2027" customFormat="1" x14ac:dyDescent="0.3">
      <c r="B430" s="2035" t="s">
        <v>368</v>
      </c>
      <c r="C430" s="2036" t="s">
        <v>42</v>
      </c>
      <c r="D430" s="2035"/>
      <c r="E430" s="2037"/>
      <c r="F430" s="2038"/>
      <c r="G430" s="2037"/>
      <c r="H430" s="2037"/>
    </row>
    <row r="431" spans="2:16" s="2027" customFormat="1" x14ac:dyDescent="0.3">
      <c r="B431" s="2035"/>
      <c r="C431" s="2027" t="s">
        <v>71</v>
      </c>
      <c r="D431" s="2039" t="s">
        <v>44</v>
      </c>
      <c r="E431" s="1556" t="s">
        <v>618</v>
      </c>
      <c r="F431" s="2057">
        <v>0.01</v>
      </c>
      <c r="G431" s="1995">
        <f>G411</f>
        <v>115000</v>
      </c>
      <c r="H431" s="2041">
        <f>F431*G431</f>
        <v>1150</v>
      </c>
    </row>
    <row r="432" spans="2:16" s="2027" customFormat="1" x14ac:dyDescent="0.3">
      <c r="B432" s="2035"/>
      <c r="C432" s="2027" t="s">
        <v>1076</v>
      </c>
      <c r="D432" s="2039" t="s">
        <v>47</v>
      </c>
      <c r="E432" s="1556" t="s">
        <v>618</v>
      </c>
      <c r="F432" s="2057">
        <v>0.4</v>
      </c>
      <c r="G432" s="1995">
        <f>G412</f>
        <v>170000</v>
      </c>
      <c r="H432" s="2041">
        <f>F432*G432</f>
        <v>68000</v>
      </c>
    </row>
    <row r="433" spans="2:16" s="2027" customFormat="1" x14ac:dyDescent="0.3">
      <c r="B433" s="2035"/>
      <c r="C433" s="2027" t="s">
        <v>605</v>
      </c>
      <c r="D433" s="2039" t="s">
        <v>49</v>
      </c>
      <c r="E433" s="1556" t="s">
        <v>618</v>
      </c>
      <c r="F433" s="2057">
        <v>0.04</v>
      </c>
      <c r="G433" s="1995">
        <f>G413</f>
        <v>185000</v>
      </c>
      <c r="H433" s="2041">
        <f>F433*G433</f>
        <v>7400</v>
      </c>
    </row>
    <row r="434" spans="2:16" s="2027" customFormat="1" x14ac:dyDescent="0.3">
      <c r="B434" s="2035"/>
      <c r="C434" s="2027" t="s">
        <v>50</v>
      </c>
      <c r="D434" s="2039" t="s">
        <v>51</v>
      </c>
      <c r="E434" s="1556" t="s">
        <v>618</v>
      </c>
      <c r="F434" s="2057">
        <v>5.0000000000000001E-3</v>
      </c>
      <c r="G434" s="1995">
        <f>G414</f>
        <v>200000</v>
      </c>
      <c r="H434" s="2041">
        <f>F434*G434</f>
        <v>1000</v>
      </c>
    </row>
    <row r="435" spans="2:16" s="2027" customFormat="1" x14ac:dyDescent="0.3">
      <c r="B435" s="2035"/>
      <c r="D435" s="2035"/>
      <c r="E435" s="1556"/>
      <c r="F435" s="2058"/>
      <c r="G435" s="2042" t="s">
        <v>52</v>
      </c>
      <c r="H435" s="2041">
        <f>SUM(H431:H434)</f>
        <v>77550</v>
      </c>
    </row>
    <row r="436" spans="2:16" s="2027" customFormat="1" x14ac:dyDescent="0.3">
      <c r="B436" s="2035" t="s">
        <v>394</v>
      </c>
      <c r="C436" s="2026" t="s">
        <v>872</v>
      </c>
      <c r="D436" s="2035"/>
      <c r="E436" s="1556"/>
      <c r="F436" s="2058"/>
      <c r="G436" s="2043"/>
      <c r="H436" s="2041"/>
    </row>
    <row r="437" spans="2:16" s="2027" customFormat="1" x14ac:dyDescent="0.3">
      <c r="B437" s="2035"/>
      <c r="C437" s="2027" t="s">
        <v>1143</v>
      </c>
      <c r="E437" s="1556" t="s">
        <v>32</v>
      </c>
      <c r="F437" s="2058">
        <v>1</v>
      </c>
      <c r="G437" s="2043">
        <f>'UB mep'!J51</f>
        <v>650000</v>
      </c>
      <c r="H437" s="2041">
        <f>+F437*G437</f>
        <v>650000</v>
      </c>
    </row>
    <row r="438" spans="2:16" s="2027" customFormat="1" x14ac:dyDescent="0.3">
      <c r="B438" s="2023"/>
      <c r="C438" s="2027" t="s">
        <v>1094</v>
      </c>
      <c r="E438" s="1556" t="s">
        <v>456</v>
      </c>
      <c r="F438" s="2058">
        <v>0.5</v>
      </c>
      <c r="G438" s="2043" t="e">
        <f>G418</f>
        <v>#REF!</v>
      </c>
      <c r="H438" s="2041" t="e">
        <f>+F438*G438</f>
        <v>#REF!</v>
      </c>
    </row>
    <row r="439" spans="2:16" s="2027" customFormat="1" x14ac:dyDescent="0.3">
      <c r="B439" s="2026"/>
      <c r="E439" s="1556"/>
      <c r="F439" s="2044"/>
      <c r="G439" s="2045" t="s">
        <v>59</v>
      </c>
      <c r="H439" s="2041" t="e">
        <f>SUM(H437:H438)</f>
        <v>#REF!</v>
      </c>
    </row>
    <row r="440" spans="2:16" s="2027" customFormat="1" x14ac:dyDescent="0.3">
      <c r="B440" s="2023" t="s">
        <v>411</v>
      </c>
      <c r="C440" s="2046" t="s">
        <v>60</v>
      </c>
      <c r="E440" s="1556"/>
      <c r="F440" s="2044"/>
      <c r="G440" s="2047"/>
      <c r="H440" s="2047"/>
    </row>
    <row r="441" spans="2:16" s="2027" customFormat="1" x14ac:dyDescent="0.3">
      <c r="B441" s="2026"/>
      <c r="E441" s="1556"/>
      <c r="F441" s="2044"/>
      <c r="G441" s="2045" t="s">
        <v>61</v>
      </c>
      <c r="H441" s="2041">
        <v>0</v>
      </c>
    </row>
    <row r="442" spans="2:16" s="2027" customFormat="1" x14ac:dyDescent="0.3">
      <c r="B442" s="1556" t="s">
        <v>6</v>
      </c>
      <c r="C442" s="2027" t="s">
        <v>875</v>
      </c>
      <c r="E442" s="2028"/>
      <c r="F442" s="1556"/>
      <c r="G442" s="1556"/>
      <c r="H442" s="2047" t="e">
        <f>+H441+H439+H435</f>
        <v>#REF!</v>
      </c>
    </row>
    <row r="443" spans="2:16" s="2027" customFormat="1" x14ac:dyDescent="0.3">
      <c r="B443" s="1974" t="s">
        <v>7</v>
      </c>
      <c r="C443" s="1555" t="s">
        <v>100</v>
      </c>
      <c r="D443" s="1553"/>
      <c r="E443" s="1980"/>
      <c r="F443" s="1976"/>
      <c r="G443" s="2004">
        <v>0</v>
      </c>
      <c r="H443" s="1981" t="e">
        <f>H442*J427</f>
        <v>#REF!</v>
      </c>
    </row>
    <row r="444" spans="2:16" s="2027" customFormat="1" x14ac:dyDescent="0.3">
      <c r="B444" s="1976" t="s">
        <v>63</v>
      </c>
      <c r="C444" s="1553" t="s">
        <v>877</v>
      </c>
      <c r="D444" s="1553"/>
      <c r="E444" s="1980"/>
      <c r="F444" s="1976"/>
      <c r="G444" s="1976"/>
      <c r="H444" s="1981" t="e">
        <f>+H442+H443</f>
        <v>#REF!</v>
      </c>
    </row>
    <row r="445" spans="2:16" s="2027" customFormat="1" x14ac:dyDescent="0.3">
      <c r="B445" s="1553"/>
      <c r="C445" s="1554" t="s">
        <v>878</v>
      </c>
      <c r="D445" s="1555"/>
      <c r="E445" s="1555"/>
      <c r="F445" s="1555"/>
      <c r="G445" s="1555"/>
      <c r="H445" s="2005" t="e">
        <f>ROUNDDOWN(H444,2)</f>
        <v>#REF!</v>
      </c>
    </row>
    <row r="446" spans="2:16" x14ac:dyDescent="0.3">
      <c r="C446" s="2052"/>
      <c r="D446" s="2053"/>
      <c r="E446" s="2053"/>
      <c r="F446" s="2053"/>
      <c r="G446" s="2053"/>
      <c r="H446" s="2054"/>
    </row>
    <row r="447" spans="2:16" x14ac:dyDescent="0.3">
      <c r="B447" s="2026" t="s">
        <v>1144</v>
      </c>
      <c r="C447" s="2026" t="s">
        <v>1145</v>
      </c>
      <c r="D447" s="2027"/>
      <c r="E447" s="2028"/>
      <c r="F447" s="1556"/>
      <c r="G447" s="1556"/>
      <c r="H447" s="2029"/>
    </row>
    <row r="448" spans="2:16" s="1976" customFormat="1" ht="15.95" customHeight="1" x14ac:dyDescent="0.3">
      <c r="B448" s="1982" t="s">
        <v>12</v>
      </c>
      <c r="C448" s="1982" t="s">
        <v>36</v>
      </c>
      <c r="D448" s="1982" t="s">
        <v>37</v>
      </c>
      <c r="E448" s="1983" t="s">
        <v>184</v>
      </c>
      <c r="F448" s="1984" t="s">
        <v>868</v>
      </c>
      <c r="G448" s="1983" t="s">
        <v>1063</v>
      </c>
      <c r="H448" s="1983" t="s">
        <v>40</v>
      </c>
      <c r="I448" s="1985"/>
      <c r="J448" s="1986"/>
      <c r="K448" s="1986"/>
      <c r="L448" s="1986"/>
      <c r="M448" s="1986"/>
      <c r="N448" s="1987"/>
      <c r="O448" s="1988"/>
      <c r="P448" s="1989"/>
    </row>
    <row r="449" spans="2:8" x14ac:dyDescent="0.3">
      <c r="B449" s="2035" t="s">
        <v>368</v>
      </c>
      <c r="C449" s="2036" t="s">
        <v>42</v>
      </c>
      <c r="D449" s="2035"/>
      <c r="E449" s="2037"/>
      <c r="F449" s="2038"/>
      <c r="G449" s="2037"/>
      <c r="H449" s="2037"/>
    </row>
    <row r="450" spans="2:8" x14ac:dyDescent="0.3">
      <c r="B450" s="2035"/>
      <c r="C450" s="2027" t="s">
        <v>71</v>
      </c>
      <c r="D450" s="2039" t="s">
        <v>44</v>
      </c>
      <c r="E450" s="1556" t="s">
        <v>618</v>
      </c>
      <c r="F450" s="2057">
        <v>0.01</v>
      </c>
      <c r="G450" s="1995">
        <f>G431</f>
        <v>115000</v>
      </c>
      <c r="H450" s="2041">
        <f>F450*G450</f>
        <v>1150</v>
      </c>
    </row>
    <row r="451" spans="2:8" x14ac:dyDescent="0.3">
      <c r="B451" s="2035"/>
      <c r="C451" s="2027" t="s">
        <v>1076</v>
      </c>
      <c r="D451" s="2039" t="s">
        <v>47</v>
      </c>
      <c r="E451" s="1556" t="s">
        <v>618</v>
      </c>
      <c r="F451" s="2057">
        <v>0.4</v>
      </c>
      <c r="G451" s="1995">
        <f>G432</f>
        <v>170000</v>
      </c>
      <c r="H451" s="2041">
        <f>F451*G451</f>
        <v>68000</v>
      </c>
    </row>
    <row r="452" spans="2:8" x14ac:dyDescent="0.3">
      <c r="B452" s="2035"/>
      <c r="C452" s="2027" t="s">
        <v>605</v>
      </c>
      <c r="D452" s="2039" t="s">
        <v>49</v>
      </c>
      <c r="E452" s="1556" t="s">
        <v>618</v>
      </c>
      <c r="F452" s="2057">
        <v>0.04</v>
      </c>
      <c r="G452" s="1995">
        <f>G433</f>
        <v>185000</v>
      </c>
      <c r="H452" s="2041">
        <f>F452*G452</f>
        <v>7400</v>
      </c>
    </row>
    <row r="453" spans="2:8" x14ac:dyDescent="0.3">
      <c r="B453" s="2035"/>
      <c r="C453" s="2027" t="s">
        <v>50</v>
      </c>
      <c r="D453" s="2039" t="s">
        <v>51</v>
      </c>
      <c r="E453" s="1556" t="s">
        <v>618</v>
      </c>
      <c r="F453" s="2057">
        <v>5.0000000000000001E-3</v>
      </c>
      <c r="G453" s="1995">
        <f>G434</f>
        <v>200000</v>
      </c>
      <c r="H453" s="2041">
        <f>F453*G453</f>
        <v>1000</v>
      </c>
    </row>
    <row r="454" spans="2:8" x14ac:dyDescent="0.3">
      <c r="B454" s="2035"/>
      <c r="C454" s="2027"/>
      <c r="D454" s="2035"/>
      <c r="E454" s="1556"/>
      <c r="F454" s="2058"/>
      <c r="G454" s="2042" t="s">
        <v>52</v>
      </c>
      <c r="H454" s="2041">
        <f>SUM(H450:H453)</f>
        <v>77550</v>
      </c>
    </row>
    <row r="455" spans="2:8" x14ac:dyDescent="0.3">
      <c r="B455" s="2035" t="s">
        <v>394</v>
      </c>
      <c r="C455" s="2026" t="s">
        <v>872</v>
      </c>
      <c r="D455" s="2035"/>
      <c r="E455" s="1556"/>
      <c r="F455" s="2058"/>
      <c r="G455" s="2043"/>
      <c r="H455" s="2041"/>
    </row>
    <row r="456" spans="2:8" x14ac:dyDescent="0.3">
      <c r="B456" s="2035"/>
      <c r="C456" s="2027" t="s">
        <v>1146</v>
      </c>
      <c r="D456" s="2027"/>
      <c r="E456" s="1556" t="s">
        <v>32</v>
      </c>
      <c r="F456" s="2058">
        <v>1</v>
      </c>
      <c r="G456" s="2043">
        <f>'UB mep'!J52</f>
        <v>450000</v>
      </c>
      <c r="H456" s="2041">
        <f>+F456*G456</f>
        <v>450000</v>
      </c>
    </row>
    <row r="457" spans="2:8" x14ac:dyDescent="0.3">
      <c r="B457" s="2023"/>
      <c r="C457" s="2027" t="s">
        <v>1094</v>
      </c>
      <c r="D457" s="2027"/>
      <c r="E457" s="1556" t="s">
        <v>456</v>
      </c>
      <c r="F457" s="2058">
        <v>0.5</v>
      </c>
      <c r="G457" s="2043" t="e">
        <f>G438</f>
        <v>#REF!</v>
      </c>
      <c r="H457" s="2041" t="e">
        <f>+F457*G457</f>
        <v>#REF!</v>
      </c>
    </row>
    <row r="458" spans="2:8" x14ac:dyDescent="0.3">
      <c r="B458" s="2026"/>
      <c r="C458" s="2027"/>
      <c r="D458" s="2027"/>
      <c r="E458" s="1556"/>
      <c r="F458" s="2044"/>
      <c r="G458" s="2045" t="s">
        <v>59</v>
      </c>
      <c r="H458" s="2041" t="e">
        <f>SUM(H456:H457)</f>
        <v>#REF!</v>
      </c>
    </row>
    <row r="459" spans="2:8" x14ac:dyDescent="0.3">
      <c r="B459" s="2023" t="s">
        <v>411</v>
      </c>
      <c r="C459" s="2046" t="s">
        <v>60</v>
      </c>
      <c r="D459" s="2027"/>
      <c r="E459" s="1556"/>
      <c r="F459" s="2044"/>
      <c r="G459" s="2047"/>
      <c r="H459" s="2047"/>
    </row>
    <row r="460" spans="2:8" x14ac:dyDescent="0.3">
      <c r="B460" s="2026"/>
      <c r="C460" s="2027"/>
      <c r="D460" s="2027"/>
      <c r="E460" s="1556"/>
      <c r="F460" s="2044"/>
      <c r="G460" s="2045" t="s">
        <v>61</v>
      </c>
      <c r="H460" s="2041">
        <v>0</v>
      </c>
    </row>
    <row r="461" spans="2:8" x14ac:dyDescent="0.3">
      <c r="B461" s="1556" t="s">
        <v>6</v>
      </c>
      <c r="C461" s="2027" t="s">
        <v>875</v>
      </c>
      <c r="D461" s="2027"/>
      <c r="E461" s="2028"/>
      <c r="F461" s="1556"/>
      <c r="G461" s="1556"/>
      <c r="H461" s="2047" t="e">
        <f>+H460+H458+H454</f>
        <v>#REF!</v>
      </c>
    </row>
    <row r="462" spans="2:8" x14ac:dyDescent="0.3">
      <c r="B462" s="1974" t="s">
        <v>7</v>
      </c>
      <c r="C462" s="1555" t="s">
        <v>100</v>
      </c>
      <c r="D462" s="1553"/>
      <c r="E462" s="1980"/>
      <c r="F462" s="1976"/>
      <c r="G462" s="2004">
        <v>0</v>
      </c>
      <c r="H462" s="1981" t="e">
        <f>H461*J447</f>
        <v>#REF!</v>
      </c>
    </row>
    <row r="463" spans="2:8" x14ac:dyDescent="0.3">
      <c r="B463" s="1976" t="s">
        <v>63</v>
      </c>
      <c r="C463" s="1553" t="s">
        <v>877</v>
      </c>
      <c r="D463" s="1553"/>
      <c r="E463" s="1980"/>
      <c r="F463" s="1976"/>
      <c r="G463" s="1976"/>
      <c r="H463" s="1981" t="e">
        <f>+H461+H462</f>
        <v>#REF!</v>
      </c>
    </row>
    <row r="464" spans="2:8" x14ac:dyDescent="0.3">
      <c r="B464" s="1553"/>
      <c r="C464" s="1554" t="s">
        <v>878</v>
      </c>
      <c r="D464" s="1555"/>
      <c r="E464" s="1555"/>
      <c r="F464" s="1555"/>
      <c r="G464" s="1555"/>
      <c r="H464" s="2005" t="e">
        <f>ROUNDDOWN(H463,2)</f>
        <v>#REF!</v>
      </c>
    </row>
    <row r="465" spans="2:16" x14ac:dyDescent="0.3">
      <c r="C465" s="2052"/>
      <c r="D465" s="2053"/>
      <c r="E465" s="2053"/>
      <c r="F465" s="2053"/>
      <c r="G465" s="2053"/>
      <c r="H465" s="2054"/>
    </row>
    <row r="466" spans="2:16" ht="17.25" thickBot="1" x14ac:dyDescent="0.35">
      <c r="B466" s="2061" t="s">
        <v>1147</v>
      </c>
      <c r="C466" s="2062"/>
      <c r="D466" s="2062"/>
      <c r="E466" s="2062"/>
      <c r="F466" s="2062"/>
      <c r="G466" s="2062"/>
      <c r="H466" s="2062"/>
    </row>
    <row r="467" spans="2:16" s="2027" customFormat="1" ht="17.25" thickTop="1" x14ac:dyDescent="0.3">
      <c r="B467" s="2026" t="s">
        <v>1074</v>
      </c>
      <c r="C467" s="2026" t="s">
        <v>1148</v>
      </c>
      <c r="E467" s="2028"/>
      <c r="F467" s="1556"/>
      <c r="G467" s="1556"/>
      <c r="H467" s="2029"/>
    </row>
    <row r="468" spans="2:16" s="1976" customFormat="1" ht="15.95" customHeight="1" x14ac:dyDescent="0.3">
      <c r="B468" s="1982" t="s">
        <v>12</v>
      </c>
      <c r="C468" s="1982" t="s">
        <v>36</v>
      </c>
      <c r="D468" s="1982" t="s">
        <v>37</v>
      </c>
      <c r="E468" s="1983" t="s">
        <v>184</v>
      </c>
      <c r="F468" s="1984" t="s">
        <v>868</v>
      </c>
      <c r="G468" s="1983" t="s">
        <v>1063</v>
      </c>
      <c r="H468" s="1983" t="s">
        <v>40</v>
      </c>
      <c r="I468" s="1985"/>
      <c r="J468" s="1986"/>
      <c r="K468" s="1986"/>
      <c r="L468" s="1986"/>
      <c r="M468" s="1986"/>
      <c r="N468" s="1987"/>
      <c r="O468" s="1988"/>
      <c r="P468" s="1989"/>
    </row>
    <row r="469" spans="2:16" s="2027" customFormat="1" x14ac:dyDescent="0.3">
      <c r="B469" s="2035" t="s">
        <v>368</v>
      </c>
      <c r="C469" s="2036" t="s">
        <v>42</v>
      </c>
      <c r="D469" s="2035"/>
      <c r="E469" s="2037"/>
      <c r="F469" s="2038"/>
      <c r="G469" s="2037"/>
      <c r="H469" s="2037"/>
    </row>
    <row r="470" spans="2:16" s="2027" customFormat="1" x14ac:dyDescent="0.3">
      <c r="B470" s="2035"/>
      <c r="C470" s="2027" t="s">
        <v>71</v>
      </c>
      <c r="D470" s="2039" t="s">
        <v>44</v>
      </c>
      <c r="E470" s="1556" t="s">
        <v>618</v>
      </c>
      <c r="F470" s="2057">
        <v>0.08</v>
      </c>
      <c r="G470" s="1995">
        <f>G450</f>
        <v>115000</v>
      </c>
      <c r="H470" s="2041">
        <f>F470*G470</f>
        <v>9200</v>
      </c>
    </row>
    <row r="471" spans="2:16" s="2027" customFormat="1" x14ac:dyDescent="0.3">
      <c r="B471" s="2035"/>
      <c r="C471" s="2027" t="s">
        <v>1076</v>
      </c>
      <c r="D471" s="2039" t="s">
        <v>47</v>
      </c>
      <c r="E471" s="1556" t="s">
        <v>618</v>
      </c>
      <c r="F471" s="2057">
        <v>0.08</v>
      </c>
      <c r="G471" s="1995">
        <f>G451</f>
        <v>170000</v>
      </c>
      <c r="H471" s="2041">
        <f>F471*G471</f>
        <v>13600</v>
      </c>
    </row>
    <row r="472" spans="2:16" s="2027" customFormat="1" x14ac:dyDescent="0.3">
      <c r="B472" s="2035"/>
      <c r="C472" s="2027" t="s">
        <v>605</v>
      </c>
      <c r="D472" s="2039" t="s">
        <v>49</v>
      </c>
      <c r="E472" s="1556" t="s">
        <v>618</v>
      </c>
      <c r="F472" s="2057">
        <v>7.0000000000000001E-3</v>
      </c>
      <c r="G472" s="1995">
        <f>G452</f>
        <v>185000</v>
      </c>
      <c r="H472" s="2041">
        <f>F472*G472</f>
        <v>1295</v>
      </c>
    </row>
    <row r="473" spans="2:16" s="2027" customFormat="1" x14ac:dyDescent="0.3">
      <c r="B473" s="2035"/>
      <c r="C473" s="2027" t="s">
        <v>50</v>
      </c>
      <c r="D473" s="2039" t="s">
        <v>51</v>
      </c>
      <c r="E473" s="1556" t="s">
        <v>618</v>
      </c>
      <c r="F473" s="2057">
        <v>5.0000000000000001E-3</v>
      </c>
      <c r="G473" s="1995">
        <f>G453</f>
        <v>200000</v>
      </c>
      <c r="H473" s="2041">
        <f>F473*G473</f>
        <v>1000</v>
      </c>
    </row>
    <row r="474" spans="2:16" s="2027" customFormat="1" x14ac:dyDescent="0.3">
      <c r="B474" s="2035"/>
      <c r="D474" s="2035"/>
      <c r="E474" s="1556"/>
      <c r="F474" s="2058"/>
      <c r="G474" s="2042" t="s">
        <v>52</v>
      </c>
      <c r="H474" s="2041">
        <f>SUM(H470:H473)</f>
        <v>25095</v>
      </c>
    </row>
    <row r="475" spans="2:16" s="2027" customFormat="1" x14ac:dyDescent="0.3">
      <c r="B475" s="2035" t="s">
        <v>394</v>
      </c>
      <c r="C475" s="2026" t="s">
        <v>872</v>
      </c>
      <c r="D475" s="2035"/>
      <c r="E475" s="1556"/>
      <c r="F475" s="2058"/>
      <c r="G475" s="2043"/>
      <c r="H475" s="2041"/>
    </row>
    <row r="476" spans="2:16" s="2027" customFormat="1" x14ac:dyDescent="0.3">
      <c r="B476" s="2035"/>
      <c r="C476" s="2027" t="s">
        <v>1149</v>
      </c>
      <c r="E476" s="1556" t="s">
        <v>27</v>
      </c>
      <c r="F476" s="2058">
        <v>1.2</v>
      </c>
      <c r="G476" s="2043">
        <f>'UB mep'!J13</f>
        <v>13500</v>
      </c>
      <c r="H476" s="2041">
        <f>+F476*G476</f>
        <v>16200</v>
      </c>
    </row>
    <row r="477" spans="2:16" s="2027" customFormat="1" x14ac:dyDescent="0.3">
      <c r="B477" s="2023"/>
      <c r="C477" s="2027" t="s">
        <v>90</v>
      </c>
      <c r="E477" s="1556" t="s">
        <v>1</v>
      </c>
      <c r="F477" s="1557">
        <v>0.4</v>
      </c>
      <c r="G477" s="2043">
        <f>G476</f>
        <v>13500</v>
      </c>
      <c r="H477" s="2041">
        <f>+F477*G477</f>
        <v>5400</v>
      </c>
      <c r="I477" s="2027" t="s">
        <v>289</v>
      </c>
    </row>
    <row r="478" spans="2:16" s="2027" customFormat="1" x14ac:dyDescent="0.3">
      <c r="B478" s="2026"/>
      <c r="E478" s="1556"/>
      <c r="F478" s="2044"/>
      <c r="G478" s="2045" t="s">
        <v>59</v>
      </c>
      <c r="H478" s="2041">
        <f>SUM(H476:H477)</f>
        <v>21600</v>
      </c>
    </row>
    <row r="479" spans="2:16" s="2027" customFormat="1" x14ac:dyDescent="0.3">
      <c r="B479" s="2023" t="s">
        <v>411</v>
      </c>
      <c r="C479" s="2046" t="s">
        <v>60</v>
      </c>
      <c r="E479" s="1556"/>
      <c r="F479" s="2044"/>
      <c r="G479" s="2047"/>
      <c r="H479" s="2047"/>
    </row>
    <row r="480" spans="2:16" s="2027" customFormat="1" x14ac:dyDescent="0.3">
      <c r="B480" s="2026"/>
      <c r="E480" s="1556"/>
      <c r="F480" s="2044"/>
      <c r="G480" s="2045" t="s">
        <v>61</v>
      </c>
      <c r="H480" s="2041">
        <v>0</v>
      </c>
    </row>
    <row r="481" spans="2:16" s="2027" customFormat="1" x14ac:dyDescent="0.3">
      <c r="B481" s="1556" t="s">
        <v>6</v>
      </c>
      <c r="C481" s="2027" t="s">
        <v>875</v>
      </c>
      <c r="E481" s="2028"/>
      <c r="F481" s="1556"/>
      <c r="G481" s="1556"/>
      <c r="H481" s="2047">
        <f>+H480+H478+H474</f>
        <v>46695</v>
      </c>
    </row>
    <row r="482" spans="2:16" s="2027" customFormat="1" x14ac:dyDescent="0.3">
      <c r="B482" s="1974" t="s">
        <v>7</v>
      </c>
      <c r="C482" s="1555" t="s">
        <v>100</v>
      </c>
      <c r="D482" s="1553"/>
      <c r="E482" s="1980"/>
      <c r="F482" s="1976"/>
      <c r="G482" s="2004">
        <v>0</v>
      </c>
      <c r="H482" s="1981">
        <f>H481*J467</f>
        <v>0</v>
      </c>
    </row>
    <row r="483" spans="2:16" s="2027" customFormat="1" x14ac:dyDescent="0.3">
      <c r="B483" s="1976" t="s">
        <v>63</v>
      </c>
      <c r="C483" s="1553" t="s">
        <v>877</v>
      </c>
      <c r="D483" s="1553"/>
      <c r="E483" s="1980"/>
      <c r="F483" s="1976"/>
      <c r="G483" s="1976"/>
      <c r="H483" s="1981">
        <f>+H481+H482</f>
        <v>46695</v>
      </c>
    </row>
    <row r="484" spans="2:16" s="2027" customFormat="1" x14ac:dyDescent="0.3">
      <c r="B484" s="1553"/>
      <c r="C484" s="1554" t="s">
        <v>878</v>
      </c>
      <c r="D484" s="1555"/>
      <c r="E484" s="1555"/>
      <c r="F484" s="1555"/>
      <c r="G484" s="1555"/>
      <c r="H484" s="2005">
        <f>ROUNDDOWN(H483,2)</f>
        <v>46695</v>
      </c>
    </row>
    <row r="485" spans="2:16" x14ac:dyDescent="0.3">
      <c r="B485" s="2048"/>
      <c r="C485" s="2048"/>
      <c r="D485" s="2048"/>
      <c r="E485" s="2048"/>
      <c r="F485" s="2048"/>
      <c r="G485" s="2048"/>
      <c r="H485" s="2048"/>
    </row>
    <row r="486" spans="2:16" x14ac:dyDescent="0.3">
      <c r="B486" s="2026" t="s">
        <v>1078</v>
      </c>
      <c r="C486" s="2026" t="s">
        <v>1221</v>
      </c>
      <c r="D486" s="2021"/>
      <c r="E486" s="2049"/>
      <c r="G486" s="2050"/>
      <c r="H486" s="2051"/>
    </row>
    <row r="487" spans="2:16" s="1976" customFormat="1" ht="15.95" customHeight="1" x14ac:dyDescent="0.3">
      <c r="B487" s="1982" t="s">
        <v>12</v>
      </c>
      <c r="C487" s="1982" t="s">
        <v>36</v>
      </c>
      <c r="D487" s="1982" t="s">
        <v>37</v>
      </c>
      <c r="E487" s="1983" t="s">
        <v>184</v>
      </c>
      <c r="F487" s="1984" t="s">
        <v>868</v>
      </c>
      <c r="G487" s="1983" t="s">
        <v>1063</v>
      </c>
      <c r="H487" s="1983" t="s">
        <v>40</v>
      </c>
      <c r="I487" s="1985"/>
      <c r="J487" s="1986"/>
      <c r="K487" s="1986"/>
      <c r="L487" s="1986"/>
      <c r="M487" s="1986"/>
      <c r="N487" s="1987"/>
      <c r="O487" s="1988"/>
      <c r="P487" s="1989"/>
    </row>
    <row r="488" spans="2:16" s="2027" customFormat="1" x14ac:dyDescent="0.3">
      <c r="B488" s="2035" t="s">
        <v>368</v>
      </c>
      <c r="C488" s="2036" t="s">
        <v>42</v>
      </c>
      <c r="D488" s="2035"/>
      <c r="E488" s="2037"/>
      <c r="F488" s="2038"/>
      <c r="G488" s="2037"/>
      <c r="H488" s="2037"/>
    </row>
    <row r="489" spans="2:16" s="2027" customFormat="1" x14ac:dyDescent="0.3">
      <c r="B489" s="2035"/>
      <c r="C489" s="2027" t="s">
        <v>71</v>
      </c>
      <c r="D489" s="2039" t="s">
        <v>44</v>
      </c>
      <c r="E489" s="1556" t="s">
        <v>618</v>
      </c>
      <c r="F489" s="2057">
        <v>0.08</v>
      </c>
      <c r="G489" s="1995">
        <f>G470</f>
        <v>115000</v>
      </c>
      <c r="H489" s="2041">
        <f>F489*G489</f>
        <v>9200</v>
      </c>
    </row>
    <row r="490" spans="2:16" s="2027" customFormat="1" x14ac:dyDescent="0.3">
      <c r="B490" s="2035"/>
      <c r="C490" s="2027" t="s">
        <v>1076</v>
      </c>
      <c r="D490" s="2039" t="s">
        <v>47</v>
      </c>
      <c r="E490" s="1556" t="s">
        <v>618</v>
      </c>
      <c r="F490" s="2057">
        <v>0.08</v>
      </c>
      <c r="G490" s="1995">
        <f>G471</f>
        <v>170000</v>
      </c>
      <c r="H490" s="2041">
        <f>F490*G490</f>
        <v>13600</v>
      </c>
    </row>
    <row r="491" spans="2:16" s="2027" customFormat="1" x14ac:dyDescent="0.3">
      <c r="B491" s="2035"/>
      <c r="C491" s="2027" t="s">
        <v>605</v>
      </c>
      <c r="D491" s="2039" t="s">
        <v>49</v>
      </c>
      <c r="E491" s="1556" t="s">
        <v>618</v>
      </c>
      <c r="F491" s="2057">
        <v>7.0000000000000001E-3</v>
      </c>
      <c r="G491" s="1995">
        <f>G472</f>
        <v>185000</v>
      </c>
      <c r="H491" s="2041">
        <f>F491*G491</f>
        <v>1295</v>
      </c>
    </row>
    <row r="492" spans="2:16" s="2027" customFormat="1" x14ac:dyDescent="0.3">
      <c r="B492" s="2035"/>
      <c r="C492" s="2027" t="s">
        <v>50</v>
      </c>
      <c r="D492" s="2039" t="s">
        <v>51</v>
      </c>
      <c r="E492" s="1556" t="s">
        <v>618</v>
      </c>
      <c r="F492" s="2057">
        <v>5.0000000000000001E-3</v>
      </c>
      <c r="G492" s="1995">
        <f>G473</f>
        <v>200000</v>
      </c>
      <c r="H492" s="2041">
        <f>F492*G492</f>
        <v>1000</v>
      </c>
    </row>
    <row r="493" spans="2:16" s="2027" customFormat="1" x14ac:dyDescent="0.3">
      <c r="B493" s="2035"/>
      <c r="D493" s="2035"/>
      <c r="E493" s="1556"/>
      <c r="F493" s="2058"/>
      <c r="G493" s="2042" t="s">
        <v>52</v>
      </c>
      <c r="H493" s="2041">
        <f>SUM(H489:H492)</f>
        <v>25095</v>
      </c>
    </row>
    <row r="494" spans="2:16" s="2027" customFormat="1" x14ac:dyDescent="0.3">
      <c r="B494" s="2035" t="s">
        <v>394</v>
      </c>
      <c r="C494" s="2026" t="s">
        <v>872</v>
      </c>
      <c r="D494" s="2035"/>
      <c r="E494" s="1556"/>
      <c r="F494" s="2058"/>
      <c r="G494" s="2043"/>
      <c r="H494" s="2041"/>
    </row>
    <row r="495" spans="2:16" s="2027" customFormat="1" x14ac:dyDescent="0.3">
      <c r="B495" s="2035"/>
      <c r="C495" s="2027" t="s">
        <v>1150</v>
      </c>
      <c r="E495" s="1556" t="s">
        <v>27</v>
      </c>
      <c r="F495" s="2058">
        <v>1.2</v>
      </c>
      <c r="G495" s="2043">
        <f>'UB mep'!J14</f>
        <v>17000</v>
      </c>
      <c r="H495" s="2041">
        <f>+F495*G495</f>
        <v>20400</v>
      </c>
    </row>
    <row r="496" spans="2:16" s="2027" customFormat="1" x14ac:dyDescent="0.3">
      <c r="B496" s="2023"/>
      <c r="C496" s="2027" t="s">
        <v>90</v>
      </c>
      <c r="E496" s="1556" t="s">
        <v>1</v>
      </c>
      <c r="F496" s="1557">
        <v>0.4</v>
      </c>
      <c r="G496" s="2043">
        <f>G495</f>
        <v>17000</v>
      </c>
      <c r="H496" s="2041">
        <f>+F496*G496</f>
        <v>6800</v>
      </c>
    </row>
    <row r="497" spans="2:16" s="2027" customFormat="1" x14ac:dyDescent="0.3">
      <c r="B497" s="2026"/>
      <c r="E497" s="1556"/>
      <c r="F497" s="2044"/>
      <c r="G497" s="2045" t="s">
        <v>59</v>
      </c>
      <c r="H497" s="2041">
        <f>SUM(H495:H496)</f>
        <v>27200</v>
      </c>
    </row>
    <row r="498" spans="2:16" s="2027" customFormat="1" x14ac:dyDescent="0.3">
      <c r="B498" s="2023" t="s">
        <v>411</v>
      </c>
      <c r="C498" s="2046" t="s">
        <v>60</v>
      </c>
      <c r="E498" s="1556"/>
      <c r="F498" s="2044"/>
      <c r="G498" s="2047"/>
      <c r="H498" s="2047"/>
    </row>
    <row r="499" spans="2:16" s="2027" customFormat="1" x14ac:dyDescent="0.3">
      <c r="B499" s="2026"/>
      <c r="E499" s="1556"/>
      <c r="F499" s="2044"/>
      <c r="G499" s="2045" t="s">
        <v>61</v>
      </c>
      <c r="H499" s="2041">
        <v>0</v>
      </c>
    </row>
    <row r="500" spans="2:16" s="2027" customFormat="1" x14ac:dyDescent="0.3">
      <c r="B500" s="1556" t="s">
        <v>6</v>
      </c>
      <c r="C500" s="2027" t="s">
        <v>875</v>
      </c>
      <c r="E500" s="2028"/>
      <c r="F500" s="1556"/>
      <c r="G500" s="1556"/>
      <c r="H500" s="2047">
        <f>+H499+H497+H493</f>
        <v>52295</v>
      </c>
    </row>
    <row r="501" spans="2:16" s="2027" customFormat="1" x14ac:dyDescent="0.3">
      <c r="B501" s="1974" t="s">
        <v>7</v>
      </c>
      <c r="C501" s="1555" t="s">
        <v>100</v>
      </c>
      <c r="D501" s="1553"/>
      <c r="E501" s="1980"/>
      <c r="F501" s="1976"/>
      <c r="G501" s="2004">
        <v>0</v>
      </c>
      <c r="H501" s="1981">
        <f>H500*J486</f>
        <v>0</v>
      </c>
    </row>
    <row r="502" spans="2:16" s="2027" customFormat="1" x14ac:dyDescent="0.3">
      <c r="B502" s="1976" t="s">
        <v>63</v>
      </c>
      <c r="C502" s="1553" t="s">
        <v>877</v>
      </c>
      <c r="D502" s="1553"/>
      <c r="E502" s="1980"/>
      <c r="F502" s="1976"/>
      <c r="G502" s="1976"/>
      <c r="H502" s="1981">
        <f>+H500+H501</f>
        <v>52295</v>
      </c>
    </row>
    <row r="503" spans="2:16" s="2027" customFormat="1" x14ac:dyDescent="0.3">
      <c r="B503" s="1553"/>
      <c r="C503" s="1554" t="s">
        <v>878</v>
      </c>
      <c r="D503" s="1555"/>
      <c r="E503" s="1555"/>
      <c r="F503" s="1555"/>
      <c r="G503" s="1555"/>
      <c r="H503" s="2005">
        <f>ROUNDDOWN(H502,2)</f>
        <v>52295</v>
      </c>
    </row>
    <row r="504" spans="2:16" x14ac:dyDescent="0.3">
      <c r="C504" s="2052"/>
      <c r="D504" s="2053"/>
      <c r="E504" s="2053"/>
      <c r="F504" s="2053"/>
      <c r="G504" s="2053"/>
      <c r="H504" s="2054"/>
    </row>
    <row r="505" spans="2:16" s="2027" customFormat="1" x14ac:dyDescent="0.3">
      <c r="B505" s="2026" t="s">
        <v>1082</v>
      </c>
      <c r="C505" s="2026" t="s">
        <v>1151</v>
      </c>
      <c r="E505" s="2028"/>
      <c r="F505" s="1556"/>
      <c r="G505" s="1556"/>
      <c r="H505" s="2029"/>
    </row>
    <row r="506" spans="2:16" s="1976" customFormat="1" ht="15.95" customHeight="1" x14ac:dyDescent="0.3">
      <c r="B506" s="1982" t="s">
        <v>12</v>
      </c>
      <c r="C506" s="1982" t="s">
        <v>36</v>
      </c>
      <c r="D506" s="1982" t="s">
        <v>37</v>
      </c>
      <c r="E506" s="1983" t="s">
        <v>184</v>
      </c>
      <c r="F506" s="1984" t="s">
        <v>868</v>
      </c>
      <c r="G506" s="1983" t="s">
        <v>1063</v>
      </c>
      <c r="H506" s="1983" t="s">
        <v>40</v>
      </c>
      <c r="I506" s="1985"/>
      <c r="J506" s="1986"/>
      <c r="K506" s="1986"/>
      <c r="L506" s="1986"/>
      <c r="M506" s="1986"/>
      <c r="N506" s="1987"/>
      <c r="O506" s="1988"/>
      <c r="P506" s="1989"/>
    </row>
    <row r="507" spans="2:16" s="2027" customFormat="1" x14ac:dyDescent="0.3">
      <c r="B507" s="2035" t="s">
        <v>368</v>
      </c>
      <c r="C507" s="2036" t="s">
        <v>42</v>
      </c>
      <c r="D507" s="2035"/>
      <c r="E507" s="2037"/>
      <c r="F507" s="2038"/>
      <c r="G507" s="2037"/>
      <c r="H507" s="2037"/>
    </row>
    <row r="508" spans="2:16" s="2027" customFormat="1" x14ac:dyDescent="0.3">
      <c r="B508" s="2035"/>
      <c r="C508" s="2027" t="s">
        <v>71</v>
      </c>
      <c r="D508" s="2039" t="s">
        <v>44</v>
      </c>
      <c r="E508" s="1556" t="s">
        <v>618</v>
      </c>
      <c r="F508" s="2057">
        <v>0.08</v>
      </c>
      <c r="G508" s="1995">
        <f>G489</f>
        <v>115000</v>
      </c>
      <c r="H508" s="2041">
        <f>F508*G508</f>
        <v>9200</v>
      </c>
    </row>
    <row r="509" spans="2:16" s="2027" customFormat="1" x14ac:dyDescent="0.3">
      <c r="B509" s="2035"/>
      <c r="C509" s="2027" t="s">
        <v>1076</v>
      </c>
      <c r="D509" s="2039" t="s">
        <v>47</v>
      </c>
      <c r="E509" s="1556" t="s">
        <v>618</v>
      </c>
      <c r="F509" s="2057">
        <v>0.08</v>
      </c>
      <c r="G509" s="1995">
        <f>G490</f>
        <v>170000</v>
      </c>
      <c r="H509" s="2041">
        <f>F509*G509</f>
        <v>13600</v>
      </c>
    </row>
    <row r="510" spans="2:16" s="2027" customFormat="1" x14ac:dyDescent="0.3">
      <c r="B510" s="2035"/>
      <c r="C510" s="2027" t="s">
        <v>605</v>
      </c>
      <c r="D510" s="2039" t="s">
        <v>49</v>
      </c>
      <c r="E510" s="1556" t="s">
        <v>618</v>
      </c>
      <c r="F510" s="2057">
        <v>7.0000000000000001E-3</v>
      </c>
      <c r="G510" s="1995">
        <f>G491</f>
        <v>185000</v>
      </c>
      <c r="H510" s="2041">
        <f>F510*G510</f>
        <v>1295</v>
      </c>
    </row>
    <row r="511" spans="2:16" s="2027" customFormat="1" x14ac:dyDescent="0.3">
      <c r="B511" s="2035"/>
      <c r="C511" s="2027" t="s">
        <v>50</v>
      </c>
      <c r="D511" s="2039" t="s">
        <v>51</v>
      </c>
      <c r="E511" s="1556" t="s">
        <v>618</v>
      </c>
      <c r="F511" s="2057">
        <v>5.0000000000000001E-3</v>
      </c>
      <c r="G511" s="1995">
        <f>G492</f>
        <v>200000</v>
      </c>
      <c r="H511" s="2041">
        <f>F511*G511</f>
        <v>1000</v>
      </c>
    </row>
    <row r="512" spans="2:16" s="2027" customFormat="1" x14ac:dyDescent="0.3">
      <c r="B512" s="2035"/>
      <c r="D512" s="2035"/>
      <c r="E512" s="1556"/>
      <c r="F512" s="2058"/>
      <c r="G512" s="2042" t="s">
        <v>52</v>
      </c>
      <c r="H512" s="2041">
        <f>SUM(H508:H511)</f>
        <v>25095</v>
      </c>
    </row>
    <row r="513" spans="2:16" s="2027" customFormat="1" x14ac:dyDescent="0.3">
      <c r="B513" s="2035" t="s">
        <v>394</v>
      </c>
      <c r="C513" s="2026" t="s">
        <v>872</v>
      </c>
      <c r="D513" s="2035"/>
      <c r="E513" s="1556"/>
      <c r="F513" s="2058"/>
      <c r="G513" s="2043"/>
      <c r="H513" s="2041"/>
    </row>
    <row r="514" spans="2:16" s="2027" customFormat="1" x14ac:dyDescent="0.3">
      <c r="B514" s="2035"/>
      <c r="C514" s="2027" t="s">
        <v>1152</v>
      </c>
      <c r="E514" s="1556" t="s">
        <v>27</v>
      </c>
      <c r="F514" s="2058">
        <v>1.2</v>
      </c>
      <c r="G514" s="2043">
        <f>'UB mep'!J15</f>
        <v>26500</v>
      </c>
      <c r="H514" s="2041">
        <f>+F514*G514</f>
        <v>31800</v>
      </c>
    </row>
    <row r="515" spans="2:16" s="2027" customFormat="1" x14ac:dyDescent="0.3">
      <c r="B515" s="2023"/>
      <c r="C515" s="2027" t="s">
        <v>90</v>
      </c>
      <c r="E515" s="1556" t="s">
        <v>1</v>
      </c>
      <c r="F515" s="1557">
        <v>0.4</v>
      </c>
      <c r="G515" s="2043">
        <f>G514</f>
        <v>26500</v>
      </c>
      <c r="H515" s="2041">
        <f>+F515*G515</f>
        <v>10600</v>
      </c>
    </row>
    <row r="516" spans="2:16" s="2027" customFormat="1" x14ac:dyDescent="0.3">
      <c r="B516" s="2026"/>
      <c r="E516" s="1556"/>
      <c r="F516" s="2044"/>
      <c r="G516" s="2045" t="s">
        <v>59</v>
      </c>
      <c r="H516" s="2041">
        <f>SUM(H514:H515)</f>
        <v>42400</v>
      </c>
    </row>
    <row r="517" spans="2:16" s="2027" customFormat="1" x14ac:dyDescent="0.3">
      <c r="B517" s="2023" t="s">
        <v>411</v>
      </c>
      <c r="C517" s="2046" t="s">
        <v>60</v>
      </c>
      <c r="E517" s="1556"/>
      <c r="F517" s="2044"/>
      <c r="G517" s="2047"/>
      <c r="H517" s="2047"/>
    </row>
    <row r="518" spans="2:16" s="2027" customFormat="1" x14ac:dyDescent="0.3">
      <c r="B518" s="2026"/>
      <c r="E518" s="1556"/>
      <c r="F518" s="2044"/>
      <c r="G518" s="2045" t="s">
        <v>61</v>
      </c>
      <c r="H518" s="2041">
        <v>0</v>
      </c>
    </row>
    <row r="519" spans="2:16" s="2027" customFormat="1" x14ac:dyDescent="0.3">
      <c r="B519" s="1556" t="s">
        <v>6</v>
      </c>
      <c r="C519" s="2027" t="s">
        <v>875</v>
      </c>
      <c r="E519" s="2028"/>
      <c r="F519" s="1556"/>
      <c r="G519" s="1556"/>
      <c r="H519" s="2047">
        <f>+H518+H516+H512</f>
        <v>67495</v>
      </c>
    </row>
    <row r="520" spans="2:16" s="2027" customFormat="1" x14ac:dyDescent="0.3">
      <c r="B520" s="1974" t="s">
        <v>7</v>
      </c>
      <c r="C520" s="1555" t="s">
        <v>100</v>
      </c>
      <c r="D520" s="1553"/>
      <c r="E520" s="1980"/>
      <c r="F520" s="1976"/>
      <c r="G520" s="2004">
        <v>0</v>
      </c>
      <c r="H520" s="1981">
        <f>H519*J505</f>
        <v>0</v>
      </c>
    </row>
    <row r="521" spans="2:16" s="2027" customFormat="1" x14ac:dyDescent="0.3">
      <c r="B521" s="1976" t="s">
        <v>63</v>
      </c>
      <c r="C521" s="1553" t="s">
        <v>877</v>
      </c>
      <c r="D521" s="1553"/>
      <c r="E521" s="1980"/>
      <c r="F521" s="1976"/>
      <c r="G521" s="1976"/>
      <c r="H521" s="1981">
        <f>+H519+H520</f>
        <v>67495</v>
      </c>
    </row>
    <row r="522" spans="2:16" s="2027" customFormat="1" x14ac:dyDescent="0.3">
      <c r="B522" s="1553"/>
      <c r="C522" s="1554" t="s">
        <v>878</v>
      </c>
      <c r="D522" s="1555"/>
      <c r="E522" s="1555"/>
      <c r="F522" s="1555"/>
      <c r="G522" s="1555"/>
      <c r="H522" s="2005">
        <f>ROUNDDOWN(H521,2)</f>
        <v>67495</v>
      </c>
    </row>
    <row r="523" spans="2:16" x14ac:dyDescent="0.3">
      <c r="C523" s="2052"/>
      <c r="D523" s="2053"/>
      <c r="E523" s="2053"/>
      <c r="F523" s="2053"/>
      <c r="G523" s="2053"/>
      <c r="H523" s="2054"/>
    </row>
    <row r="524" spans="2:16" x14ac:dyDescent="0.3">
      <c r="B524" s="2026" t="s">
        <v>1085</v>
      </c>
      <c r="C524" s="2026" t="s">
        <v>1153</v>
      </c>
      <c r="D524" s="2021"/>
      <c r="E524" s="2049"/>
      <c r="G524" s="2050"/>
      <c r="H524" s="2051"/>
    </row>
    <row r="525" spans="2:16" s="1976" customFormat="1" ht="15.95" customHeight="1" x14ac:dyDescent="0.3">
      <c r="B525" s="1982" t="s">
        <v>12</v>
      </c>
      <c r="C525" s="1982" t="s">
        <v>36</v>
      </c>
      <c r="D525" s="1982" t="s">
        <v>37</v>
      </c>
      <c r="E525" s="1983" t="s">
        <v>184</v>
      </c>
      <c r="F525" s="1984" t="s">
        <v>868</v>
      </c>
      <c r="G525" s="1983" t="s">
        <v>1063</v>
      </c>
      <c r="H525" s="1983" t="s">
        <v>40</v>
      </c>
      <c r="I525" s="1985"/>
      <c r="J525" s="1986"/>
      <c r="K525" s="1986"/>
      <c r="L525" s="1986"/>
      <c r="M525" s="1986"/>
      <c r="N525" s="1987"/>
      <c r="O525" s="1988"/>
      <c r="P525" s="1989"/>
    </row>
    <row r="526" spans="2:16" s="2027" customFormat="1" x14ac:dyDescent="0.3">
      <c r="B526" s="2035" t="s">
        <v>368</v>
      </c>
      <c r="C526" s="2036" t="s">
        <v>42</v>
      </c>
      <c r="D526" s="2035"/>
      <c r="E526" s="2037"/>
      <c r="F526" s="2038"/>
      <c r="G526" s="2037"/>
      <c r="H526" s="2037"/>
    </row>
    <row r="527" spans="2:16" s="2027" customFormat="1" x14ac:dyDescent="0.3">
      <c r="B527" s="2035"/>
      <c r="C527" s="2027" t="s">
        <v>71</v>
      </c>
      <c r="D527" s="2039" t="s">
        <v>44</v>
      </c>
      <c r="E527" s="1556" t="s">
        <v>618</v>
      </c>
      <c r="F527" s="2057">
        <v>0.08</v>
      </c>
      <c r="G527" s="1995">
        <f>G508</f>
        <v>115000</v>
      </c>
      <c r="H527" s="2041">
        <f>F527*G527</f>
        <v>9200</v>
      </c>
    </row>
    <row r="528" spans="2:16" s="2027" customFormat="1" x14ac:dyDescent="0.3">
      <c r="B528" s="2035"/>
      <c r="C528" s="2027" t="s">
        <v>1076</v>
      </c>
      <c r="D528" s="2039" t="s">
        <v>47</v>
      </c>
      <c r="E528" s="1556" t="s">
        <v>618</v>
      </c>
      <c r="F528" s="2057">
        <v>0.08</v>
      </c>
      <c r="G528" s="1995">
        <f>G509</f>
        <v>170000</v>
      </c>
      <c r="H528" s="2041">
        <f>F528*G528</f>
        <v>13600</v>
      </c>
    </row>
    <row r="529" spans="2:16" s="2027" customFormat="1" x14ac:dyDescent="0.3">
      <c r="B529" s="2035"/>
      <c r="C529" s="2027" t="s">
        <v>605</v>
      </c>
      <c r="D529" s="2039" t="s">
        <v>49</v>
      </c>
      <c r="E529" s="1556" t="s">
        <v>618</v>
      </c>
      <c r="F529" s="2057">
        <v>7.0000000000000001E-3</v>
      </c>
      <c r="G529" s="1995">
        <f>G510</f>
        <v>185000</v>
      </c>
      <c r="H529" s="2041">
        <f>F529*G529</f>
        <v>1295</v>
      </c>
    </row>
    <row r="530" spans="2:16" s="2027" customFormat="1" x14ac:dyDescent="0.3">
      <c r="B530" s="2035"/>
      <c r="C530" s="2027" t="s">
        <v>50</v>
      </c>
      <c r="D530" s="2039" t="s">
        <v>51</v>
      </c>
      <c r="E530" s="1556" t="s">
        <v>618</v>
      </c>
      <c r="F530" s="2057">
        <v>5.0000000000000001E-3</v>
      </c>
      <c r="G530" s="1995">
        <f>G511</f>
        <v>200000</v>
      </c>
      <c r="H530" s="2041">
        <f>F530*G530</f>
        <v>1000</v>
      </c>
    </row>
    <row r="531" spans="2:16" s="2027" customFormat="1" x14ac:dyDescent="0.3">
      <c r="B531" s="2035"/>
      <c r="D531" s="2035"/>
      <c r="E531" s="1556"/>
      <c r="F531" s="2058"/>
      <c r="G531" s="2042" t="s">
        <v>52</v>
      </c>
      <c r="H531" s="2041">
        <f>SUM(H527:H530)</f>
        <v>25095</v>
      </c>
    </row>
    <row r="532" spans="2:16" s="2027" customFormat="1" x14ac:dyDescent="0.3">
      <c r="B532" s="2035" t="s">
        <v>394</v>
      </c>
      <c r="C532" s="2026" t="s">
        <v>872</v>
      </c>
      <c r="D532" s="2035"/>
      <c r="E532" s="1556"/>
      <c r="F532" s="2058"/>
      <c r="G532" s="2043"/>
      <c r="H532" s="2041"/>
    </row>
    <row r="533" spans="2:16" s="2027" customFormat="1" x14ac:dyDescent="0.3">
      <c r="B533" s="2035"/>
      <c r="C533" s="2027" t="s">
        <v>1154</v>
      </c>
      <c r="E533" s="1556" t="s">
        <v>27</v>
      </c>
      <c r="F533" s="2058">
        <v>1.2</v>
      </c>
      <c r="G533" s="2043">
        <f>'UB mep'!J16</f>
        <v>42000</v>
      </c>
      <c r="H533" s="2041">
        <f>+F533*G533</f>
        <v>50400</v>
      </c>
    </row>
    <row r="534" spans="2:16" s="2027" customFormat="1" x14ac:dyDescent="0.3">
      <c r="B534" s="2023"/>
      <c r="C534" s="2027" t="s">
        <v>90</v>
      </c>
      <c r="E534" s="1556" t="s">
        <v>1</v>
      </c>
      <c r="F534" s="1557">
        <v>0.4</v>
      </c>
      <c r="G534" s="2043">
        <f>G533</f>
        <v>42000</v>
      </c>
      <c r="H534" s="2041">
        <f>+F534*G534</f>
        <v>16800</v>
      </c>
    </row>
    <row r="535" spans="2:16" s="2027" customFormat="1" x14ac:dyDescent="0.3">
      <c r="B535" s="2026"/>
      <c r="E535" s="1556"/>
      <c r="F535" s="2044"/>
      <c r="G535" s="2045" t="s">
        <v>59</v>
      </c>
      <c r="H535" s="2041">
        <f>SUM(H533:H534)</f>
        <v>67200</v>
      </c>
    </row>
    <row r="536" spans="2:16" s="2027" customFormat="1" x14ac:dyDescent="0.3">
      <c r="B536" s="2023" t="s">
        <v>411</v>
      </c>
      <c r="C536" s="2046" t="s">
        <v>60</v>
      </c>
      <c r="E536" s="1556"/>
      <c r="F536" s="2044"/>
      <c r="G536" s="2047"/>
      <c r="H536" s="2047"/>
    </row>
    <row r="537" spans="2:16" s="2027" customFormat="1" x14ac:dyDescent="0.3">
      <c r="B537" s="2026"/>
      <c r="E537" s="1556"/>
      <c r="F537" s="2044"/>
      <c r="G537" s="2045" t="s">
        <v>61</v>
      </c>
      <c r="H537" s="2041">
        <v>0</v>
      </c>
    </row>
    <row r="538" spans="2:16" s="2027" customFormat="1" x14ac:dyDescent="0.3">
      <c r="B538" s="1556" t="s">
        <v>6</v>
      </c>
      <c r="C538" s="2027" t="s">
        <v>875</v>
      </c>
      <c r="E538" s="2028"/>
      <c r="F538" s="1556"/>
      <c r="G538" s="1556"/>
      <c r="H538" s="2047">
        <f>+H537+H535+H531</f>
        <v>92295</v>
      </c>
    </row>
    <row r="539" spans="2:16" s="2027" customFormat="1" x14ac:dyDescent="0.3">
      <c r="B539" s="1974" t="s">
        <v>7</v>
      </c>
      <c r="C539" s="1555" t="s">
        <v>100</v>
      </c>
      <c r="D539" s="1553"/>
      <c r="E539" s="1980"/>
      <c r="F539" s="1976"/>
      <c r="G539" s="2004">
        <v>0</v>
      </c>
      <c r="H539" s="1981">
        <f>H538*J524</f>
        <v>0</v>
      </c>
    </row>
    <row r="540" spans="2:16" s="2027" customFormat="1" x14ac:dyDescent="0.3">
      <c r="B540" s="1976" t="s">
        <v>63</v>
      </c>
      <c r="C540" s="1553" t="s">
        <v>877</v>
      </c>
      <c r="D540" s="1553"/>
      <c r="E540" s="1980"/>
      <c r="F540" s="1976"/>
      <c r="G540" s="1976"/>
      <c r="H540" s="1981">
        <f>+H538+H539</f>
        <v>92295</v>
      </c>
    </row>
    <row r="541" spans="2:16" s="2027" customFormat="1" x14ac:dyDescent="0.3">
      <c r="B541" s="1553"/>
      <c r="C541" s="1554" t="s">
        <v>878</v>
      </c>
      <c r="D541" s="1555"/>
      <c r="E541" s="1555"/>
      <c r="F541" s="1555"/>
      <c r="G541" s="1555"/>
      <c r="H541" s="2005">
        <f>ROUNDDOWN(H540,2)</f>
        <v>92295</v>
      </c>
    </row>
    <row r="542" spans="2:16" x14ac:dyDescent="0.3">
      <c r="C542" s="2052"/>
      <c r="D542" s="2053"/>
      <c r="E542" s="2053"/>
      <c r="F542" s="2053"/>
      <c r="G542" s="2053"/>
      <c r="H542" s="2054"/>
    </row>
    <row r="543" spans="2:16" x14ac:dyDescent="0.3">
      <c r="B543" s="2026" t="s">
        <v>1155</v>
      </c>
      <c r="C543" s="2026" t="s">
        <v>1156</v>
      </c>
      <c r="D543" s="2021"/>
      <c r="E543" s="2049"/>
      <c r="G543" s="2050"/>
      <c r="H543" s="2051"/>
    </row>
    <row r="544" spans="2:16" s="1976" customFormat="1" ht="15.95" customHeight="1" x14ac:dyDescent="0.3">
      <c r="B544" s="1982" t="s">
        <v>12</v>
      </c>
      <c r="C544" s="1982" t="s">
        <v>36</v>
      </c>
      <c r="D544" s="1982" t="s">
        <v>37</v>
      </c>
      <c r="E544" s="1983" t="s">
        <v>184</v>
      </c>
      <c r="F544" s="1984" t="s">
        <v>868</v>
      </c>
      <c r="G544" s="1983" t="s">
        <v>1063</v>
      </c>
      <c r="H544" s="1983" t="s">
        <v>40</v>
      </c>
      <c r="I544" s="1985"/>
      <c r="J544" s="1986"/>
      <c r="K544" s="1986"/>
      <c r="L544" s="1986"/>
      <c r="M544" s="1986"/>
      <c r="N544" s="1987"/>
      <c r="O544" s="1988"/>
      <c r="P544" s="1989"/>
    </row>
    <row r="545" spans="2:8" x14ac:dyDescent="0.3">
      <c r="B545" s="2035" t="s">
        <v>368</v>
      </c>
      <c r="C545" s="2036" t="s">
        <v>42</v>
      </c>
      <c r="D545" s="2035"/>
      <c r="E545" s="2037"/>
      <c r="F545" s="2038"/>
      <c r="G545" s="2037"/>
      <c r="H545" s="2037"/>
    </row>
    <row r="546" spans="2:8" x14ac:dyDescent="0.3">
      <c r="B546" s="2035"/>
      <c r="C546" s="2027" t="s">
        <v>71</v>
      </c>
      <c r="D546" s="2039" t="s">
        <v>44</v>
      </c>
      <c r="E546" s="1556" t="s">
        <v>618</v>
      </c>
      <c r="F546" s="2057">
        <v>0.09</v>
      </c>
      <c r="G546" s="1995">
        <f>G527</f>
        <v>115000</v>
      </c>
      <c r="H546" s="2041">
        <f>F546*G546</f>
        <v>10350</v>
      </c>
    </row>
    <row r="547" spans="2:8" x14ac:dyDescent="0.3">
      <c r="B547" s="2035"/>
      <c r="C547" s="2027" t="s">
        <v>1076</v>
      </c>
      <c r="D547" s="2039" t="s">
        <v>47</v>
      </c>
      <c r="E547" s="1556" t="s">
        <v>618</v>
      </c>
      <c r="F547" s="2057">
        <v>0.09</v>
      </c>
      <c r="G547" s="1995">
        <f>G528</f>
        <v>170000</v>
      </c>
      <c r="H547" s="2041">
        <f>F547*G547</f>
        <v>15300</v>
      </c>
    </row>
    <row r="548" spans="2:8" x14ac:dyDescent="0.3">
      <c r="B548" s="2035"/>
      <c r="C548" s="2027" t="s">
        <v>605</v>
      </c>
      <c r="D548" s="2039" t="s">
        <v>49</v>
      </c>
      <c r="E548" s="1556" t="s">
        <v>618</v>
      </c>
      <c r="F548" s="2057">
        <v>0.06</v>
      </c>
      <c r="G548" s="1995">
        <f>G529</f>
        <v>185000</v>
      </c>
      <c r="H548" s="2041">
        <f>F548*G548</f>
        <v>11100</v>
      </c>
    </row>
    <row r="549" spans="2:8" x14ac:dyDescent="0.3">
      <c r="B549" s="2035"/>
      <c r="C549" s="2027" t="s">
        <v>50</v>
      </c>
      <c r="D549" s="2039" t="s">
        <v>51</v>
      </c>
      <c r="E549" s="1556" t="s">
        <v>618</v>
      </c>
      <c r="F549" s="2057">
        <v>5.0000000000000001E-3</v>
      </c>
      <c r="G549" s="1995">
        <f>G530</f>
        <v>200000</v>
      </c>
      <c r="H549" s="2041">
        <f>F549*G549</f>
        <v>1000</v>
      </c>
    </row>
    <row r="550" spans="2:8" x14ac:dyDescent="0.3">
      <c r="B550" s="2035"/>
      <c r="C550" s="2027"/>
      <c r="D550" s="2035"/>
      <c r="E550" s="1556"/>
      <c r="F550" s="2058"/>
      <c r="G550" s="2042" t="s">
        <v>52</v>
      </c>
      <c r="H550" s="2041">
        <f>SUM(H546:H549)</f>
        <v>37750</v>
      </c>
    </row>
    <row r="551" spans="2:8" s="2027" customFormat="1" x14ac:dyDescent="0.3">
      <c r="B551" s="2035" t="s">
        <v>394</v>
      </c>
      <c r="C551" s="2026" t="s">
        <v>872</v>
      </c>
      <c r="D551" s="2035"/>
      <c r="E551" s="1556"/>
      <c r="F551" s="2058"/>
      <c r="G551" s="2043"/>
      <c r="H551" s="2041"/>
    </row>
    <row r="552" spans="2:8" s="2027" customFormat="1" x14ac:dyDescent="0.3">
      <c r="B552" s="2035"/>
      <c r="C552" s="2027" t="s">
        <v>1222</v>
      </c>
      <c r="E552" s="1556" t="s">
        <v>27</v>
      </c>
      <c r="F552" s="2058">
        <v>1.2</v>
      </c>
      <c r="G552" s="2043">
        <f>'UB mep'!J17</f>
        <v>64000</v>
      </c>
      <c r="H552" s="2041">
        <f>+F552*G552</f>
        <v>76800</v>
      </c>
    </row>
    <row r="553" spans="2:8" s="2027" customFormat="1" x14ac:dyDescent="0.3">
      <c r="B553" s="2023"/>
      <c r="C553" s="2027" t="s">
        <v>90</v>
      </c>
      <c r="E553" s="1556" t="s">
        <v>1</v>
      </c>
      <c r="F553" s="1557">
        <v>0.4</v>
      </c>
      <c r="G553" s="2043">
        <f>G552</f>
        <v>64000</v>
      </c>
      <c r="H553" s="2041">
        <f>+F553*G553</f>
        <v>25600</v>
      </c>
    </row>
    <row r="554" spans="2:8" s="2027" customFormat="1" x14ac:dyDescent="0.3">
      <c r="B554" s="2026"/>
      <c r="E554" s="1556"/>
      <c r="F554" s="2044"/>
      <c r="G554" s="2045" t="s">
        <v>59</v>
      </c>
      <c r="H554" s="2041">
        <f>SUM(H552:H553)</f>
        <v>102400</v>
      </c>
    </row>
    <row r="555" spans="2:8" s="2027" customFormat="1" x14ac:dyDescent="0.3">
      <c r="B555" s="2023" t="s">
        <v>411</v>
      </c>
      <c r="C555" s="2046" t="s">
        <v>60</v>
      </c>
      <c r="E555" s="1556"/>
      <c r="F555" s="2044"/>
      <c r="G555" s="2047"/>
      <c r="H555" s="2047"/>
    </row>
    <row r="556" spans="2:8" s="2027" customFormat="1" x14ac:dyDescent="0.3">
      <c r="B556" s="2026"/>
      <c r="E556" s="1556"/>
      <c r="F556" s="2044"/>
      <c r="G556" s="2045" t="s">
        <v>61</v>
      </c>
      <c r="H556" s="2041">
        <v>0</v>
      </c>
    </row>
    <row r="557" spans="2:8" s="2027" customFormat="1" x14ac:dyDescent="0.3">
      <c r="B557" s="1556" t="s">
        <v>6</v>
      </c>
      <c r="C557" s="2027" t="s">
        <v>875</v>
      </c>
      <c r="E557" s="2028"/>
      <c r="F557" s="1556"/>
      <c r="G557" s="1556"/>
      <c r="H557" s="2047">
        <f>+H556+H554+H550</f>
        <v>140150</v>
      </c>
    </row>
    <row r="558" spans="2:8" s="2027" customFormat="1" x14ac:dyDescent="0.3">
      <c r="B558" s="1974" t="s">
        <v>7</v>
      </c>
      <c r="C558" s="1555" t="s">
        <v>100</v>
      </c>
      <c r="D558" s="1553"/>
      <c r="E558" s="1980"/>
      <c r="F558" s="1976"/>
      <c r="G558" s="2004">
        <v>0</v>
      </c>
      <c r="H558" s="1981">
        <f>H557*J543</f>
        <v>0</v>
      </c>
    </row>
    <row r="559" spans="2:8" s="2027" customFormat="1" x14ac:dyDescent="0.3">
      <c r="B559" s="1976" t="s">
        <v>63</v>
      </c>
      <c r="C559" s="1553" t="s">
        <v>877</v>
      </c>
      <c r="D559" s="1553"/>
      <c r="E559" s="1980"/>
      <c r="F559" s="1976"/>
      <c r="G559" s="1976"/>
      <c r="H559" s="1981">
        <f>+H557+H558</f>
        <v>140150</v>
      </c>
    </row>
    <row r="560" spans="2:8" s="2027" customFormat="1" x14ac:dyDescent="0.3">
      <c r="B560" s="1553"/>
      <c r="C560" s="1554" t="s">
        <v>878</v>
      </c>
      <c r="D560" s="1555"/>
      <c r="E560" s="1555"/>
      <c r="F560" s="1555"/>
      <c r="G560" s="1555"/>
      <c r="H560" s="2005">
        <f>ROUNDDOWN(H559,2)</f>
        <v>140150</v>
      </c>
    </row>
    <row r="561" spans="2:16" x14ac:dyDescent="0.3">
      <c r="C561" s="2052"/>
      <c r="D561" s="2053"/>
      <c r="E561" s="2053"/>
      <c r="F561" s="2053"/>
      <c r="G561" s="2053"/>
      <c r="H561" s="2054"/>
    </row>
    <row r="562" spans="2:16" x14ac:dyDescent="0.3">
      <c r="B562" s="2027" t="s">
        <v>1158</v>
      </c>
      <c r="C562" s="2026" t="s">
        <v>1159</v>
      </c>
      <c r="D562" s="2027"/>
      <c r="E562" s="2028"/>
      <c r="F562" s="1556"/>
      <c r="G562" s="1556"/>
      <c r="H562" s="2029"/>
    </row>
    <row r="563" spans="2:16" s="1976" customFormat="1" ht="15.95" customHeight="1" x14ac:dyDescent="0.3">
      <c r="B563" s="1982" t="s">
        <v>12</v>
      </c>
      <c r="C563" s="1982" t="s">
        <v>36</v>
      </c>
      <c r="D563" s="1982" t="s">
        <v>37</v>
      </c>
      <c r="E563" s="1983" t="s">
        <v>184</v>
      </c>
      <c r="F563" s="1984" t="s">
        <v>868</v>
      </c>
      <c r="G563" s="1983" t="s">
        <v>1063</v>
      </c>
      <c r="H563" s="1983" t="s">
        <v>40</v>
      </c>
      <c r="I563" s="1985"/>
      <c r="J563" s="1986"/>
      <c r="K563" s="1986"/>
      <c r="L563" s="1986"/>
      <c r="M563" s="1986"/>
      <c r="N563" s="1987"/>
      <c r="O563" s="1988"/>
      <c r="P563" s="1989"/>
    </row>
    <row r="564" spans="2:16" x14ac:dyDescent="0.3">
      <c r="B564" s="2035" t="s">
        <v>368</v>
      </c>
      <c r="C564" s="2036" t="s">
        <v>42</v>
      </c>
      <c r="D564" s="2035"/>
      <c r="E564" s="2037"/>
      <c r="F564" s="2038"/>
      <c r="G564" s="2037"/>
      <c r="H564" s="2037"/>
    </row>
    <row r="565" spans="2:16" x14ac:dyDescent="0.3">
      <c r="B565" s="2035"/>
      <c r="C565" s="2027" t="s">
        <v>71</v>
      </c>
      <c r="D565" s="2039" t="s">
        <v>44</v>
      </c>
      <c r="E565" s="1556" t="s">
        <v>618</v>
      </c>
      <c r="F565" s="2057">
        <v>0.1</v>
      </c>
      <c r="G565" s="1995">
        <f>G546</f>
        <v>115000</v>
      </c>
      <c r="H565" s="2041">
        <f>F565*G565</f>
        <v>11500</v>
      </c>
    </row>
    <row r="566" spans="2:16" x14ac:dyDescent="0.3">
      <c r="B566" s="2035"/>
      <c r="C566" s="2027" t="s">
        <v>1076</v>
      </c>
      <c r="D566" s="2039" t="s">
        <v>47</v>
      </c>
      <c r="E566" s="1556" t="s">
        <v>618</v>
      </c>
      <c r="F566" s="2057">
        <v>0.1</v>
      </c>
      <c r="G566" s="1995">
        <f>G547</f>
        <v>170000</v>
      </c>
      <c r="H566" s="2041">
        <f>F566*G566</f>
        <v>17000</v>
      </c>
    </row>
    <row r="567" spans="2:16" x14ac:dyDescent="0.3">
      <c r="B567" s="2035"/>
      <c r="C567" s="2027" t="s">
        <v>605</v>
      </c>
      <c r="D567" s="2039" t="s">
        <v>49</v>
      </c>
      <c r="E567" s="1556" t="s">
        <v>618</v>
      </c>
      <c r="F567" s="2057">
        <v>0.06</v>
      </c>
      <c r="G567" s="1995">
        <f>G548</f>
        <v>185000</v>
      </c>
      <c r="H567" s="2041">
        <f>F567*G567</f>
        <v>11100</v>
      </c>
    </row>
    <row r="568" spans="2:16" x14ac:dyDescent="0.3">
      <c r="B568" s="2035"/>
      <c r="C568" s="2027" t="s">
        <v>50</v>
      </c>
      <c r="D568" s="2039" t="s">
        <v>51</v>
      </c>
      <c r="E568" s="1556" t="s">
        <v>618</v>
      </c>
      <c r="F568" s="2057">
        <v>0.05</v>
      </c>
      <c r="G568" s="1995">
        <f>G549</f>
        <v>200000</v>
      </c>
      <c r="H568" s="2041">
        <f>F568*G568</f>
        <v>10000</v>
      </c>
    </row>
    <row r="569" spans="2:16" x14ac:dyDescent="0.3">
      <c r="B569" s="2035"/>
      <c r="C569" s="2027"/>
      <c r="D569" s="2035"/>
      <c r="E569" s="1556"/>
      <c r="F569" s="2058"/>
      <c r="G569" s="2042" t="s">
        <v>52</v>
      </c>
      <c r="H569" s="2041">
        <f>SUM(H565:H568)</f>
        <v>49600</v>
      </c>
    </row>
    <row r="570" spans="2:16" x14ac:dyDescent="0.3">
      <c r="B570" s="2035" t="s">
        <v>394</v>
      </c>
      <c r="C570" s="2026" t="s">
        <v>872</v>
      </c>
      <c r="D570" s="2035"/>
      <c r="E570" s="1556"/>
      <c r="F570" s="2058"/>
      <c r="G570" s="2043"/>
      <c r="H570" s="2041"/>
    </row>
    <row r="571" spans="2:16" x14ac:dyDescent="0.3">
      <c r="B571" s="2035"/>
      <c r="C571" s="2027" t="s">
        <v>1157</v>
      </c>
      <c r="D571" s="2027"/>
      <c r="E571" s="1556" t="s">
        <v>27</v>
      </c>
      <c r="F571" s="2058">
        <v>1.2</v>
      </c>
      <c r="G571" s="2043">
        <f>'UB mep'!J18</f>
        <v>102000</v>
      </c>
      <c r="H571" s="2041">
        <f>+F571*G571</f>
        <v>122400</v>
      </c>
    </row>
    <row r="572" spans="2:16" x14ac:dyDescent="0.3">
      <c r="B572" s="2023"/>
      <c r="C572" s="2027" t="s">
        <v>90</v>
      </c>
      <c r="D572" s="2027"/>
      <c r="E572" s="1556" t="s">
        <v>1</v>
      </c>
      <c r="F572" s="1557">
        <v>0.4</v>
      </c>
      <c r="G572" s="2043">
        <f>G571</f>
        <v>102000</v>
      </c>
      <c r="H572" s="2041">
        <f>+F572*G572</f>
        <v>40800</v>
      </c>
    </row>
    <row r="573" spans="2:16" x14ac:dyDescent="0.3">
      <c r="B573" s="2026"/>
      <c r="C573" s="2027"/>
      <c r="D573" s="2027"/>
      <c r="E573" s="1556"/>
      <c r="F573" s="2044"/>
      <c r="G573" s="2045" t="s">
        <v>59</v>
      </c>
      <c r="H573" s="2041">
        <f>SUM(H571:H572)</f>
        <v>163200</v>
      </c>
    </row>
    <row r="574" spans="2:16" x14ac:dyDescent="0.3">
      <c r="B574" s="2023" t="s">
        <v>411</v>
      </c>
      <c r="C574" s="2046" t="s">
        <v>60</v>
      </c>
      <c r="D574" s="2027"/>
      <c r="E574" s="1556"/>
      <c r="F574" s="2044"/>
      <c r="G574" s="2047"/>
      <c r="H574" s="2047"/>
    </row>
    <row r="575" spans="2:16" x14ac:dyDescent="0.3">
      <c r="B575" s="2026"/>
      <c r="C575" s="2027"/>
      <c r="D575" s="2027"/>
      <c r="E575" s="1556"/>
      <c r="F575" s="2044"/>
      <c r="G575" s="2045" t="s">
        <v>61</v>
      </c>
      <c r="H575" s="2041">
        <v>0</v>
      </c>
    </row>
    <row r="576" spans="2:16" x14ac:dyDescent="0.3">
      <c r="B576" s="1556" t="s">
        <v>6</v>
      </c>
      <c r="C576" s="2027" t="s">
        <v>875</v>
      </c>
      <c r="D576" s="2027"/>
      <c r="E576" s="2028"/>
      <c r="F576" s="1556"/>
      <c r="G576" s="1556"/>
      <c r="H576" s="2047">
        <f>+H575+H573+H569</f>
        <v>212800</v>
      </c>
    </row>
    <row r="577" spans="2:16" x14ac:dyDescent="0.3">
      <c r="B577" s="1974" t="s">
        <v>7</v>
      </c>
      <c r="C577" s="1555" t="s">
        <v>100</v>
      </c>
      <c r="D577" s="1553"/>
      <c r="E577" s="1980"/>
      <c r="F577" s="1976"/>
      <c r="G577" s="2004">
        <v>0</v>
      </c>
      <c r="H577" s="1981">
        <f>H576*J562</f>
        <v>0</v>
      </c>
    </row>
    <row r="578" spans="2:16" x14ac:dyDescent="0.3">
      <c r="B578" s="1976" t="s">
        <v>63</v>
      </c>
      <c r="C578" s="1553" t="s">
        <v>877</v>
      </c>
      <c r="D578" s="1553"/>
      <c r="E578" s="1980"/>
      <c r="F578" s="1976"/>
      <c r="G578" s="1976"/>
      <c r="H578" s="1981">
        <f>+H576+H577</f>
        <v>212800</v>
      </c>
    </row>
    <row r="579" spans="2:16" x14ac:dyDescent="0.3">
      <c r="B579" s="1553"/>
      <c r="C579" s="1554" t="s">
        <v>878</v>
      </c>
      <c r="D579" s="1555"/>
      <c r="E579" s="1555"/>
      <c r="F579" s="1555"/>
      <c r="G579" s="1555"/>
      <c r="H579" s="2005">
        <f>ROUNDDOWN(H578,2)</f>
        <v>212800</v>
      </c>
    </row>
    <row r="580" spans="2:16" x14ac:dyDescent="0.3">
      <c r="C580" s="2052"/>
      <c r="D580" s="2053"/>
      <c r="E580" s="2053"/>
      <c r="F580" s="2053"/>
      <c r="G580" s="2053"/>
      <c r="H580" s="2054"/>
    </row>
    <row r="581" spans="2:16" s="2027" customFormat="1" x14ac:dyDescent="0.3">
      <c r="B581" s="2026" t="s">
        <v>1160</v>
      </c>
      <c r="C581" s="2026" t="s">
        <v>1161</v>
      </c>
      <c r="E581" s="2028"/>
      <c r="F581" s="1556"/>
      <c r="G581" s="1556"/>
      <c r="H581" s="2029"/>
    </row>
    <row r="582" spans="2:16" s="1976" customFormat="1" ht="15.95" customHeight="1" x14ac:dyDescent="0.3">
      <c r="B582" s="1982" t="s">
        <v>12</v>
      </c>
      <c r="C582" s="1982" t="s">
        <v>36</v>
      </c>
      <c r="D582" s="1982" t="s">
        <v>37</v>
      </c>
      <c r="E582" s="1983" t="s">
        <v>184</v>
      </c>
      <c r="F582" s="1984" t="s">
        <v>868</v>
      </c>
      <c r="G582" s="1983" t="s">
        <v>1063</v>
      </c>
      <c r="H582" s="1983" t="s">
        <v>40</v>
      </c>
      <c r="I582" s="1985"/>
      <c r="J582" s="1986"/>
      <c r="K582" s="1986"/>
      <c r="L582" s="1986"/>
      <c r="M582" s="1986"/>
      <c r="N582" s="1987"/>
      <c r="O582" s="1988"/>
      <c r="P582" s="1989"/>
    </row>
    <row r="583" spans="2:16" s="2027" customFormat="1" x14ac:dyDescent="0.3">
      <c r="B583" s="2035" t="s">
        <v>368</v>
      </c>
      <c r="C583" s="2036" t="s">
        <v>42</v>
      </c>
      <c r="D583" s="2035"/>
      <c r="E583" s="2037"/>
      <c r="F583" s="2038"/>
      <c r="G583" s="2037"/>
      <c r="H583" s="2037"/>
    </row>
    <row r="584" spans="2:16" s="2027" customFormat="1" x14ac:dyDescent="0.3">
      <c r="B584" s="2035"/>
      <c r="C584" s="2027" t="s">
        <v>71</v>
      </c>
      <c r="D584" s="2039" t="s">
        <v>44</v>
      </c>
      <c r="E584" s="1556" t="s">
        <v>618</v>
      </c>
      <c r="F584" s="2057">
        <v>0.15</v>
      </c>
      <c r="G584" s="1995">
        <f>G565</f>
        <v>115000</v>
      </c>
      <c r="H584" s="2041">
        <f>F584*G584</f>
        <v>17250</v>
      </c>
    </row>
    <row r="585" spans="2:16" s="2027" customFormat="1" x14ac:dyDescent="0.3">
      <c r="B585" s="2035"/>
      <c r="C585" s="2027" t="s">
        <v>1076</v>
      </c>
      <c r="D585" s="2039" t="s">
        <v>47</v>
      </c>
      <c r="E585" s="1556" t="s">
        <v>618</v>
      </c>
      <c r="F585" s="2057">
        <v>0.15</v>
      </c>
      <c r="G585" s="1995">
        <f>G566</f>
        <v>170000</v>
      </c>
      <c r="H585" s="2041">
        <f>F585*G585</f>
        <v>25500</v>
      </c>
    </row>
    <row r="586" spans="2:16" s="2027" customFormat="1" x14ac:dyDescent="0.3">
      <c r="B586" s="2035"/>
      <c r="C586" s="2027" t="s">
        <v>605</v>
      </c>
      <c r="D586" s="2039" t="s">
        <v>49</v>
      </c>
      <c r="E586" s="1556" t="s">
        <v>618</v>
      </c>
      <c r="F586" s="2057">
        <v>0.05</v>
      </c>
      <c r="G586" s="1995">
        <f>G567</f>
        <v>185000</v>
      </c>
      <c r="H586" s="2041">
        <f>F586*G586</f>
        <v>9250</v>
      </c>
    </row>
    <row r="587" spans="2:16" s="2027" customFormat="1" x14ac:dyDescent="0.3">
      <c r="B587" s="2035"/>
      <c r="C587" s="2027" t="s">
        <v>50</v>
      </c>
      <c r="D587" s="2039" t="s">
        <v>51</v>
      </c>
      <c r="E587" s="1556" t="s">
        <v>618</v>
      </c>
      <c r="F587" s="2057">
        <v>4.4999999999999998E-2</v>
      </c>
      <c r="G587" s="1995">
        <f>G568</f>
        <v>200000</v>
      </c>
      <c r="H587" s="2041">
        <f>F587*G587</f>
        <v>9000</v>
      </c>
    </row>
    <row r="588" spans="2:16" s="2027" customFormat="1" x14ac:dyDescent="0.3">
      <c r="B588" s="2035"/>
      <c r="D588" s="2035"/>
      <c r="E588" s="1556"/>
      <c r="F588" s="2058"/>
      <c r="G588" s="2042" t="s">
        <v>52</v>
      </c>
      <c r="H588" s="2041">
        <f>SUM(H584:H587)</f>
        <v>61000</v>
      </c>
    </row>
    <row r="589" spans="2:16" s="2027" customFormat="1" x14ac:dyDescent="0.3">
      <c r="B589" s="2035" t="s">
        <v>394</v>
      </c>
      <c r="C589" s="2026" t="s">
        <v>872</v>
      </c>
      <c r="D589" s="2035"/>
      <c r="E589" s="1556"/>
      <c r="F589" s="2058"/>
      <c r="G589" s="2043"/>
      <c r="H589" s="2041"/>
    </row>
    <row r="590" spans="2:16" s="2027" customFormat="1" x14ac:dyDescent="0.3">
      <c r="B590" s="2035"/>
      <c r="C590" s="2027" t="s">
        <v>1162</v>
      </c>
      <c r="E590" s="1556" t="s">
        <v>27</v>
      </c>
      <c r="F590" s="2058">
        <v>1.2</v>
      </c>
      <c r="G590" s="2043">
        <f>'UB mep'!J19</f>
        <v>171000</v>
      </c>
      <c r="H590" s="2041">
        <f>+F590*G590</f>
        <v>205200</v>
      </c>
    </row>
    <row r="591" spans="2:16" s="2027" customFormat="1" x14ac:dyDescent="0.3">
      <c r="B591" s="2023"/>
      <c r="C591" s="2027" t="s">
        <v>90</v>
      </c>
      <c r="E591" s="1556" t="s">
        <v>1</v>
      </c>
      <c r="F591" s="1557">
        <v>0.4</v>
      </c>
      <c r="G591" s="2043">
        <f>G590</f>
        <v>171000</v>
      </c>
      <c r="H591" s="2041">
        <f>+F591*G591</f>
        <v>68400</v>
      </c>
    </row>
    <row r="592" spans="2:16" s="2027" customFormat="1" x14ac:dyDescent="0.3">
      <c r="B592" s="2026"/>
      <c r="E592" s="1556"/>
      <c r="F592" s="2044"/>
      <c r="G592" s="2045" t="s">
        <v>59</v>
      </c>
      <c r="H592" s="2041">
        <f>SUM(H590:H591)</f>
        <v>273600</v>
      </c>
    </row>
    <row r="593" spans="2:16" s="2027" customFormat="1" x14ac:dyDescent="0.3">
      <c r="B593" s="2023" t="s">
        <v>411</v>
      </c>
      <c r="C593" s="2046" t="s">
        <v>60</v>
      </c>
      <c r="E593" s="1556"/>
      <c r="F593" s="2044"/>
      <c r="G593" s="2047"/>
      <c r="H593" s="2047"/>
    </row>
    <row r="594" spans="2:16" s="2027" customFormat="1" x14ac:dyDescent="0.3">
      <c r="B594" s="2026"/>
      <c r="E594" s="1556"/>
      <c r="F594" s="2044"/>
      <c r="G594" s="2045" t="s">
        <v>61</v>
      </c>
      <c r="H594" s="2041">
        <v>0</v>
      </c>
    </row>
    <row r="595" spans="2:16" s="2027" customFormat="1" x14ac:dyDescent="0.3">
      <c r="B595" s="1556" t="s">
        <v>6</v>
      </c>
      <c r="C595" s="2027" t="s">
        <v>875</v>
      </c>
      <c r="E595" s="2028"/>
      <c r="F595" s="1556"/>
      <c r="G595" s="1556"/>
      <c r="H595" s="2047">
        <f>+H594+H592+H588</f>
        <v>334600</v>
      </c>
    </row>
    <row r="596" spans="2:16" s="2027" customFormat="1" x14ac:dyDescent="0.3">
      <c r="B596" s="1974" t="s">
        <v>7</v>
      </c>
      <c r="C596" s="1555" t="s">
        <v>100</v>
      </c>
      <c r="D596" s="1553"/>
      <c r="E596" s="1980"/>
      <c r="F596" s="1976"/>
      <c r="G596" s="2004">
        <v>0</v>
      </c>
      <c r="H596" s="1981">
        <f>H595*J581</f>
        <v>0</v>
      </c>
    </row>
    <row r="597" spans="2:16" s="2027" customFormat="1" x14ac:dyDescent="0.3">
      <c r="B597" s="1976" t="s">
        <v>63</v>
      </c>
      <c r="C597" s="1553" t="s">
        <v>877</v>
      </c>
      <c r="D597" s="1553"/>
      <c r="E597" s="1980"/>
      <c r="F597" s="1976"/>
      <c r="G597" s="1976"/>
      <c r="H597" s="1981">
        <f>+H595+H596</f>
        <v>334600</v>
      </c>
    </row>
    <row r="598" spans="2:16" s="2027" customFormat="1" x14ac:dyDescent="0.3">
      <c r="B598" s="1553"/>
      <c r="C598" s="1554" t="s">
        <v>878</v>
      </c>
      <c r="D598" s="1555"/>
      <c r="E598" s="1555"/>
      <c r="F598" s="1555"/>
      <c r="G598" s="1555"/>
      <c r="H598" s="2005">
        <f>ROUNDDOWN(H597,2)</f>
        <v>334600</v>
      </c>
    </row>
    <row r="599" spans="2:16" s="2027" customFormat="1" x14ac:dyDescent="0.3">
      <c r="C599" s="2046"/>
      <c r="D599" s="2026"/>
      <c r="E599" s="2026"/>
      <c r="F599" s="2026"/>
      <c r="G599" s="2026"/>
      <c r="H599" s="2060"/>
    </row>
    <row r="600" spans="2:16" x14ac:dyDescent="0.3">
      <c r="B600" s="2026" t="s">
        <v>1163</v>
      </c>
      <c r="C600" s="2026" t="s">
        <v>1164</v>
      </c>
      <c r="D600" s="2027"/>
      <c r="E600" s="2028"/>
      <c r="F600" s="1556"/>
      <c r="G600" s="1556"/>
      <c r="H600" s="2029"/>
    </row>
    <row r="601" spans="2:16" s="1976" customFormat="1" ht="15.95" customHeight="1" x14ac:dyDescent="0.3">
      <c r="B601" s="1982" t="s">
        <v>12</v>
      </c>
      <c r="C601" s="1982" t="s">
        <v>36</v>
      </c>
      <c r="D601" s="1982" t="s">
        <v>37</v>
      </c>
      <c r="E601" s="1983" t="s">
        <v>184</v>
      </c>
      <c r="F601" s="1984" t="s">
        <v>868</v>
      </c>
      <c r="G601" s="1983" t="s">
        <v>1063</v>
      </c>
      <c r="H601" s="1983" t="s">
        <v>40</v>
      </c>
      <c r="I601" s="1985"/>
      <c r="J601" s="1986"/>
      <c r="K601" s="1986"/>
      <c r="L601" s="1986"/>
      <c r="M601" s="1986"/>
      <c r="N601" s="1987"/>
      <c r="O601" s="1988"/>
      <c r="P601" s="1989"/>
    </row>
    <row r="602" spans="2:16" x14ac:dyDescent="0.3">
      <c r="B602" s="2035" t="s">
        <v>368</v>
      </c>
      <c r="C602" s="2036" t="s">
        <v>42</v>
      </c>
      <c r="D602" s="2035"/>
      <c r="E602" s="2037"/>
      <c r="F602" s="2038"/>
      <c r="G602" s="2037"/>
      <c r="H602" s="2037"/>
    </row>
    <row r="603" spans="2:16" x14ac:dyDescent="0.3">
      <c r="B603" s="2035"/>
      <c r="C603" s="2027" t="s">
        <v>71</v>
      </c>
      <c r="D603" s="2039" t="s">
        <v>44</v>
      </c>
      <c r="E603" s="1556" t="s">
        <v>618</v>
      </c>
      <c r="F603" s="2057">
        <v>0.24</v>
      </c>
      <c r="G603" s="1995">
        <f>G584</f>
        <v>115000</v>
      </c>
      <c r="H603" s="2041">
        <f>F603*G603</f>
        <v>27600</v>
      </c>
    </row>
    <row r="604" spans="2:16" x14ac:dyDescent="0.3">
      <c r="B604" s="2035"/>
      <c r="C604" s="2027" t="s">
        <v>1076</v>
      </c>
      <c r="D604" s="2039" t="s">
        <v>47</v>
      </c>
      <c r="E604" s="1556" t="s">
        <v>618</v>
      </c>
      <c r="F604" s="2057">
        <v>0.2</v>
      </c>
      <c r="G604" s="1995">
        <f>G585</f>
        <v>170000</v>
      </c>
      <c r="H604" s="2041">
        <f>F604*G604</f>
        <v>34000</v>
      </c>
    </row>
    <row r="605" spans="2:16" x14ac:dyDescent="0.3">
      <c r="B605" s="2035"/>
      <c r="C605" s="2027" t="s">
        <v>605</v>
      </c>
      <c r="D605" s="2039" t="s">
        <v>49</v>
      </c>
      <c r="E605" s="1556" t="s">
        <v>618</v>
      </c>
      <c r="F605" s="2057">
        <v>0.04</v>
      </c>
      <c r="G605" s="1995">
        <f>G586</f>
        <v>185000</v>
      </c>
      <c r="H605" s="2041">
        <f>F605*G605</f>
        <v>7400</v>
      </c>
    </row>
    <row r="606" spans="2:16" x14ac:dyDescent="0.3">
      <c r="B606" s="2035"/>
      <c r="C606" s="2027" t="s">
        <v>50</v>
      </c>
      <c r="D606" s="2039" t="s">
        <v>51</v>
      </c>
      <c r="E606" s="1556" t="s">
        <v>618</v>
      </c>
      <c r="F606" s="2057">
        <v>0.02</v>
      </c>
      <c r="G606" s="1995">
        <f>G587</f>
        <v>200000</v>
      </c>
      <c r="H606" s="2041">
        <f>F606*G606</f>
        <v>4000</v>
      </c>
    </row>
    <row r="607" spans="2:16" x14ac:dyDescent="0.3">
      <c r="B607" s="2035"/>
      <c r="C607" s="2027"/>
      <c r="D607" s="2035"/>
      <c r="E607" s="1556"/>
      <c r="F607" s="2058"/>
      <c r="G607" s="2042" t="s">
        <v>52</v>
      </c>
      <c r="H607" s="2041">
        <f>SUM(H603:H606)</f>
        <v>73000</v>
      </c>
    </row>
    <row r="608" spans="2:16" x14ac:dyDescent="0.3">
      <c r="B608" s="2035" t="s">
        <v>394</v>
      </c>
      <c r="C608" s="2026" t="s">
        <v>872</v>
      </c>
      <c r="D608" s="2035"/>
      <c r="E608" s="1556"/>
      <c r="F608" s="2058"/>
      <c r="G608" s="2043"/>
      <c r="H608" s="2041"/>
    </row>
    <row r="609" spans="2:16" x14ac:dyDescent="0.3">
      <c r="B609" s="2035"/>
      <c r="C609" s="2027" t="s">
        <v>1165</v>
      </c>
      <c r="D609" s="2027"/>
      <c r="E609" s="1556" t="s">
        <v>27</v>
      </c>
      <c r="F609" s="2058">
        <v>1.2</v>
      </c>
      <c r="G609" s="2043">
        <f>'UB mep'!J20</f>
        <v>198000</v>
      </c>
      <c r="H609" s="2041">
        <f>+F609*G609</f>
        <v>237600</v>
      </c>
    </row>
    <row r="610" spans="2:16" x14ac:dyDescent="0.3">
      <c r="B610" s="2023"/>
      <c r="C610" s="2027" t="s">
        <v>90</v>
      </c>
      <c r="D610" s="2027"/>
      <c r="E610" s="1556" t="s">
        <v>1</v>
      </c>
      <c r="F610" s="1557">
        <v>0.4</v>
      </c>
      <c r="G610" s="2043">
        <f>G609</f>
        <v>198000</v>
      </c>
      <c r="H610" s="2041">
        <f>+F610*G610</f>
        <v>79200</v>
      </c>
    </row>
    <row r="611" spans="2:16" x14ac:dyDescent="0.3">
      <c r="B611" s="2026"/>
      <c r="C611" s="2027"/>
      <c r="D611" s="2027"/>
      <c r="E611" s="1556"/>
      <c r="F611" s="2044"/>
      <c r="G611" s="2045" t="s">
        <v>59</v>
      </c>
      <c r="H611" s="2041">
        <f>SUM(H609:H610)</f>
        <v>316800</v>
      </c>
    </row>
    <row r="612" spans="2:16" x14ac:dyDescent="0.3">
      <c r="B612" s="2023" t="s">
        <v>411</v>
      </c>
      <c r="C612" s="2046" t="s">
        <v>60</v>
      </c>
      <c r="D612" s="2027"/>
      <c r="E612" s="1556"/>
      <c r="F612" s="2044"/>
      <c r="G612" s="2047"/>
      <c r="H612" s="2047"/>
    </row>
    <row r="613" spans="2:16" x14ac:dyDescent="0.3">
      <c r="B613" s="2026"/>
      <c r="C613" s="2027"/>
      <c r="D613" s="2027"/>
      <c r="E613" s="1556"/>
      <c r="F613" s="2044"/>
      <c r="G613" s="2045" t="s">
        <v>61</v>
      </c>
      <c r="H613" s="2041">
        <v>0</v>
      </c>
    </row>
    <row r="614" spans="2:16" x14ac:dyDescent="0.3">
      <c r="B614" s="1556" t="s">
        <v>6</v>
      </c>
      <c r="C614" s="2027" t="s">
        <v>875</v>
      </c>
      <c r="D614" s="2027"/>
      <c r="E614" s="2028"/>
      <c r="F614" s="1556"/>
      <c r="G614" s="1556"/>
      <c r="H614" s="2047">
        <f>+H613+H611+H607</f>
        <v>389800</v>
      </c>
    </row>
    <row r="615" spans="2:16" x14ac:dyDescent="0.3">
      <c r="B615" s="1974" t="s">
        <v>7</v>
      </c>
      <c r="C615" s="1555" t="s">
        <v>100</v>
      </c>
      <c r="D615" s="1553"/>
      <c r="E615" s="1980"/>
      <c r="F615" s="1976"/>
      <c r="G615" s="2004">
        <v>0</v>
      </c>
      <c r="H615" s="1981">
        <f>H614*J600</f>
        <v>0</v>
      </c>
    </row>
    <row r="616" spans="2:16" x14ac:dyDescent="0.3">
      <c r="B616" s="1976" t="s">
        <v>63</v>
      </c>
      <c r="C616" s="1553" t="s">
        <v>877</v>
      </c>
      <c r="D616" s="1553"/>
      <c r="E616" s="1980"/>
      <c r="F616" s="1976"/>
      <c r="G616" s="1976"/>
      <c r="H616" s="1981">
        <f>+H614+H615</f>
        <v>389800</v>
      </c>
    </row>
    <row r="617" spans="2:16" x14ac:dyDescent="0.3">
      <c r="B617" s="1553"/>
      <c r="C617" s="1554" t="s">
        <v>878</v>
      </c>
      <c r="D617" s="1555"/>
      <c r="E617" s="1555"/>
      <c r="F617" s="1555"/>
      <c r="G617" s="1555"/>
      <c r="H617" s="2005">
        <f>ROUNDDOWN(H616,2)</f>
        <v>389800</v>
      </c>
    </row>
    <row r="618" spans="2:16" x14ac:dyDescent="0.3">
      <c r="C618" s="2052"/>
      <c r="D618" s="2053"/>
      <c r="E618" s="2053"/>
      <c r="F618" s="2053"/>
      <c r="G618" s="2053"/>
      <c r="H618" s="2054"/>
    </row>
    <row r="619" spans="2:16" s="2027" customFormat="1" x14ac:dyDescent="0.3">
      <c r="B619" s="2026" t="s">
        <v>1166</v>
      </c>
      <c r="C619" s="2026" t="s">
        <v>1167</v>
      </c>
      <c r="E619" s="2028"/>
      <c r="F619" s="1556"/>
      <c r="G619" s="1556"/>
      <c r="H619" s="2029"/>
    </row>
    <row r="620" spans="2:16" s="1976" customFormat="1" ht="15.95" customHeight="1" x14ac:dyDescent="0.3">
      <c r="B620" s="1982" t="s">
        <v>12</v>
      </c>
      <c r="C620" s="1982" t="s">
        <v>36</v>
      </c>
      <c r="D620" s="1982" t="s">
        <v>37</v>
      </c>
      <c r="E620" s="1983" t="s">
        <v>184</v>
      </c>
      <c r="F620" s="1984" t="s">
        <v>868</v>
      </c>
      <c r="G620" s="1983" t="s">
        <v>1063</v>
      </c>
      <c r="H620" s="1983" t="s">
        <v>40</v>
      </c>
      <c r="I620" s="1985"/>
      <c r="J620" s="1986"/>
      <c r="K620" s="1986"/>
      <c r="L620" s="1986"/>
      <c r="M620" s="1986"/>
      <c r="N620" s="1987"/>
      <c r="O620" s="1988"/>
      <c r="P620" s="1989"/>
    </row>
    <row r="621" spans="2:16" s="2027" customFormat="1" x14ac:dyDescent="0.3">
      <c r="B621" s="2035" t="s">
        <v>368</v>
      </c>
      <c r="C621" s="2036" t="s">
        <v>42</v>
      </c>
      <c r="D621" s="2035"/>
      <c r="E621" s="2037"/>
      <c r="F621" s="2038"/>
      <c r="G621" s="2037"/>
      <c r="H621" s="2037"/>
    </row>
    <row r="622" spans="2:16" s="2027" customFormat="1" x14ac:dyDescent="0.3">
      <c r="B622" s="2035"/>
      <c r="C622" s="2027" t="s">
        <v>71</v>
      </c>
      <c r="D622" s="2039" t="s">
        <v>44</v>
      </c>
      <c r="E622" s="1556" t="s">
        <v>618</v>
      </c>
      <c r="F622" s="2057">
        <v>0.3</v>
      </c>
      <c r="G622" s="1995">
        <f>G603</f>
        <v>115000</v>
      </c>
      <c r="H622" s="2041">
        <f>F622*G622</f>
        <v>34500</v>
      </c>
    </row>
    <row r="623" spans="2:16" s="2027" customFormat="1" x14ac:dyDescent="0.3">
      <c r="B623" s="2035"/>
      <c r="C623" s="2027" t="s">
        <v>1076</v>
      </c>
      <c r="D623" s="2039" t="s">
        <v>47</v>
      </c>
      <c r="E623" s="1556" t="s">
        <v>618</v>
      </c>
      <c r="F623" s="2057">
        <v>0.25</v>
      </c>
      <c r="G623" s="1995">
        <f>G604</f>
        <v>170000</v>
      </c>
      <c r="H623" s="2041">
        <f>F623*G623</f>
        <v>42500</v>
      </c>
    </row>
    <row r="624" spans="2:16" s="2027" customFormat="1" x14ac:dyDescent="0.3">
      <c r="B624" s="2035"/>
      <c r="C624" s="2027" t="s">
        <v>605</v>
      </c>
      <c r="D624" s="2039" t="s">
        <v>49</v>
      </c>
      <c r="E624" s="1556" t="s">
        <v>618</v>
      </c>
      <c r="F624" s="2057">
        <v>0.06</v>
      </c>
      <c r="G624" s="1995">
        <f>G605</f>
        <v>185000</v>
      </c>
      <c r="H624" s="2041">
        <f>F624*G624</f>
        <v>11100</v>
      </c>
    </row>
    <row r="625" spans="2:16" s="2027" customFormat="1" x14ac:dyDescent="0.3">
      <c r="B625" s="2035"/>
      <c r="C625" s="2027" t="s">
        <v>50</v>
      </c>
      <c r="D625" s="2039" t="s">
        <v>51</v>
      </c>
      <c r="E625" s="1556" t="s">
        <v>618</v>
      </c>
      <c r="F625" s="2057">
        <v>0.05</v>
      </c>
      <c r="G625" s="1995">
        <f>G606</f>
        <v>200000</v>
      </c>
      <c r="H625" s="2041">
        <f>F625*G625</f>
        <v>10000</v>
      </c>
    </row>
    <row r="626" spans="2:16" s="2027" customFormat="1" x14ac:dyDescent="0.3">
      <c r="B626" s="2035"/>
      <c r="D626" s="2035"/>
      <c r="E626" s="1556"/>
      <c r="F626" s="2058"/>
      <c r="G626" s="2042" t="s">
        <v>52</v>
      </c>
      <c r="H626" s="2041">
        <f>SUM(H622:H625)</f>
        <v>98100</v>
      </c>
    </row>
    <row r="627" spans="2:16" s="2027" customFormat="1" x14ac:dyDescent="0.3">
      <c r="B627" s="2035" t="s">
        <v>394</v>
      </c>
      <c r="C627" s="2026" t="s">
        <v>872</v>
      </c>
      <c r="D627" s="2035"/>
      <c r="E627" s="1556"/>
      <c r="F627" s="2058"/>
      <c r="G627" s="2043"/>
      <c r="H627" s="2041"/>
    </row>
    <row r="628" spans="2:16" s="2027" customFormat="1" x14ac:dyDescent="0.3">
      <c r="B628" s="2035"/>
      <c r="C628" s="2027" t="s">
        <v>1168</v>
      </c>
      <c r="E628" s="1556" t="s">
        <v>27</v>
      </c>
      <c r="F628" s="2058">
        <v>1.2</v>
      </c>
      <c r="G628" s="2043">
        <f>'UB mep'!J21</f>
        <v>300000</v>
      </c>
      <c r="H628" s="2041">
        <f>+F628*G628</f>
        <v>360000</v>
      </c>
    </row>
    <row r="629" spans="2:16" s="2027" customFormat="1" x14ac:dyDescent="0.3">
      <c r="B629" s="2023"/>
      <c r="C629" s="2027" t="s">
        <v>90</v>
      </c>
      <c r="E629" s="1556" t="s">
        <v>1</v>
      </c>
      <c r="F629" s="1557">
        <v>0.4</v>
      </c>
      <c r="G629" s="2043">
        <f>G628</f>
        <v>300000</v>
      </c>
      <c r="H629" s="2041">
        <f>+F629*G629</f>
        <v>120000</v>
      </c>
    </row>
    <row r="630" spans="2:16" s="2027" customFormat="1" x14ac:dyDescent="0.3">
      <c r="B630" s="2026"/>
      <c r="E630" s="1556"/>
      <c r="F630" s="2044"/>
      <c r="G630" s="2045" t="s">
        <v>59</v>
      </c>
      <c r="H630" s="2041">
        <f>SUM(H628:H629)</f>
        <v>480000</v>
      </c>
    </row>
    <row r="631" spans="2:16" s="2027" customFormat="1" x14ac:dyDescent="0.3">
      <c r="B631" s="2023" t="s">
        <v>411</v>
      </c>
      <c r="C631" s="2046" t="s">
        <v>60</v>
      </c>
      <c r="E631" s="1556"/>
      <c r="F631" s="2044"/>
      <c r="G631" s="2047"/>
      <c r="H631" s="2047"/>
    </row>
    <row r="632" spans="2:16" s="2027" customFormat="1" x14ac:dyDescent="0.3">
      <c r="B632" s="2026"/>
      <c r="E632" s="1556"/>
      <c r="F632" s="2044"/>
      <c r="G632" s="2045" t="s">
        <v>61</v>
      </c>
      <c r="H632" s="2041">
        <v>0</v>
      </c>
    </row>
    <row r="633" spans="2:16" s="2027" customFormat="1" x14ac:dyDescent="0.3">
      <c r="B633" s="1556" t="s">
        <v>6</v>
      </c>
      <c r="C633" s="2027" t="s">
        <v>875</v>
      </c>
      <c r="E633" s="2028"/>
      <c r="F633" s="1556"/>
      <c r="G633" s="1556"/>
      <c r="H633" s="2047">
        <f>+H632+H630+H626</f>
        <v>578100</v>
      </c>
    </row>
    <row r="634" spans="2:16" s="2027" customFormat="1" x14ac:dyDescent="0.3">
      <c r="B634" s="1974" t="s">
        <v>7</v>
      </c>
      <c r="C634" s="1555" t="s">
        <v>100</v>
      </c>
      <c r="D634" s="1553"/>
      <c r="E634" s="1980"/>
      <c r="F634" s="1976"/>
      <c r="G634" s="2004">
        <v>0</v>
      </c>
      <c r="H634" s="1981">
        <f>H633*J619</f>
        <v>0</v>
      </c>
    </row>
    <row r="635" spans="2:16" s="2027" customFormat="1" x14ac:dyDescent="0.3">
      <c r="B635" s="1976" t="s">
        <v>63</v>
      </c>
      <c r="C635" s="1553" t="s">
        <v>877</v>
      </c>
      <c r="D635" s="1553"/>
      <c r="E635" s="1980"/>
      <c r="F635" s="1976"/>
      <c r="G635" s="1976"/>
      <c r="H635" s="1981">
        <f>+H633+H634</f>
        <v>578100</v>
      </c>
    </row>
    <row r="636" spans="2:16" s="2027" customFormat="1" x14ac:dyDescent="0.3">
      <c r="B636" s="1553"/>
      <c r="C636" s="1554" t="s">
        <v>878</v>
      </c>
      <c r="D636" s="1555"/>
      <c r="E636" s="1555"/>
      <c r="F636" s="1555"/>
      <c r="G636" s="1555"/>
      <c r="H636" s="2005">
        <f>ROUNDDOWN(H635,2)</f>
        <v>578100</v>
      </c>
    </row>
    <row r="637" spans="2:16" x14ac:dyDescent="0.3">
      <c r="C637" s="2052"/>
      <c r="D637" s="2053"/>
      <c r="E637" s="2053"/>
      <c r="F637" s="2053"/>
      <c r="G637" s="2053"/>
      <c r="H637" s="2054"/>
    </row>
    <row r="638" spans="2:16" x14ac:dyDescent="0.3">
      <c r="B638" s="2027" t="s">
        <v>1169</v>
      </c>
      <c r="C638" s="2026" t="s">
        <v>1170</v>
      </c>
      <c r="D638" s="2027"/>
      <c r="E638" s="2028"/>
      <c r="F638" s="1556"/>
      <c r="G638" s="1556"/>
      <c r="H638" s="2029"/>
    </row>
    <row r="639" spans="2:16" s="1976" customFormat="1" ht="15.95" customHeight="1" x14ac:dyDescent="0.3">
      <c r="B639" s="1982" t="s">
        <v>12</v>
      </c>
      <c r="C639" s="1982" t="s">
        <v>36</v>
      </c>
      <c r="D639" s="1982" t="s">
        <v>37</v>
      </c>
      <c r="E639" s="1983" t="s">
        <v>184</v>
      </c>
      <c r="F639" s="1984" t="s">
        <v>868</v>
      </c>
      <c r="G639" s="1983" t="s">
        <v>1063</v>
      </c>
      <c r="H639" s="1983" t="s">
        <v>40</v>
      </c>
      <c r="I639" s="1985"/>
      <c r="J639" s="1986"/>
      <c r="K639" s="1986"/>
      <c r="L639" s="1986"/>
      <c r="M639" s="1986"/>
      <c r="N639" s="1987"/>
      <c r="O639" s="1988"/>
      <c r="P639" s="1989"/>
    </row>
    <row r="640" spans="2:16" x14ac:dyDescent="0.3">
      <c r="B640" s="2035" t="s">
        <v>368</v>
      </c>
      <c r="C640" s="2036" t="s">
        <v>42</v>
      </c>
      <c r="D640" s="2035"/>
      <c r="E640" s="2037"/>
      <c r="F640" s="2038"/>
      <c r="G640" s="2037"/>
      <c r="H640" s="2037"/>
    </row>
    <row r="641" spans="2:8" x14ac:dyDescent="0.3">
      <c r="B641" s="2035"/>
      <c r="C641" s="2027" t="s">
        <v>71</v>
      </c>
      <c r="D641" s="2039" t="s">
        <v>44</v>
      </c>
      <c r="E641" s="1556" t="s">
        <v>618</v>
      </c>
      <c r="F641" s="2057">
        <v>0.08</v>
      </c>
      <c r="G641" s="1995">
        <f>G622</f>
        <v>115000</v>
      </c>
      <c r="H641" s="2041">
        <f>F641*G641</f>
        <v>9200</v>
      </c>
    </row>
    <row r="642" spans="2:8" x14ac:dyDescent="0.3">
      <c r="B642" s="2035"/>
      <c r="C642" s="2027" t="s">
        <v>1076</v>
      </c>
      <c r="D642" s="2039" t="s">
        <v>47</v>
      </c>
      <c r="E642" s="1556" t="s">
        <v>618</v>
      </c>
      <c r="F642" s="2057">
        <v>0.08</v>
      </c>
      <c r="G642" s="1995">
        <f>G623</f>
        <v>170000</v>
      </c>
      <c r="H642" s="2041">
        <f>F642*G642</f>
        <v>13600</v>
      </c>
    </row>
    <row r="643" spans="2:8" x14ac:dyDescent="0.3">
      <c r="B643" s="2035"/>
      <c r="C643" s="2027" t="s">
        <v>605</v>
      </c>
      <c r="D643" s="2039" t="s">
        <v>49</v>
      </c>
      <c r="E643" s="1556" t="s">
        <v>618</v>
      </c>
      <c r="F643" s="2057">
        <v>7.0000000000000001E-3</v>
      </c>
      <c r="G643" s="1995">
        <f>G624</f>
        <v>185000</v>
      </c>
      <c r="H643" s="2041">
        <f>F643*G643</f>
        <v>1295</v>
      </c>
    </row>
    <row r="644" spans="2:8" x14ac:dyDescent="0.3">
      <c r="B644" s="2035"/>
      <c r="C644" s="2027" t="s">
        <v>50</v>
      </c>
      <c r="D644" s="2039" t="s">
        <v>51</v>
      </c>
      <c r="E644" s="1556" t="s">
        <v>618</v>
      </c>
      <c r="F644" s="2057">
        <v>5.0000000000000001E-3</v>
      </c>
      <c r="G644" s="1995">
        <f>G625</f>
        <v>200000</v>
      </c>
      <c r="H644" s="2041">
        <f>F644*G644</f>
        <v>1000</v>
      </c>
    </row>
    <row r="645" spans="2:8" x14ac:dyDescent="0.3">
      <c r="B645" s="2035"/>
      <c r="C645" s="2027"/>
      <c r="D645" s="2035"/>
      <c r="E645" s="1556"/>
      <c r="F645" s="2058"/>
      <c r="G645" s="2042" t="s">
        <v>52</v>
      </c>
      <c r="H645" s="2041">
        <f>SUM(H641:H644)</f>
        <v>25095</v>
      </c>
    </row>
    <row r="646" spans="2:8" x14ac:dyDescent="0.3">
      <c r="B646" s="2035" t="s">
        <v>394</v>
      </c>
      <c r="C646" s="2026" t="s">
        <v>872</v>
      </c>
      <c r="D646" s="2035"/>
      <c r="E646" s="1556"/>
      <c r="F646" s="2058"/>
      <c r="G646" s="2043"/>
      <c r="H646" s="2041"/>
    </row>
    <row r="647" spans="2:8" x14ac:dyDescent="0.3">
      <c r="B647" s="2035"/>
      <c r="C647" s="2027" t="s">
        <v>1171</v>
      </c>
      <c r="D647" s="2027"/>
      <c r="E647" s="1556" t="s">
        <v>27</v>
      </c>
      <c r="F647" s="2058">
        <v>1.2</v>
      </c>
      <c r="G647" s="2043">
        <f>'UB mep'!J23</f>
        <v>23000</v>
      </c>
      <c r="H647" s="2041">
        <f>+F647*G647</f>
        <v>27600</v>
      </c>
    </row>
    <row r="648" spans="2:8" x14ac:dyDescent="0.3">
      <c r="B648" s="2023"/>
      <c r="C648" s="2027" t="s">
        <v>90</v>
      </c>
      <c r="D648" s="2027"/>
      <c r="E648" s="1556" t="s">
        <v>1</v>
      </c>
      <c r="F648" s="1557">
        <v>0.4</v>
      </c>
      <c r="G648" s="2043">
        <f>G647</f>
        <v>23000</v>
      </c>
      <c r="H648" s="2041">
        <f>+F648*G648</f>
        <v>9200</v>
      </c>
    </row>
    <row r="649" spans="2:8" x14ac:dyDescent="0.3">
      <c r="B649" s="2026"/>
      <c r="C649" s="2027"/>
      <c r="D649" s="2027"/>
      <c r="E649" s="1556"/>
      <c r="F649" s="2044"/>
      <c r="G649" s="2045" t="s">
        <v>59</v>
      </c>
      <c r="H649" s="2041">
        <f>SUM(H647:H648)</f>
        <v>36800</v>
      </c>
    </row>
    <row r="650" spans="2:8" x14ac:dyDescent="0.3">
      <c r="B650" s="2023" t="s">
        <v>411</v>
      </c>
      <c r="C650" s="2046" t="s">
        <v>60</v>
      </c>
      <c r="D650" s="2027"/>
      <c r="E650" s="1556"/>
      <c r="F650" s="2044"/>
      <c r="G650" s="2047"/>
      <c r="H650" s="2047"/>
    </row>
    <row r="651" spans="2:8" x14ac:dyDescent="0.3">
      <c r="B651" s="2026"/>
      <c r="C651" s="2027"/>
      <c r="D651" s="2027"/>
      <c r="E651" s="1556"/>
      <c r="F651" s="2044"/>
      <c r="G651" s="2045" t="s">
        <v>61</v>
      </c>
      <c r="H651" s="2041">
        <v>0</v>
      </c>
    </row>
    <row r="652" spans="2:8" x14ac:dyDescent="0.3">
      <c r="B652" s="1556" t="s">
        <v>6</v>
      </c>
      <c r="C652" s="2027" t="s">
        <v>875</v>
      </c>
      <c r="D652" s="2027"/>
      <c r="E652" s="2028"/>
      <c r="F652" s="1556"/>
      <c r="G652" s="1556"/>
      <c r="H652" s="2047">
        <f>+H651+H649+H645</f>
        <v>61895</v>
      </c>
    </row>
    <row r="653" spans="2:8" x14ac:dyDescent="0.3">
      <c r="B653" s="1974" t="s">
        <v>7</v>
      </c>
      <c r="C653" s="1555" t="s">
        <v>100</v>
      </c>
      <c r="D653" s="1553"/>
      <c r="E653" s="1980"/>
      <c r="F653" s="1976"/>
      <c r="G653" s="2004">
        <v>0</v>
      </c>
      <c r="H653" s="1981">
        <f>H652*J638</f>
        <v>0</v>
      </c>
    </row>
    <row r="654" spans="2:8" x14ac:dyDescent="0.3">
      <c r="B654" s="1976" t="s">
        <v>63</v>
      </c>
      <c r="C654" s="1553" t="s">
        <v>877</v>
      </c>
      <c r="D654" s="1553"/>
      <c r="E654" s="1980"/>
      <c r="F654" s="1976"/>
      <c r="G654" s="1976"/>
      <c r="H654" s="1981">
        <f>+H652+H653</f>
        <v>61895</v>
      </c>
    </row>
    <row r="655" spans="2:8" x14ac:dyDescent="0.3">
      <c r="B655" s="1553"/>
      <c r="C655" s="1554" t="s">
        <v>878</v>
      </c>
      <c r="D655" s="1555"/>
      <c r="E655" s="1555"/>
      <c r="F655" s="1555"/>
      <c r="G655" s="1555"/>
      <c r="H655" s="2005">
        <f>ROUNDDOWN(H654,2)</f>
        <v>61895</v>
      </c>
    </row>
    <row r="656" spans="2:8" x14ac:dyDescent="0.3">
      <c r="C656" s="2052"/>
      <c r="D656" s="2053"/>
      <c r="E656" s="2053"/>
      <c r="F656" s="2053"/>
      <c r="G656" s="2053"/>
      <c r="H656" s="2054"/>
    </row>
    <row r="657" spans="2:16" ht="17.25" thickBot="1" x14ac:dyDescent="0.35">
      <c r="B657" s="2062" t="s">
        <v>1172</v>
      </c>
      <c r="C657" s="2062"/>
      <c r="D657" s="2062"/>
      <c r="E657" s="2062"/>
      <c r="F657" s="2062"/>
      <c r="G657" s="2062"/>
      <c r="H657" s="2062"/>
    </row>
    <row r="658" spans="2:16" s="2027" customFormat="1" ht="17.25" thickTop="1" x14ac:dyDescent="0.3">
      <c r="B658" s="2026" t="s">
        <v>1173</v>
      </c>
      <c r="C658" s="2026" t="s">
        <v>1174</v>
      </c>
      <c r="E658" s="2028"/>
      <c r="F658" s="1556"/>
      <c r="G658" s="1556"/>
      <c r="H658" s="2029"/>
    </row>
    <row r="659" spans="2:16" s="1976" customFormat="1" ht="15.95" customHeight="1" x14ac:dyDescent="0.3">
      <c r="B659" s="1982" t="s">
        <v>12</v>
      </c>
      <c r="C659" s="1982" t="s">
        <v>36</v>
      </c>
      <c r="D659" s="1982" t="s">
        <v>37</v>
      </c>
      <c r="E659" s="1983" t="s">
        <v>184</v>
      </c>
      <c r="F659" s="1984" t="s">
        <v>868</v>
      </c>
      <c r="G659" s="1983" t="s">
        <v>1063</v>
      </c>
      <c r="H659" s="1983" t="s">
        <v>40</v>
      </c>
      <c r="I659" s="1985"/>
      <c r="J659" s="1986"/>
      <c r="K659" s="1986"/>
      <c r="L659" s="1986"/>
      <c r="M659" s="1986"/>
      <c r="N659" s="1987"/>
      <c r="O659" s="1988"/>
      <c r="P659" s="1989"/>
    </row>
    <row r="660" spans="2:16" s="2027" customFormat="1" x14ac:dyDescent="0.3">
      <c r="B660" s="2035" t="s">
        <v>368</v>
      </c>
      <c r="C660" s="2036" t="s">
        <v>42</v>
      </c>
      <c r="D660" s="2035"/>
      <c r="E660" s="2037"/>
      <c r="F660" s="2038"/>
      <c r="G660" s="2037"/>
      <c r="H660" s="2037"/>
    </row>
    <row r="661" spans="2:16" s="2027" customFormat="1" x14ac:dyDescent="0.3">
      <c r="B661" s="2035"/>
      <c r="C661" s="2027" t="s">
        <v>71</v>
      </c>
      <c r="D661" s="2039" t="s">
        <v>44</v>
      </c>
      <c r="E661" s="1556" t="s">
        <v>618</v>
      </c>
      <c r="F661" s="2057">
        <v>0.1</v>
      </c>
      <c r="G661" s="1995">
        <f>G641</f>
        <v>115000</v>
      </c>
      <c r="H661" s="2041">
        <f>F661*G661</f>
        <v>11500</v>
      </c>
    </row>
    <row r="662" spans="2:16" s="2027" customFormat="1" x14ac:dyDescent="0.3">
      <c r="B662" s="2035"/>
      <c r="C662" s="2027" t="s">
        <v>1076</v>
      </c>
      <c r="D662" s="2039" t="s">
        <v>47</v>
      </c>
      <c r="E662" s="1556" t="s">
        <v>618</v>
      </c>
      <c r="F662" s="2057">
        <v>0.1</v>
      </c>
      <c r="G662" s="1995">
        <f>G642</f>
        <v>170000</v>
      </c>
      <c r="H662" s="2041">
        <f>F662*G662</f>
        <v>17000</v>
      </c>
    </row>
    <row r="663" spans="2:16" s="2027" customFormat="1" x14ac:dyDescent="0.3">
      <c r="B663" s="2035"/>
      <c r="C663" s="2027" t="s">
        <v>605</v>
      </c>
      <c r="D663" s="2039" t="s">
        <v>49</v>
      </c>
      <c r="E663" s="1556" t="s">
        <v>618</v>
      </c>
      <c r="F663" s="2057">
        <v>0.05</v>
      </c>
      <c r="G663" s="1995">
        <f>G643</f>
        <v>185000</v>
      </c>
      <c r="H663" s="2041">
        <f>F663*G663</f>
        <v>9250</v>
      </c>
    </row>
    <row r="664" spans="2:16" s="2027" customFormat="1" x14ac:dyDescent="0.3">
      <c r="B664" s="2035"/>
      <c r="C664" s="2027" t="s">
        <v>50</v>
      </c>
      <c r="D664" s="2039" t="s">
        <v>51</v>
      </c>
      <c r="E664" s="1556" t="s">
        <v>618</v>
      </c>
      <c r="F664" s="2057">
        <v>3.0000000000000001E-3</v>
      </c>
      <c r="G664" s="1995">
        <f>G644</f>
        <v>200000</v>
      </c>
      <c r="H664" s="2041">
        <f>F664*G664</f>
        <v>600</v>
      </c>
    </row>
    <row r="665" spans="2:16" s="2027" customFormat="1" x14ac:dyDescent="0.3">
      <c r="B665" s="2035"/>
      <c r="D665" s="2035"/>
      <c r="E665" s="1556"/>
      <c r="F665" s="2058"/>
      <c r="G665" s="2042" t="s">
        <v>52</v>
      </c>
      <c r="H665" s="2041">
        <f>SUM(H661:H664)</f>
        <v>38350</v>
      </c>
    </row>
    <row r="666" spans="2:16" s="2027" customFormat="1" x14ac:dyDescent="0.3">
      <c r="B666" s="2035" t="s">
        <v>394</v>
      </c>
      <c r="C666" s="2026" t="s">
        <v>872</v>
      </c>
      <c r="D666" s="2035"/>
      <c r="E666" s="1556"/>
      <c r="F666" s="2058"/>
      <c r="G666" s="2043"/>
      <c r="H666" s="2041"/>
    </row>
    <row r="667" spans="2:16" s="2027" customFormat="1" x14ac:dyDescent="0.3">
      <c r="B667" s="2035"/>
      <c r="C667" s="2027" t="s">
        <v>1223</v>
      </c>
      <c r="E667" s="1556" t="s">
        <v>27</v>
      </c>
      <c r="F667" s="2058">
        <v>1.2</v>
      </c>
      <c r="G667" s="2043">
        <f>'UB mep'!J54</f>
        <v>26500</v>
      </c>
      <c r="H667" s="2041">
        <f>+F667*G667</f>
        <v>31800</v>
      </c>
    </row>
    <row r="668" spans="2:16" s="2027" customFormat="1" x14ac:dyDescent="0.3">
      <c r="B668" s="2023"/>
      <c r="C668" s="2027" t="s">
        <v>90</v>
      </c>
      <c r="E668" s="1556" t="s">
        <v>1</v>
      </c>
      <c r="F668" s="1557">
        <v>0.35</v>
      </c>
      <c r="G668" s="2043">
        <f>G667</f>
        <v>26500</v>
      </c>
      <c r="H668" s="2041">
        <f>+F668*G668</f>
        <v>9275</v>
      </c>
    </row>
    <row r="669" spans="2:16" s="2027" customFormat="1" x14ac:dyDescent="0.3">
      <c r="B669" s="2026"/>
      <c r="E669" s="1556"/>
      <c r="F669" s="2044"/>
      <c r="G669" s="2045" t="s">
        <v>59</v>
      </c>
      <c r="H669" s="2041">
        <f>SUM(H667:H668)</f>
        <v>41075</v>
      </c>
    </row>
    <row r="670" spans="2:16" s="2027" customFormat="1" x14ac:dyDescent="0.3">
      <c r="B670" s="2023" t="s">
        <v>411</v>
      </c>
      <c r="C670" s="2046" t="s">
        <v>60</v>
      </c>
      <c r="E670" s="1556"/>
      <c r="F670" s="2044"/>
      <c r="G670" s="2047"/>
      <c r="H670" s="2047"/>
    </row>
    <row r="671" spans="2:16" s="2027" customFormat="1" x14ac:dyDescent="0.3">
      <c r="B671" s="2026"/>
      <c r="E671" s="1556"/>
      <c r="F671" s="2044"/>
      <c r="G671" s="2045" t="s">
        <v>61</v>
      </c>
      <c r="H671" s="2041">
        <v>0</v>
      </c>
    </row>
    <row r="672" spans="2:16" s="2027" customFormat="1" x14ac:dyDescent="0.3">
      <c r="B672" s="1556" t="s">
        <v>6</v>
      </c>
      <c r="C672" s="2027" t="s">
        <v>875</v>
      </c>
      <c r="E672" s="2028"/>
      <c r="F672" s="1556"/>
      <c r="G672" s="1556"/>
      <c r="H672" s="2047">
        <f>+H671+H669+H665</f>
        <v>79425</v>
      </c>
    </row>
    <row r="673" spans="2:16" s="2027" customFormat="1" x14ac:dyDescent="0.3">
      <c r="B673" s="1974" t="s">
        <v>7</v>
      </c>
      <c r="C673" s="1555" t="s">
        <v>100</v>
      </c>
      <c r="D673" s="1553"/>
      <c r="E673" s="1980"/>
      <c r="F673" s="1976"/>
      <c r="G673" s="2004">
        <v>0</v>
      </c>
      <c r="H673" s="1981">
        <f>H672*J658</f>
        <v>0</v>
      </c>
    </row>
    <row r="674" spans="2:16" s="2027" customFormat="1" x14ac:dyDescent="0.3">
      <c r="B674" s="1976" t="s">
        <v>63</v>
      </c>
      <c r="C674" s="1553" t="s">
        <v>877</v>
      </c>
      <c r="D674" s="1553"/>
      <c r="E674" s="1980"/>
      <c r="F674" s="1976"/>
      <c r="G674" s="1976"/>
      <c r="H674" s="1981">
        <f>+H672+H673</f>
        <v>79425</v>
      </c>
    </row>
    <row r="675" spans="2:16" s="2027" customFormat="1" x14ac:dyDescent="0.3">
      <c r="B675" s="1553"/>
      <c r="C675" s="1554" t="s">
        <v>878</v>
      </c>
      <c r="D675" s="1555"/>
      <c r="E675" s="1555"/>
      <c r="F675" s="1555"/>
      <c r="G675" s="1555"/>
      <c r="H675" s="2005">
        <f>ROUNDDOWN(H674,2)</f>
        <v>79425</v>
      </c>
    </row>
    <row r="676" spans="2:16" x14ac:dyDescent="0.3">
      <c r="B676" s="2048"/>
      <c r="C676" s="2048"/>
      <c r="D676" s="2048"/>
      <c r="E676" s="2048"/>
      <c r="F676" s="2048"/>
      <c r="G676" s="2048"/>
      <c r="H676" s="2048"/>
    </row>
    <row r="677" spans="2:16" x14ac:dyDescent="0.3">
      <c r="B677" s="2026" t="s">
        <v>1176</v>
      </c>
      <c r="C677" s="2026" t="s">
        <v>1177</v>
      </c>
      <c r="D677" s="2021"/>
      <c r="E677" s="2049"/>
      <c r="G677" s="2050"/>
      <c r="H677" s="2051"/>
    </row>
    <row r="678" spans="2:16" s="1976" customFormat="1" ht="15.95" customHeight="1" x14ac:dyDescent="0.3">
      <c r="B678" s="1982" t="s">
        <v>12</v>
      </c>
      <c r="C678" s="1982" t="s">
        <v>36</v>
      </c>
      <c r="D678" s="1982" t="s">
        <v>37</v>
      </c>
      <c r="E678" s="1983" t="s">
        <v>184</v>
      </c>
      <c r="F678" s="1984" t="s">
        <v>868</v>
      </c>
      <c r="G678" s="1983" t="s">
        <v>1063</v>
      </c>
      <c r="H678" s="1983" t="s">
        <v>40</v>
      </c>
      <c r="I678" s="1985"/>
      <c r="J678" s="1986"/>
      <c r="K678" s="1986"/>
      <c r="L678" s="1986"/>
      <c r="M678" s="1986"/>
      <c r="N678" s="1987"/>
      <c r="O678" s="1988"/>
      <c r="P678" s="1989"/>
    </row>
    <row r="679" spans="2:16" s="2027" customFormat="1" x14ac:dyDescent="0.3">
      <c r="B679" s="2035" t="s">
        <v>368</v>
      </c>
      <c r="C679" s="2036" t="s">
        <v>42</v>
      </c>
      <c r="D679" s="2035"/>
      <c r="E679" s="2037"/>
      <c r="F679" s="2038"/>
      <c r="G679" s="2037"/>
      <c r="H679" s="2037"/>
    </row>
    <row r="680" spans="2:16" s="2027" customFormat="1" x14ac:dyDescent="0.3">
      <c r="B680" s="2035"/>
      <c r="C680" s="2027" t="s">
        <v>71</v>
      </c>
      <c r="D680" s="2039" t="s">
        <v>44</v>
      </c>
      <c r="E680" s="1556" t="s">
        <v>618</v>
      </c>
      <c r="F680" s="2057">
        <v>0.1</v>
      </c>
      <c r="G680" s="1995">
        <f t="shared" ref="F680:G683" si="0">G661</f>
        <v>115000</v>
      </c>
      <c r="H680" s="2041">
        <f>F680*G680</f>
        <v>11500</v>
      </c>
    </row>
    <row r="681" spans="2:16" s="2027" customFormat="1" x14ac:dyDescent="0.3">
      <c r="B681" s="2035"/>
      <c r="C681" s="2027" t="s">
        <v>1076</v>
      </c>
      <c r="D681" s="2039" t="s">
        <v>47</v>
      </c>
      <c r="E681" s="1556" t="s">
        <v>618</v>
      </c>
      <c r="F681" s="2057">
        <v>0.1</v>
      </c>
      <c r="G681" s="1995">
        <f t="shared" si="0"/>
        <v>170000</v>
      </c>
      <c r="H681" s="2041">
        <f>F681*G681</f>
        <v>17000</v>
      </c>
    </row>
    <row r="682" spans="2:16" s="2027" customFormat="1" x14ac:dyDescent="0.3">
      <c r="B682" s="2035"/>
      <c r="C682" s="2027" t="s">
        <v>605</v>
      </c>
      <c r="D682" s="2039" t="s">
        <v>49</v>
      </c>
      <c r="E682" s="1556" t="s">
        <v>618</v>
      </c>
      <c r="F682" s="2057">
        <v>0.05</v>
      </c>
      <c r="G682" s="1995">
        <f t="shared" si="0"/>
        <v>185000</v>
      </c>
      <c r="H682" s="2041">
        <f>F682*G682</f>
        <v>9250</v>
      </c>
    </row>
    <row r="683" spans="2:16" s="2027" customFormat="1" x14ac:dyDescent="0.3">
      <c r="B683" s="2035"/>
      <c r="C683" s="2027" t="s">
        <v>50</v>
      </c>
      <c r="D683" s="2039" t="s">
        <v>51</v>
      </c>
      <c r="E683" s="1556" t="s">
        <v>618</v>
      </c>
      <c r="F683" s="2057">
        <f t="shared" si="0"/>
        <v>3.0000000000000001E-3</v>
      </c>
      <c r="G683" s="1995">
        <f t="shared" si="0"/>
        <v>200000</v>
      </c>
      <c r="H683" s="2041">
        <f>F683*G683</f>
        <v>600</v>
      </c>
    </row>
    <row r="684" spans="2:16" s="2027" customFormat="1" x14ac:dyDescent="0.3">
      <c r="B684" s="2035"/>
      <c r="D684" s="2035"/>
      <c r="E684" s="1556"/>
      <c r="F684" s="2058"/>
      <c r="G684" s="2042" t="s">
        <v>52</v>
      </c>
      <c r="H684" s="2041">
        <f>SUM(H680:H683)</f>
        <v>38350</v>
      </c>
    </row>
    <row r="685" spans="2:16" s="2027" customFormat="1" x14ac:dyDescent="0.3">
      <c r="B685" s="2035" t="s">
        <v>394</v>
      </c>
      <c r="C685" s="2026" t="s">
        <v>872</v>
      </c>
      <c r="D685" s="2035"/>
      <c r="E685" s="1556"/>
      <c r="F685" s="2058"/>
      <c r="G685" s="2043"/>
      <c r="H685" s="2041"/>
    </row>
    <row r="686" spans="2:16" s="2027" customFormat="1" x14ac:dyDescent="0.3">
      <c r="B686" s="2035"/>
      <c r="C686" s="2027" t="s">
        <v>1175</v>
      </c>
      <c r="E686" s="1556" t="s">
        <v>27</v>
      </c>
      <c r="F686" s="2058">
        <v>1.2</v>
      </c>
      <c r="G686" s="2043">
        <f>'UB mep'!J55</f>
        <v>33500</v>
      </c>
      <c r="H686" s="2041">
        <f>+F686*G686</f>
        <v>40200</v>
      </c>
    </row>
    <row r="687" spans="2:16" s="2027" customFormat="1" x14ac:dyDescent="0.3">
      <c r="B687" s="2023"/>
      <c r="C687" s="2027" t="s">
        <v>90</v>
      </c>
      <c r="E687" s="1556" t="s">
        <v>1</v>
      </c>
      <c r="F687" s="1557">
        <v>0.35</v>
      </c>
      <c r="G687" s="2043">
        <f>+G686</f>
        <v>33500</v>
      </c>
      <c r="H687" s="2041">
        <f>+F687*G687</f>
        <v>11725</v>
      </c>
    </row>
    <row r="688" spans="2:16" s="2027" customFormat="1" x14ac:dyDescent="0.3">
      <c r="B688" s="2026"/>
      <c r="E688" s="1556"/>
      <c r="F688" s="2044"/>
      <c r="G688" s="2045" t="s">
        <v>59</v>
      </c>
      <c r="H688" s="2041">
        <f>SUM(H686:H687)</f>
        <v>51925</v>
      </c>
    </row>
    <row r="689" spans="2:16" s="2027" customFormat="1" x14ac:dyDescent="0.3">
      <c r="B689" s="2023" t="s">
        <v>411</v>
      </c>
      <c r="C689" s="2046" t="s">
        <v>60</v>
      </c>
      <c r="E689" s="1556"/>
      <c r="F689" s="2044"/>
      <c r="G689" s="2047"/>
      <c r="H689" s="2047"/>
    </row>
    <row r="690" spans="2:16" s="2027" customFormat="1" x14ac:dyDescent="0.3">
      <c r="B690" s="2026"/>
      <c r="E690" s="1556"/>
      <c r="F690" s="2044"/>
      <c r="G690" s="2045" t="s">
        <v>61</v>
      </c>
      <c r="H690" s="2041">
        <v>0</v>
      </c>
    </row>
    <row r="691" spans="2:16" s="2027" customFormat="1" x14ac:dyDescent="0.3">
      <c r="B691" s="1556" t="s">
        <v>6</v>
      </c>
      <c r="C691" s="2027" t="s">
        <v>875</v>
      </c>
      <c r="E691" s="2028"/>
      <c r="F691" s="1556"/>
      <c r="G691" s="1556"/>
      <c r="H691" s="2047">
        <f>+H690+H688+H684</f>
        <v>90275</v>
      </c>
    </row>
    <row r="692" spans="2:16" s="2027" customFormat="1" x14ac:dyDescent="0.3">
      <c r="B692" s="1974" t="s">
        <v>7</v>
      </c>
      <c r="C692" s="1555" t="s">
        <v>100</v>
      </c>
      <c r="D692" s="1553"/>
      <c r="E692" s="1980"/>
      <c r="F692" s="1976"/>
      <c r="G692" s="2004">
        <v>0</v>
      </c>
      <c r="H692" s="1981">
        <f>H691*J677</f>
        <v>0</v>
      </c>
    </row>
    <row r="693" spans="2:16" s="2027" customFormat="1" x14ac:dyDescent="0.3">
      <c r="B693" s="1976" t="s">
        <v>63</v>
      </c>
      <c r="C693" s="1553" t="s">
        <v>877</v>
      </c>
      <c r="D693" s="1553"/>
      <c r="E693" s="1980"/>
      <c r="F693" s="1976"/>
      <c r="G693" s="1976"/>
      <c r="H693" s="1981">
        <f>+H691+H692</f>
        <v>90275</v>
      </c>
    </row>
    <row r="694" spans="2:16" s="2027" customFormat="1" x14ac:dyDescent="0.3">
      <c r="B694" s="1553"/>
      <c r="C694" s="1554" t="s">
        <v>878</v>
      </c>
      <c r="D694" s="1555"/>
      <c r="E694" s="1555"/>
      <c r="F694" s="1555"/>
      <c r="G694" s="1555"/>
      <c r="H694" s="2005">
        <f>ROUNDDOWN(H693,2)</f>
        <v>90275</v>
      </c>
    </row>
    <row r="695" spans="2:16" x14ac:dyDescent="0.3">
      <c r="B695" s="2048"/>
      <c r="C695" s="2048"/>
      <c r="D695" s="2048"/>
      <c r="E695" s="2048"/>
      <c r="F695" s="2048"/>
      <c r="G695" s="2048"/>
      <c r="H695" s="2048"/>
    </row>
    <row r="696" spans="2:16" s="2027" customFormat="1" x14ac:dyDescent="0.3">
      <c r="B696" s="2026" t="s">
        <v>1178</v>
      </c>
      <c r="C696" s="2026" t="s">
        <v>1179</v>
      </c>
      <c r="E696" s="2028"/>
      <c r="F696" s="1556"/>
      <c r="G696" s="1556"/>
      <c r="H696" s="2029"/>
    </row>
    <row r="697" spans="2:16" s="1976" customFormat="1" ht="15.95" customHeight="1" x14ac:dyDescent="0.3">
      <c r="B697" s="1982" t="s">
        <v>12</v>
      </c>
      <c r="C697" s="1982" t="s">
        <v>36</v>
      </c>
      <c r="D697" s="1982" t="s">
        <v>37</v>
      </c>
      <c r="E697" s="1983" t="s">
        <v>184</v>
      </c>
      <c r="F697" s="1984" t="s">
        <v>868</v>
      </c>
      <c r="G697" s="1983" t="s">
        <v>1063</v>
      </c>
      <c r="H697" s="1983" t="s">
        <v>40</v>
      </c>
      <c r="I697" s="1985"/>
      <c r="J697" s="1986"/>
      <c r="K697" s="1986"/>
      <c r="L697" s="1986"/>
      <c r="M697" s="1986"/>
      <c r="N697" s="1987"/>
      <c r="O697" s="1988"/>
      <c r="P697" s="1989"/>
    </row>
    <row r="698" spans="2:16" s="2027" customFormat="1" x14ac:dyDescent="0.3">
      <c r="B698" s="2035" t="s">
        <v>368</v>
      </c>
      <c r="C698" s="2036" t="s">
        <v>42</v>
      </c>
      <c r="D698" s="2035"/>
      <c r="E698" s="2037"/>
      <c r="F698" s="2038"/>
      <c r="G698" s="2037"/>
      <c r="H698" s="2037"/>
    </row>
    <row r="699" spans="2:16" s="2027" customFormat="1" x14ac:dyDescent="0.3">
      <c r="B699" s="2035"/>
      <c r="C699" s="2027" t="s">
        <v>71</v>
      </c>
      <c r="D699" s="2039" t="s">
        <v>44</v>
      </c>
      <c r="E699" s="1556" t="s">
        <v>618</v>
      </c>
      <c r="F699" s="2057">
        <f>0.036*2</f>
        <v>7.1999999999999995E-2</v>
      </c>
      <c r="G699" s="1995">
        <f>G680</f>
        <v>115000</v>
      </c>
      <c r="H699" s="2041">
        <f>F699*G699</f>
        <v>8280</v>
      </c>
    </row>
    <row r="700" spans="2:16" s="2027" customFormat="1" x14ac:dyDescent="0.3">
      <c r="B700" s="2035"/>
      <c r="C700" s="2027" t="s">
        <v>1076</v>
      </c>
      <c r="D700" s="2039" t="s">
        <v>47</v>
      </c>
      <c r="E700" s="1556" t="s">
        <v>618</v>
      </c>
      <c r="F700" s="2057">
        <f>0.09*2</f>
        <v>0.18</v>
      </c>
      <c r="G700" s="1995">
        <f>G681</f>
        <v>170000</v>
      </c>
      <c r="H700" s="2041">
        <f>F700*G700</f>
        <v>30600</v>
      </c>
    </row>
    <row r="701" spans="2:16" s="2027" customFormat="1" x14ac:dyDescent="0.3">
      <c r="B701" s="2035"/>
      <c r="C701" s="2027" t="s">
        <v>605</v>
      </c>
      <c r="D701" s="2039" t="s">
        <v>49</v>
      </c>
      <c r="E701" s="1556" t="s">
        <v>618</v>
      </c>
      <c r="F701" s="2057">
        <f>0.009*2</f>
        <v>1.7999999999999999E-2</v>
      </c>
      <c r="G701" s="1995">
        <f>G682</f>
        <v>185000</v>
      </c>
      <c r="H701" s="2041">
        <f>F701*G701</f>
        <v>3329.9999999999995</v>
      </c>
    </row>
    <row r="702" spans="2:16" s="2027" customFormat="1" x14ac:dyDescent="0.3">
      <c r="B702" s="2035"/>
      <c r="C702" s="2027" t="s">
        <v>50</v>
      </c>
      <c r="D702" s="2039" t="s">
        <v>51</v>
      </c>
      <c r="E702" s="1556" t="s">
        <v>618</v>
      </c>
      <c r="F702" s="2057">
        <f>0.03*2</f>
        <v>0.06</v>
      </c>
      <c r="G702" s="1995">
        <f>G683</f>
        <v>200000</v>
      </c>
      <c r="H702" s="2041">
        <f>F702*G702</f>
        <v>12000</v>
      </c>
    </row>
    <row r="703" spans="2:16" s="2027" customFormat="1" x14ac:dyDescent="0.3">
      <c r="B703" s="2035"/>
      <c r="D703" s="2035"/>
      <c r="E703" s="1556"/>
      <c r="F703" s="2058"/>
      <c r="G703" s="2042" t="s">
        <v>52</v>
      </c>
      <c r="H703" s="2041">
        <f>SUM(H699:H702)</f>
        <v>54210</v>
      </c>
    </row>
    <row r="704" spans="2:16" s="2027" customFormat="1" x14ac:dyDescent="0.3">
      <c r="B704" s="2035" t="s">
        <v>394</v>
      </c>
      <c r="C704" s="2026" t="s">
        <v>872</v>
      </c>
      <c r="D704" s="2035"/>
      <c r="E704" s="1556"/>
      <c r="F704" s="2058"/>
      <c r="G704" s="2043"/>
      <c r="H704" s="2041"/>
    </row>
    <row r="705" spans="2:16" s="2027" customFormat="1" x14ac:dyDescent="0.3">
      <c r="B705" s="2035"/>
      <c r="C705" s="2027" t="s">
        <v>1180</v>
      </c>
      <c r="E705" s="1556" t="s">
        <v>27</v>
      </c>
      <c r="F705" s="2058">
        <v>1.2</v>
      </c>
      <c r="G705" s="2043">
        <f>'UB mep'!J56</f>
        <v>67000</v>
      </c>
      <c r="H705" s="2041">
        <f>+F705*G705</f>
        <v>80400</v>
      </c>
    </row>
    <row r="706" spans="2:16" s="2027" customFormat="1" x14ac:dyDescent="0.3">
      <c r="B706" s="2023"/>
      <c r="C706" s="2027" t="s">
        <v>90</v>
      </c>
      <c r="E706" s="1556" t="s">
        <v>91</v>
      </c>
      <c r="F706" s="1557">
        <v>0.35</v>
      </c>
      <c r="G706" s="2043">
        <f>+G705</f>
        <v>67000</v>
      </c>
      <c r="H706" s="2041">
        <f>+F706*G706</f>
        <v>23450</v>
      </c>
    </row>
    <row r="707" spans="2:16" s="2027" customFormat="1" x14ac:dyDescent="0.3">
      <c r="B707" s="2026"/>
      <c r="E707" s="1556"/>
      <c r="F707" s="2044"/>
      <c r="G707" s="2045" t="s">
        <v>59</v>
      </c>
      <c r="H707" s="2041">
        <f>SUM(H705:H706)</f>
        <v>103850</v>
      </c>
    </row>
    <row r="708" spans="2:16" s="2027" customFormat="1" x14ac:dyDescent="0.3">
      <c r="B708" s="2023" t="s">
        <v>411</v>
      </c>
      <c r="C708" s="2046" t="s">
        <v>60</v>
      </c>
      <c r="E708" s="1556"/>
      <c r="F708" s="2044"/>
      <c r="G708" s="2047"/>
      <c r="H708" s="2047"/>
    </row>
    <row r="709" spans="2:16" s="2027" customFormat="1" x14ac:dyDescent="0.3">
      <c r="B709" s="2026"/>
      <c r="E709" s="1556"/>
      <c r="F709" s="2044"/>
      <c r="G709" s="2045" t="s">
        <v>61</v>
      </c>
      <c r="H709" s="2041">
        <v>0</v>
      </c>
    </row>
    <row r="710" spans="2:16" s="2027" customFormat="1" x14ac:dyDescent="0.3">
      <c r="B710" s="1556" t="s">
        <v>6</v>
      </c>
      <c r="C710" s="2027" t="s">
        <v>875</v>
      </c>
      <c r="E710" s="2028"/>
      <c r="F710" s="1556"/>
      <c r="G710" s="1556"/>
      <c r="H710" s="2047">
        <f>+H709+H707+H703</f>
        <v>158060</v>
      </c>
    </row>
    <row r="711" spans="2:16" s="2027" customFormat="1" x14ac:dyDescent="0.3">
      <c r="B711" s="1974" t="s">
        <v>7</v>
      </c>
      <c r="C711" s="1555" t="s">
        <v>100</v>
      </c>
      <c r="D711" s="1553"/>
      <c r="E711" s="1980"/>
      <c r="F711" s="1976"/>
      <c r="G711" s="2004">
        <v>0</v>
      </c>
      <c r="H711" s="1981">
        <f>H710*J696</f>
        <v>0</v>
      </c>
    </row>
    <row r="712" spans="2:16" s="2027" customFormat="1" x14ac:dyDescent="0.3">
      <c r="B712" s="1976" t="s">
        <v>63</v>
      </c>
      <c r="C712" s="1553" t="s">
        <v>877</v>
      </c>
      <c r="D712" s="1553"/>
      <c r="E712" s="1980"/>
      <c r="F712" s="1976"/>
      <c r="G712" s="1976"/>
      <c r="H712" s="1981">
        <f>+H710+H711</f>
        <v>158060</v>
      </c>
    </row>
    <row r="713" spans="2:16" s="2027" customFormat="1" x14ac:dyDescent="0.3">
      <c r="B713" s="1553"/>
      <c r="C713" s="1554" t="s">
        <v>878</v>
      </c>
      <c r="D713" s="1555"/>
      <c r="E713" s="1555"/>
      <c r="F713" s="1555"/>
      <c r="G713" s="1555"/>
      <c r="H713" s="2005">
        <f>ROUNDDOWN(H712,2)</f>
        <v>158060</v>
      </c>
    </row>
    <row r="714" spans="2:16" x14ac:dyDescent="0.3">
      <c r="D714" s="2063"/>
      <c r="E714" s="2064"/>
      <c r="F714" s="2021"/>
      <c r="G714" s="2065"/>
      <c r="H714" s="2066"/>
    </row>
    <row r="715" spans="2:16" x14ac:dyDescent="0.3">
      <c r="B715" s="2026" t="s">
        <v>1181</v>
      </c>
      <c r="C715" s="2026" t="s">
        <v>1182</v>
      </c>
      <c r="D715" s="2027"/>
      <c r="E715" s="2028"/>
      <c r="F715" s="1556"/>
      <c r="G715" s="1556"/>
      <c r="H715" s="2029"/>
    </row>
    <row r="716" spans="2:16" s="1976" customFormat="1" ht="15.95" customHeight="1" x14ac:dyDescent="0.3">
      <c r="B716" s="1982" t="s">
        <v>12</v>
      </c>
      <c r="C716" s="1982" t="s">
        <v>36</v>
      </c>
      <c r="D716" s="1982" t="s">
        <v>37</v>
      </c>
      <c r="E716" s="1983" t="s">
        <v>184</v>
      </c>
      <c r="F716" s="1984" t="s">
        <v>868</v>
      </c>
      <c r="G716" s="1983" t="s">
        <v>1063</v>
      </c>
      <c r="H716" s="1983" t="s">
        <v>40</v>
      </c>
      <c r="I716" s="1985"/>
      <c r="J716" s="1986"/>
      <c r="K716" s="1986"/>
      <c r="L716" s="1986"/>
      <c r="M716" s="1986"/>
      <c r="N716" s="1987"/>
      <c r="O716" s="1988"/>
      <c r="P716" s="1989"/>
    </row>
    <row r="717" spans="2:16" x14ac:dyDescent="0.3">
      <c r="B717" s="2035" t="s">
        <v>368</v>
      </c>
      <c r="C717" s="2036" t="s">
        <v>42</v>
      </c>
      <c r="D717" s="2035"/>
      <c r="E717" s="2037"/>
      <c r="F717" s="2038"/>
      <c r="G717" s="2037"/>
      <c r="H717" s="2037"/>
    </row>
    <row r="718" spans="2:16" x14ac:dyDescent="0.3">
      <c r="B718" s="2035"/>
      <c r="C718" s="2027" t="s">
        <v>71</v>
      </c>
      <c r="D718" s="2039" t="str">
        <f>+[63]UP_BHN_2017!$H$7</f>
        <v>L.01</v>
      </c>
      <c r="E718" s="1556" t="s">
        <v>618</v>
      </c>
      <c r="F718" s="2057">
        <v>0.3</v>
      </c>
      <c r="G718" s="1995">
        <f>G699</f>
        <v>115000</v>
      </c>
      <c r="H718" s="2041">
        <f>F718*G718</f>
        <v>34500</v>
      </c>
    </row>
    <row r="719" spans="2:16" x14ac:dyDescent="0.3">
      <c r="B719" s="2035"/>
      <c r="C719" s="2027" t="s">
        <v>1076</v>
      </c>
      <c r="D719" s="2039" t="str">
        <f>+[63]UP_BHN_2017!$H$8</f>
        <v>L.02</v>
      </c>
      <c r="E719" s="1556" t="s">
        <v>618</v>
      </c>
      <c r="F719" s="2057">
        <v>0.1</v>
      </c>
      <c r="G719" s="1995">
        <f>G700</f>
        <v>170000</v>
      </c>
      <c r="H719" s="2041">
        <f>F719*G719</f>
        <v>17000</v>
      </c>
    </row>
    <row r="720" spans="2:16" x14ac:dyDescent="0.3">
      <c r="B720" s="2035"/>
      <c r="C720" s="2027" t="s">
        <v>605</v>
      </c>
      <c r="D720" s="2039" t="str">
        <f>+[63]UP_BHN_2017!$H$9</f>
        <v>L.03</v>
      </c>
      <c r="E720" s="1556" t="s">
        <v>618</v>
      </c>
      <c r="F720" s="2057">
        <v>0.02</v>
      </c>
      <c r="G720" s="1995">
        <f>G701</f>
        <v>185000</v>
      </c>
      <c r="H720" s="2041">
        <f>F720*G720</f>
        <v>3700</v>
      </c>
    </row>
    <row r="721" spans="2:16" x14ac:dyDescent="0.3">
      <c r="B721" s="2035"/>
      <c r="C721" s="2027" t="s">
        <v>50</v>
      </c>
      <c r="D721" s="2039" t="str">
        <f>+[63]UP_BHN_2017!$H$17</f>
        <v>L.04</v>
      </c>
      <c r="E721" s="1556" t="s">
        <v>618</v>
      </c>
      <c r="F721" s="2057">
        <v>0.08</v>
      </c>
      <c r="G721" s="1995">
        <f>G702</f>
        <v>200000</v>
      </c>
      <c r="H721" s="2041">
        <f>F721*G721</f>
        <v>16000</v>
      </c>
    </row>
    <row r="722" spans="2:16" x14ac:dyDescent="0.3">
      <c r="B722" s="2035"/>
      <c r="C722" s="2027"/>
      <c r="D722" s="2035"/>
      <c r="E722" s="1556"/>
      <c r="F722" s="2058"/>
      <c r="G722" s="2042" t="s">
        <v>52</v>
      </c>
      <c r="H722" s="2041">
        <f>SUM(H718:H721)</f>
        <v>71200</v>
      </c>
    </row>
    <row r="723" spans="2:16" x14ac:dyDescent="0.3">
      <c r="B723" s="2035" t="s">
        <v>394</v>
      </c>
      <c r="C723" s="2026" t="s">
        <v>872</v>
      </c>
      <c r="D723" s="2035"/>
      <c r="E723" s="1556"/>
      <c r="F723" s="2058"/>
      <c r="G723" s="2043"/>
      <c r="H723" s="2041"/>
    </row>
    <row r="724" spans="2:16" x14ac:dyDescent="0.3">
      <c r="B724" s="2035"/>
      <c r="C724" s="2027" t="s">
        <v>1183</v>
      </c>
      <c r="D724" s="2027"/>
      <c r="E724" s="1556" t="s">
        <v>27</v>
      </c>
      <c r="F724" s="2058">
        <v>1.2</v>
      </c>
      <c r="G724" s="2043">
        <f>'UB mep'!J57</f>
        <v>112000</v>
      </c>
      <c r="H724" s="2041">
        <f>+F724*G724</f>
        <v>134400</v>
      </c>
    </row>
    <row r="725" spans="2:16" x14ac:dyDescent="0.3">
      <c r="B725" s="2023"/>
      <c r="C725" s="2027" t="s">
        <v>90</v>
      </c>
      <c r="D725" s="2027"/>
      <c r="E725" s="1556" t="s">
        <v>91</v>
      </c>
      <c r="F725" s="1557">
        <v>0.35</v>
      </c>
      <c r="G725" s="2043">
        <f>+G724</f>
        <v>112000</v>
      </c>
      <c r="H725" s="2041">
        <f>+F725*G725</f>
        <v>39200</v>
      </c>
    </row>
    <row r="726" spans="2:16" x14ac:dyDescent="0.3">
      <c r="B726" s="2026"/>
      <c r="C726" s="2027"/>
      <c r="D726" s="2027"/>
      <c r="E726" s="1556"/>
      <c r="F726" s="2044"/>
      <c r="G726" s="2045" t="s">
        <v>59</v>
      </c>
      <c r="H726" s="2041">
        <f>SUM(H724:H725)</f>
        <v>173600</v>
      </c>
    </row>
    <row r="727" spans="2:16" x14ac:dyDescent="0.3">
      <c r="B727" s="2023" t="s">
        <v>411</v>
      </c>
      <c r="C727" s="2046" t="s">
        <v>60</v>
      </c>
      <c r="D727" s="2027"/>
      <c r="E727" s="1556"/>
      <c r="F727" s="2044"/>
      <c r="G727" s="2047"/>
      <c r="H727" s="2047"/>
    </row>
    <row r="728" spans="2:16" x14ac:dyDescent="0.3">
      <c r="B728" s="2026"/>
      <c r="C728" s="2027"/>
      <c r="D728" s="2027"/>
      <c r="E728" s="1556"/>
      <c r="F728" s="2044"/>
      <c r="G728" s="2045" t="s">
        <v>61</v>
      </c>
      <c r="H728" s="2041">
        <v>0</v>
      </c>
    </row>
    <row r="729" spans="2:16" x14ac:dyDescent="0.3">
      <c r="B729" s="1556" t="s">
        <v>6</v>
      </c>
      <c r="C729" s="2027" t="s">
        <v>875</v>
      </c>
      <c r="D729" s="2027"/>
      <c r="E729" s="2028"/>
      <c r="F729" s="1556"/>
      <c r="G729" s="1556"/>
      <c r="H729" s="2047">
        <f>+H728+H726+H722</f>
        <v>244800</v>
      </c>
    </row>
    <row r="730" spans="2:16" x14ac:dyDescent="0.3">
      <c r="B730" s="1974" t="s">
        <v>7</v>
      </c>
      <c r="C730" s="1555" t="s">
        <v>100</v>
      </c>
      <c r="D730" s="1553"/>
      <c r="E730" s="1980"/>
      <c r="F730" s="1976"/>
      <c r="G730" s="2004">
        <v>0</v>
      </c>
      <c r="H730" s="1981">
        <f>H729*J715</f>
        <v>0</v>
      </c>
    </row>
    <row r="731" spans="2:16" x14ac:dyDescent="0.3">
      <c r="B731" s="1976" t="s">
        <v>63</v>
      </c>
      <c r="C731" s="1553" t="s">
        <v>877</v>
      </c>
      <c r="D731" s="1553"/>
      <c r="E731" s="1980"/>
      <c r="F731" s="1976"/>
      <c r="G731" s="1976"/>
      <c r="H731" s="1981">
        <f>+H729+H730</f>
        <v>244800</v>
      </c>
    </row>
    <row r="732" spans="2:16" x14ac:dyDescent="0.3">
      <c r="B732" s="1553"/>
      <c r="C732" s="1554" t="s">
        <v>878</v>
      </c>
      <c r="D732" s="1555"/>
      <c r="E732" s="1555"/>
      <c r="F732" s="1555"/>
      <c r="G732" s="1555"/>
      <c r="H732" s="2005">
        <f>ROUNDDOWN(H731,2)</f>
        <v>244800</v>
      </c>
    </row>
    <row r="733" spans="2:16" x14ac:dyDescent="0.3">
      <c r="D733" s="2063"/>
      <c r="E733" s="2064"/>
      <c r="F733" s="2021"/>
      <c r="G733" s="2065"/>
      <c r="H733" s="2066"/>
    </row>
    <row r="734" spans="2:16" x14ac:dyDescent="0.3">
      <c r="B734" s="2026" t="s">
        <v>1184</v>
      </c>
      <c r="C734" s="2026" t="s">
        <v>1185</v>
      </c>
      <c r="D734" s="2027"/>
      <c r="E734" s="2028"/>
      <c r="F734" s="1556"/>
      <c r="G734" s="1556"/>
      <c r="H734" s="2029"/>
    </row>
    <row r="735" spans="2:16" s="1976" customFormat="1" ht="15.95" customHeight="1" x14ac:dyDescent="0.3">
      <c r="B735" s="1982" t="s">
        <v>12</v>
      </c>
      <c r="C735" s="1982" t="s">
        <v>36</v>
      </c>
      <c r="D735" s="1982" t="s">
        <v>37</v>
      </c>
      <c r="E735" s="1983" t="s">
        <v>184</v>
      </c>
      <c r="F735" s="1984" t="s">
        <v>868</v>
      </c>
      <c r="G735" s="1983" t="s">
        <v>1063</v>
      </c>
      <c r="H735" s="1983" t="s">
        <v>40</v>
      </c>
      <c r="I735" s="1985"/>
      <c r="J735" s="1986"/>
      <c r="K735" s="1986"/>
      <c r="L735" s="1986"/>
      <c r="M735" s="1986"/>
      <c r="N735" s="1987"/>
      <c r="O735" s="1988"/>
      <c r="P735" s="1989"/>
    </row>
    <row r="736" spans="2:16" x14ac:dyDescent="0.3">
      <c r="B736" s="2035" t="s">
        <v>368</v>
      </c>
      <c r="C736" s="2036" t="s">
        <v>42</v>
      </c>
      <c r="D736" s="2035"/>
      <c r="E736" s="2037"/>
      <c r="F736" s="2038"/>
      <c r="G736" s="2037"/>
      <c r="H736" s="2037"/>
    </row>
    <row r="737" spans="2:8" x14ac:dyDescent="0.3">
      <c r="B737" s="2035"/>
      <c r="C737" s="2027" t="s">
        <v>71</v>
      </c>
      <c r="D737" s="2039" t="str">
        <f>+[63]UP_BHN_2017!$H$7</f>
        <v>L.01</v>
      </c>
      <c r="E737" s="1556" t="s">
        <v>618</v>
      </c>
      <c r="F737" s="2057">
        <v>0.25</v>
      </c>
      <c r="G737" s="1995">
        <f>G718</f>
        <v>115000</v>
      </c>
      <c r="H737" s="2041">
        <f>F737*G737</f>
        <v>28750</v>
      </c>
    </row>
    <row r="738" spans="2:8" x14ac:dyDescent="0.3">
      <c r="B738" s="2035"/>
      <c r="C738" s="2027" t="s">
        <v>1076</v>
      </c>
      <c r="D738" s="2039" t="str">
        <f>+[63]UP_BHN_2017!$H$8</f>
        <v>L.02</v>
      </c>
      <c r="E738" s="1556" t="s">
        <v>618</v>
      </c>
      <c r="F738" s="2057">
        <v>0.25</v>
      </c>
      <c r="G738" s="1995">
        <f>G719</f>
        <v>170000</v>
      </c>
      <c r="H738" s="2041">
        <f>F738*G738</f>
        <v>42500</v>
      </c>
    </row>
    <row r="739" spans="2:8" x14ac:dyDescent="0.3">
      <c r="B739" s="2035"/>
      <c r="C739" s="2027" t="s">
        <v>605</v>
      </c>
      <c r="D739" s="2039" t="str">
        <f>+[63]UP_BHN_2017!$H$9</f>
        <v>L.03</v>
      </c>
      <c r="E739" s="1556" t="s">
        <v>618</v>
      </c>
      <c r="F739" s="2057">
        <v>0.1</v>
      </c>
      <c r="G739" s="1995">
        <f>G720</f>
        <v>185000</v>
      </c>
      <c r="H739" s="2041">
        <f>F739*G739</f>
        <v>18500</v>
      </c>
    </row>
    <row r="740" spans="2:8" x14ac:dyDescent="0.3">
      <c r="B740" s="2035"/>
      <c r="C740" s="2027" t="s">
        <v>50</v>
      </c>
      <c r="D740" s="2039" t="str">
        <f>+[63]UP_BHN_2017!$H$17</f>
        <v>L.04</v>
      </c>
      <c r="E740" s="1556" t="s">
        <v>618</v>
      </c>
      <c r="F740" s="2057">
        <v>0.1</v>
      </c>
      <c r="G740" s="1995">
        <f>G721</f>
        <v>200000</v>
      </c>
      <c r="H740" s="2041">
        <f>F740*G740</f>
        <v>20000</v>
      </c>
    </row>
    <row r="741" spans="2:8" x14ac:dyDescent="0.3">
      <c r="B741" s="2035"/>
      <c r="C741" s="2027"/>
      <c r="D741" s="2035"/>
      <c r="E741" s="1556"/>
      <c r="F741" s="2058"/>
      <c r="G741" s="2042" t="s">
        <v>52</v>
      </c>
      <c r="H741" s="2041">
        <f>SUM(H737:H740)</f>
        <v>109750</v>
      </c>
    </row>
    <row r="742" spans="2:8" x14ac:dyDescent="0.3">
      <c r="B742" s="2035" t="s">
        <v>394</v>
      </c>
      <c r="C742" s="2026" t="s">
        <v>872</v>
      </c>
      <c r="D742" s="2035"/>
      <c r="E742" s="1556"/>
      <c r="F742" s="2058"/>
      <c r="G742" s="2043"/>
      <c r="H742" s="2041"/>
    </row>
    <row r="743" spans="2:8" x14ac:dyDescent="0.3">
      <c r="B743" s="2035"/>
      <c r="C743" s="2027" t="s">
        <v>1186</v>
      </c>
      <c r="D743" s="2027"/>
      <c r="E743" s="1556" t="s">
        <v>27</v>
      </c>
      <c r="F743" s="2058">
        <v>1.2</v>
      </c>
      <c r="G743" s="2043">
        <f>'UB mep'!J58</f>
        <v>250000</v>
      </c>
      <c r="H743" s="2041">
        <f>+F743*G743</f>
        <v>300000</v>
      </c>
    </row>
    <row r="744" spans="2:8" x14ac:dyDescent="0.3">
      <c r="B744" s="2023"/>
      <c r="C744" s="2027" t="s">
        <v>90</v>
      </c>
      <c r="D744" s="2027"/>
      <c r="E744" s="1556" t="s">
        <v>91</v>
      </c>
      <c r="F744" s="1557">
        <v>0.35</v>
      </c>
      <c r="G744" s="2043">
        <f>+G743</f>
        <v>250000</v>
      </c>
      <c r="H744" s="2041">
        <f>+F744*G744</f>
        <v>87500</v>
      </c>
    </row>
    <row r="745" spans="2:8" x14ac:dyDescent="0.3">
      <c r="B745" s="2026"/>
      <c r="C745" s="2027"/>
      <c r="D745" s="2027"/>
      <c r="E745" s="1556"/>
      <c r="F745" s="2044"/>
      <c r="G745" s="2045" t="s">
        <v>59</v>
      </c>
      <c r="H745" s="2041">
        <f>SUM(H743:H744)</f>
        <v>387500</v>
      </c>
    </row>
    <row r="746" spans="2:8" x14ac:dyDescent="0.3">
      <c r="B746" s="2023" t="s">
        <v>411</v>
      </c>
      <c r="C746" s="2046" t="s">
        <v>60</v>
      </c>
      <c r="D746" s="2027"/>
      <c r="E746" s="1556"/>
      <c r="F746" s="2044"/>
      <c r="G746" s="2047"/>
      <c r="H746" s="2047"/>
    </row>
    <row r="747" spans="2:8" x14ac:dyDescent="0.3">
      <c r="B747" s="2026"/>
      <c r="C747" s="2027"/>
      <c r="D747" s="2027"/>
      <c r="E747" s="1556"/>
      <c r="F747" s="2044"/>
      <c r="G747" s="2045" t="s">
        <v>61</v>
      </c>
      <c r="H747" s="2041">
        <v>0</v>
      </c>
    </row>
    <row r="748" spans="2:8" x14ac:dyDescent="0.3">
      <c r="B748" s="1556" t="s">
        <v>6</v>
      </c>
      <c r="C748" s="2027" t="s">
        <v>875</v>
      </c>
      <c r="D748" s="2027"/>
      <c r="E748" s="2028"/>
      <c r="F748" s="1556"/>
      <c r="G748" s="1556"/>
      <c r="H748" s="2047">
        <f>+H747+H745+H741</f>
        <v>497250</v>
      </c>
    </row>
    <row r="749" spans="2:8" x14ac:dyDescent="0.3">
      <c r="B749" s="1974" t="s">
        <v>7</v>
      </c>
      <c r="C749" s="1555" t="s">
        <v>100</v>
      </c>
      <c r="D749" s="1553"/>
      <c r="E749" s="1980"/>
      <c r="F749" s="1976"/>
      <c r="G749" s="2004">
        <v>0</v>
      </c>
      <c r="H749" s="1981">
        <f>H748*J734</f>
        <v>0</v>
      </c>
    </row>
    <row r="750" spans="2:8" x14ac:dyDescent="0.3">
      <c r="B750" s="1976" t="s">
        <v>63</v>
      </c>
      <c r="C750" s="1553" t="s">
        <v>877</v>
      </c>
      <c r="D750" s="1553"/>
      <c r="E750" s="1980"/>
      <c r="F750" s="1976"/>
      <c r="G750" s="1976"/>
      <c r="H750" s="1981">
        <f>+H748+H749</f>
        <v>497250</v>
      </c>
    </row>
    <row r="751" spans="2:8" x14ac:dyDescent="0.3">
      <c r="B751" s="1553"/>
      <c r="C751" s="1554" t="s">
        <v>878</v>
      </c>
      <c r="D751" s="1555"/>
      <c r="E751" s="1555"/>
      <c r="F751" s="1555"/>
      <c r="G751" s="1555"/>
      <c r="H751" s="2005">
        <f>ROUNDDOWN(H750,2)</f>
        <v>497250</v>
      </c>
    </row>
    <row r="754" spans="2:8" hidden="1" x14ac:dyDescent="0.3">
      <c r="B754" s="2021" t="s">
        <v>1187</v>
      </c>
      <c r="C754" s="2053" t="s">
        <v>1188</v>
      </c>
      <c r="D754" s="2021"/>
      <c r="E754" s="2049"/>
      <c r="G754" s="2050"/>
      <c r="H754" s="2051"/>
    </row>
    <row r="755" spans="2:8" ht="15.75" hidden="1" customHeight="1" x14ac:dyDescent="0.3">
      <c r="B755" s="3161" t="s">
        <v>12</v>
      </c>
      <c r="C755" s="3161"/>
      <c r="D755" s="3161" t="s">
        <v>37</v>
      </c>
      <c r="E755" s="3162" t="s">
        <v>184</v>
      </c>
      <c r="F755" s="3163" t="s">
        <v>868</v>
      </c>
      <c r="G755" s="3162" t="s">
        <v>964</v>
      </c>
      <c r="H755" s="3162" t="s">
        <v>870</v>
      </c>
    </row>
    <row r="756" spans="2:8" hidden="1" x14ac:dyDescent="0.3">
      <c r="B756" s="3161"/>
      <c r="C756" s="3161"/>
      <c r="D756" s="3161"/>
      <c r="E756" s="3162"/>
      <c r="F756" s="3163"/>
      <c r="G756" s="3162"/>
      <c r="H756" s="3162"/>
    </row>
    <row r="757" spans="2:8" hidden="1" x14ac:dyDescent="0.3">
      <c r="B757" s="2067" t="s">
        <v>368</v>
      </c>
      <c r="C757" s="2068" t="s">
        <v>42</v>
      </c>
      <c r="D757" s="2067"/>
      <c r="E757" s="2069"/>
      <c r="F757" s="2070"/>
      <c r="G757" s="2069"/>
      <c r="H757" s="2069"/>
    </row>
    <row r="758" spans="2:8" hidden="1" x14ac:dyDescent="0.3">
      <c r="B758" s="2067"/>
      <c r="C758" s="2021" t="s">
        <v>71</v>
      </c>
      <c r="D758" s="2071" t="str">
        <f>+[63]UP_BHN_2017!$H$7</f>
        <v>L.01</v>
      </c>
      <c r="E758" s="2050" t="s">
        <v>618</v>
      </c>
      <c r="F758" s="2072">
        <v>0.15</v>
      </c>
      <c r="G758" s="2065">
        <f>G737</f>
        <v>115000</v>
      </c>
      <c r="H758" s="2073">
        <f>F758*G758</f>
        <v>17250</v>
      </c>
    </row>
    <row r="759" spans="2:8" hidden="1" x14ac:dyDescent="0.3">
      <c r="B759" s="2067"/>
      <c r="C759" s="2021" t="s">
        <v>1076</v>
      </c>
      <c r="D759" s="2071" t="str">
        <f>+[63]UP_BHN_2017!$H$8</f>
        <v>L.02</v>
      </c>
      <c r="E759" s="2050" t="s">
        <v>618</v>
      </c>
      <c r="F759" s="2072">
        <v>0.1</v>
      </c>
      <c r="G759" s="2065">
        <f>G738</f>
        <v>170000</v>
      </c>
      <c r="H759" s="2073">
        <f>F759*G759</f>
        <v>17000</v>
      </c>
    </row>
    <row r="760" spans="2:8" hidden="1" x14ac:dyDescent="0.3">
      <c r="B760" s="2067"/>
      <c r="C760" s="2021" t="s">
        <v>605</v>
      </c>
      <c r="D760" s="2071" t="str">
        <f>+[63]UP_BHN_2017!$H$9</f>
        <v>L.03</v>
      </c>
      <c r="E760" s="2050" t="s">
        <v>618</v>
      </c>
      <c r="F760" s="2072">
        <v>7.0000000000000001E-3</v>
      </c>
      <c r="G760" s="2065">
        <f>G739</f>
        <v>185000</v>
      </c>
      <c r="H760" s="2073">
        <f>F760*G760</f>
        <v>1295</v>
      </c>
    </row>
    <row r="761" spans="2:8" hidden="1" x14ac:dyDescent="0.3">
      <c r="B761" s="2067"/>
      <c r="C761" s="2021" t="s">
        <v>50</v>
      </c>
      <c r="D761" s="2071" t="str">
        <f>+[63]UP_BHN_2017!$H$17</f>
        <v>L.04</v>
      </c>
      <c r="E761" s="2050" t="s">
        <v>618</v>
      </c>
      <c r="F761" s="2072">
        <v>7.0000000000000001E-3</v>
      </c>
      <c r="G761" s="2065">
        <f>G740</f>
        <v>200000</v>
      </c>
      <c r="H761" s="2073">
        <f>F761*G761</f>
        <v>1400</v>
      </c>
    </row>
    <row r="762" spans="2:8" hidden="1" x14ac:dyDescent="0.3">
      <c r="B762" s="2067"/>
      <c r="D762" s="2067"/>
      <c r="E762" s="2050"/>
      <c r="F762" s="2074"/>
      <c r="G762" s="2075" t="s">
        <v>52</v>
      </c>
      <c r="H762" s="2073">
        <f>SUM(H758:H761)</f>
        <v>36945</v>
      </c>
    </row>
    <row r="763" spans="2:8" hidden="1" x14ac:dyDescent="0.3">
      <c r="B763" s="2067" t="s">
        <v>394</v>
      </c>
      <c r="C763" s="2053" t="s">
        <v>872</v>
      </c>
      <c r="D763" s="2067"/>
      <c r="E763" s="2050"/>
      <c r="F763" s="2074"/>
      <c r="G763" s="2076"/>
      <c r="H763" s="2073"/>
    </row>
    <row r="764" spans="2:8" hidden="1" x14ac:dyDescent="0.3">
      <c r="B764" s="2067"/>
      <c r="C764" s="2021" t="s">
        <v>1186</v>
      </c>
      <c r="D764" s="2021"/>
      <c r="E764" s="2050" t="s">
        <v>27</v>
      </c>
      <c r="F764" s="2074">
        <v>1.2</v>
      </c>
      <c r="G764" s="2076">
        <f>'[64]UB mep'!I68</f>
        <v>15500</v>
      </c>
      <c r="H764" s="2073">
        <f>+F764*G764</f>
        <v>18600</v>
      </c>
    </row>
    <row r="765" spans="2:8" hidden="1" x14ac:dyDescent="0.3">
      <c r="B765" s="2048"/>
      <c r="C765" s="2021" t="s">
        <v>90</v>
      </c>
      <c r="D765" s="2021"/>
      <c r="E765" s="2050" t="s">
        <v>91</v>
      </c>
      <c r="F765" s="2077">
        <v>0.35</v>
      </c>
      <c r="G765" s="2076">
        <f>+G764</f>
        <v>15500</v>
      </c>
      <c r="H765" s="2073">
        <f>+F765*G765</f>
        <v>5425</v>
      </c>
    </row>
    <row r="766" spans="2:8" hidden="1" x14ac:dyDescent="0.3">
      <c r="B766" s="2053"/>
      <c r="D766" s="2021"/>
      <c r="E766" s="2050"/>
      <c r="F766" s="2078"/>
      <c r="G766" s="2079" t="s">
        <v>59</v>
      </c>
      <c r="H766" s="2073">
        <f>SUM(H764:H765)</f>
        <v>24025</v>
      </c>
    </row>
    <row r="767" spans="2:8" hidden="1" x14ac:dyDescent="0.3">
      <c r="B767" s="2048" t="s">
        <v>411</v>
      </c>
      <c r="C767" s="2052" t="s">
        <v>60</v>
      </c>
      <c r="D767" s="2021"/>
      <c r="E767" s="2050"/>
      <c r="F767" s="2078"/>
      <c r="G767" s="2080"/>
      <c r="H767" s="2080"/>
    </row>
    <row r="768" spans="2:8" hidden="1" x14ac:dyDescent="0.3">
      <c r="B768" s="2048"/>
      <c r="C768" s="2052"/>
      <c r="D768" s="2021"/>
      <c r="E768" s="2050"/>
      <c r="F768" s="2078"/>
      <c r="G768" s="2080"/>
      <c r="H768" s="2080"/>
    </row>
    <row r="769" spans="2:8" hidden="1" x14ac:dyDescent="0.3">
      <c r="B769" s="2053"/>
      <c r="D769" s="2021"/>
      <c r="E769" s="2050"/>
      <c r="F769" s="2078"/>
      <c r="G769" s="2079" t="s">
        <v>61</v>
      </c>
      <c r="H769" s="2073">
        <v>0</v>
      </c>
    </row>
    <row r="770" spans="2:8" hidden="1" x14ac:dyDescent="0.3">
      <c r="B770" s="2050" t="s">
        <v>6</v>
      </c>
      <c r="C770" s="2021" t="s">
        <v>875</v>
      </c>
      <c r="D770" s="2021"/>
      <c r="E770" s="2049"/>
      <c r="G770" s="2050"/>
      <c r="H770" s="2080">
        <f>+H769+H766+H762</f>
        <v>60970</v>
      </c>
    </row>
    <row r="771" spans="2:8" hidden="1" x14ac:dyDescent="0.3">
      <c r="B771" s="2048" t="s">
        <v>7</v>
      </c>
      <c r="C771" s="2053" t="s">
        <v>876</v>
      </c>
      <c r="D771" s="2021"/>
      <c r="E771" s="2049"/>
      <c r="G771" s="2050"/>
      <c r="H771" s="2051">
        <f>+H770*15%</f>
        <v>9145.5</v>
      </c>
    </row>
    <row r="772" spans="2:8" hidden="1" x14ac:dyDescent="0.3">
      <c r="B772" s="2050" t="s">
        <v>63</v>
      </c>
      <c r="C772" s="2021" t="s">
        <v>877</v>
      </c>
      <c r="D772" s="2021"/>
      <c r="E772" s="2049"/>
      <c r="G772" s="2050"/>
      <c r="H772" s="2051">
        <f>+H770+H771</f>
        <v>70115.5</v>
      </c>
    </row>
    <row r="773" spans="2:8" hidden="1" x14ac:dyDescent="0.3">
      <c r="C773" s="2052" t="s">
        <v>878</v>
      </c>
      <c r="D773" s="2053"/>
      <c r="E773" s="2053"/>
      <c r="F773" s="2053"/>
      <c r="G773" s="2053"/>
      <c r="H773" s="2054">
        <f>ROUNDDOWN(H772,0)</f>
        <v>70115</v>
      </c>
    </row>
    <row r="774" spans="2:8" hidden="1" x14ac:dyDescent="0.3"/>
    <row r="775" spans="2:8" hidden="1" x14ac:dyDescent="0.3"/>
    <row r="776" spans="2:8" hidden="1" x14ac:dyDescent="0.3">
      <c r="B776" s="2021" t="s">
        <v>1189</v>
      </c>
      <c r="C776" s="2053" t="s">
        <v>1215</v>
      </c>
      <c r="D776" s="2021"/>
      <c r="E776" s="2049"/>
      <c r="G776" s="2050"/>
      <c r="H776" s="2051"/>
    </row>
    <row r="777" spans="2:8" ht="15.75" hidden="1" customHeight="1" x14ac:dyDescent="0.3">
      <c r="B777" s="3161" t="s">
        <v>12</v>
      </c>
      <c r="C777" s="3161"/>
      <c r="D777" s="3161" t="s">
        <v>37</v>
      </c>
      <c r="E777" s="3162" t="s">
        <v>184</v>
      </c>
      <c r="F777" s="3163" t="s">
        <v>868</v>
      </c>
      <c r="G777" s="3162" t="s">
        <v>964</v>
      </c>
      <c r="H777" s="3162" t="s">
        <v>870</v>
      </c>
    </row>
    <row r="778" spans="2:8" hidden="1" x14ac:dyDescent="0.3">
      <c r="B778" s="3161"/>
      <c r="C778" s="3161"/>
      <c r="D778" s="3161"/>
      <c r="E778" s="3162"/>
      <c r="F778" s="3163"/>
      <c r="G778" s="3162"/>
      <c r="H778" s="3162"/>
    </row>
    <row r="779" spans="2:8" hidden="1" x14ac:dyDescent="0.3">
      <c r="B779" s="2067" t="s">
        <v>368</v>
      </c>
      <c r="C779" s="2068" t="s">
        <v>42</v>
      </c>
      <c r="D779" s="2067"/>
      <c r="E779" s="2069"/>
      <c r="F779" s="2070"/>
      <c r="G779" s="2069"/>
      <c r="H779" s="2069"/>
    </row>
    <row r="780" spans="2:8" hidden="1" x14ac:dyDescent="0.3">
      <c r="B780" s="2067"/>
      <c r="C780" s="2021" t="s">
        <v>71</v>
      </c>
      <c r="D780" s="2071" t="str">
        <f>+[63]UP_BHN_2017!$H$7</f>
        <v>L.01</v>
      </c>
      <c r="E780" s="2050" t="s">
        <v>618</v>
      </c>
      <c r="F780" s="2083">
        <v>2</v>
      </c>
      <c r="G780" s="2065">
        <f>G737</f>
        <v>115000</v>
      </c>
      <c r="H780" s="2073">
        <f>F780*G780</f>
        <v>230000</v>
      </c>
    </row>
    <row r="781" spans="2:8" hidden="1" x14ac:dyDescent="0.3">
      <c r="B781" s="2067"/>
      <c r="C781" s="2021" t="s">
        <v>1076</v>
      </c>
      <c r="D781" s="2071" t="str">
        <f>+[63]UP_BHN_2017!$H$8</f>
        <v>L.02</v>
      </c>
      <c r="E781" s="2050" t="s">
        <v>618</v>
      </c>
      <c r="F781" s="2083">
        <v>2</v>
      </c>
      <c r="G781" s="2065">
        <f>G738</f>
        <v>170000</v>
      </c>
      <c r="H781" s="2073">
        <f>F781*G781</f>
        <v>340000</v>
      </c>
    </row>
    <row r="782" spans="2:8" hidden="1" x14ac:dyDescent="0.3">
      <c r="B782" s="2067"/>
      <c r="C782" s="2021" t="s">
        <v>605</v>
      </c>
      <c r="D782" s="2071" t="str">
        <f>+[63]UP_BHN_2017!$H$9</f>
        <v>L.03</v>
      </c>
      <c r="E782" s="2050" t="s">
        <v>618</v>
      </c>
      <c r="F782" s="2083">
        <v>2</v>
      </c>
      <c r="G782" s="2065">
        <f>G739</f>
        <v>185000</v>
      </c>
      <c r="H782" s="2073">
        <f>F782*G782</f>
        <v>370000</v>
      </c>
    </row>
    <row r="783" spans="2:8" hidden="1" x14ac:dyDescent="0.3">
      <c r="B783" s="2067"/>
      <c r="C783" s="2021" t="s">
        <v>50</v>
      </c>
      <c r="D783" s="2071" t="str">
        <f>+[63]UP_BHN_2017!$H$17</f>
        <v>L.04</v>
      </c>
      <c r="E783" s="2050" t="s">
        <v>618</v>
      </c>
      <c r="F783" s="2083">
        <v>2</v>
      </c>
      <c r="G783" s="2065">
        <f>G740</f>
        <v>200000</v>
      </c>
      <c r="H783" s="2073">
        <f>F783*G783</f>
        <v>400000</v>
      </c>
    </row>
    <row r="784" spans="2:8" hidden="1" x14ac:dyDescent="0.3">
      <c r="B784" s="2067"/>
      <c r="D784" s="2067"/>
      <c r="E784" s="2050"/>
      <c r="F784" s="2049"/>
      <c r="G784" s="2075" t="s">
        <v>52</v>
      </c>
      <c r="H784" s="2073">
        <f>SUM(H780:H783)</f>
        <v>1340000</v>
      </c>
    </row>
    <row r="785" spans="2:8" hidden="1" x14ac:dyDescent="0.3">
      <c r="B785" s="2067" t="s">
        <v>394</v>
      </c>
      <c r="C785" s="2053" t="s">
        <v>872</v>
      </c>
      <c r="D785" s="2067"/>
      <c r="E785" s="2050"/>
      <c r="F785" s="2049"/>
      <c r="G785" s="2076"/>
      <c r="H785" s="2073"/>
    </row>
    <row r="786" spans="2:8" hidden="1" x14ac:dyDescent="0.3">
      <c r="B786" s="2048"/>
      <c r="C786" s="2021" t="s">
        <v>1190</v>
      </c>
      <c r="D786" s="2021"/>
      <c r="E786" s="2050" t="s">
        <v>32</v>
      </c>
      <c r="F786" s="2049">
        <v>1</v>
      </c>
      <c r="G786" s="2076" t="e">
        <f>'[64]UB mep'!#REF!</f>
        <v>#REF!</v>
      </c>
      <c r="H786" s="2073" t="e">
        <f>F786*G786</f>
        <v>#REF!</v>
      </c>
    </row>
    <row r="787" spans="2:8" hidden="1" x14ac:dyDescent="0.3">
      <c r="B787" s="2053"/>
      <c r="C787" s="2021" t="s">
        <v>131</v>
      </c>
      <c r="D787" s="2021"/>
      <c r="E787" s="2050" t="s">
        <v>91</v>
      </c>
      <c r="F787" s="2077">
        <v>2.5000000000000001E-2</v>
      </c>
      <c r="G787" s="2076" t="e">
        <f>+G786</f>
        <v>#REF!</v>
      </c>
      <c r="H787" s="2073" t="e">
        <f>+F787*G787</f>
        <v>#REF!</v>
      </c>
    </row>
    <row r="788" spans="2:8" hidden="1" x14ac:dyDescent="0.3">
      <c r="B788" s="2053"/>
      <c r="D788" s="2021"/>
      <c r="E788" s="2050"/>
      <c r="F788" s="2078"/>
      <c r="G788" s="2079" t="s">
        <v>59</v>
      </c>
      <c r="H788" s="2073" t="e">
        <f>SUM(H786:H787)</f>
        <v>#REF!</v>
      </c>
    </row>
    <row r="789" spans="2:8" hidden="1" x14ac:dyDescent="0.3">
      <c r="B789" s="2048" t="s">
        <v>411</v>
      </c>
      <c r="C789" s="2052" t="s">
        <v>1191</v>
      </c>
      <c r="D789" s="2021"/>
      <c r="E789" s="2050"/>
      <c r="F789" s="2078"/>
      <c r="G789" s="2080"/>
      <c r="H789" s="2080">
        <v>5000000</v>
      </c>
    </row>
    <row r="790" spans="2:8" hidden="1" x14ac:dyDescent="0.3">
      <c r="B790" s="2048"/>
      <c r="C790" s="2052"/>
      <c r="D790" s="2021"/>
      <c r="E790" s="2050"/>
      <c r="F790" s="2078"/>
      <c r="G790" s="2080"/>
      <c r="H790" s="2080"/>
    </row>
    <row r="791" spans="2:8" hidden="1" x14ac:dyDescent="0.3">
      <c r="B791" s="2053"/>
      <c r="D791" s="2021"/>
      <c r="E791" s="2050"/>
      <c r="F791" s="2078"/>
      <c r="G791" s="2079" t="s">
        <v>61</v>
      </c>
      <c r="H791" s="2073">
        <f>SUM(H789:H790)</f>
        <v>5000000</v>
      </c>
    </row>
    <row r="792" spans="2:8" hidden="1" x14ac:dyDescent="0.3">
      <c r="B792" s="2050" t="s">
        <v>6</v>
      </c>
      <c r="C792" s="2021" t="s">
        <v>875</v>
      </c>
      <c r="D792" s="2021"/>
      <c r="E792" s="2049"/>
      <c r="G792" s="2050"/>
      <c r="H792" s="2080" t="e">
        <f>H791+H788+H784</f>
        <v>#REF!</v>
      </c>
    </row>
    <row r="793" spans="2:8" hidden="1" x14ac:dyDescent="0.3">
      <c r="B793" s="2048" t="s">
        <v>7</v>
      </c>
      <c r="C793" s="2053" t="s">
        <v>876</v>
      </c>
      <c r="D793" s="2021"/>
      <c r="E793" s="2049"/>
      <c r="G793" s="2050"/>
      <c r="H793" s="2051" t="e">
        <f>H792*10%</f>
        <v>#REF!</v>
      </c>
    </row>
    <row r="794" spans="2:8" hidden="1" x14ac:dyDescent="0.3">
      <c r="B794" s="2050" t="s">
        <v>63</v>
      </c>
      <c r="C794" s="2021" t="s">
        <v>877</v>
      </c>
      <c r="D794" s="2021"/>
      <c r="E794" s="2049"/>
      <c r="G794" s="2050"/>
      <c r="H794" s="2051" t="e">
        <f>+H792+H793</f>
        <v>#REF!</v>
      </c>
    </row>
    <row r="795" spans="2:8" hidden="1" x14ac:dyDescent="0.3">
      <c r="C795" s="2052" t="s">
        <v>878</v>
      </c>
      <c r="D795" s="2053"/>
      <c r="E795" s="2053"/>
      <c r="F795" s="2053"/>
      <c r="G795" s="2053"/>
      <c r="H795" s="2054" t="e">
        <f>ROUNDDOWN(H794,-3)</f>
        <v>#REF!</v>
      </c>
    </row>
    <row r="796" spans="2:8" hidden="1" x14ac:dyDescent="0.3"/>
    <row r="797" spans="2:8" hidden="1" x14ac:dyDescent="0.3"/>
    <row r="798" spans="2:8" hidden="1" x14ac:dyDescent="0.3">
      <c r="B798" s="2021" t="s">
        <v>1192</v>
      </c>
      <c r="C798" s="2053" t="s">
        <v>1193</v>
      </c>
      <c r="D798" s="2021"/>
      <c r="E798" s="2049"/>
      <c r="G798" s="2050"/>
      <c r="H798" s="2051"/>
    </row>
    <row r="799" spans="2:8" ht="15.75" hidden="1" customHeight="1" x14ac:dyDescent="0.3">
      <c r="B799" s="3161" t="s">
        <v>12</v>
      </c>
      <c r="C799" s="3161"/>
      <c r="D799" s="3161" t="s">
        <v>37</v>
      </c>
      <c r="E799" s="3162" t="s">
        <v>184</v>
      </c>
      <c r="F799" s="3163" t="s">
        <v>868</v>
      </c>
      <c r="G799" s="3162" t="s">
        <v>964</v>
      </c>
      <c r="H799" s="3162" t="s">
        <v>870</v>
      </c>
    </row>
    <row r="800" spans="2:8" hidden="1" x14ac:dyDescent="0.3">
      <c r="B800" s="3161"/>
      <c r="C800" s="3161"/>
      <c r="D800" s="3161"/>
      <c r="E800" s="3162"/>
      <c r="F800" s="3163"/>
      <c r="G800" s="3162"/>
      <c r="H800" s="3162"/>
    </row>
    <row r="801" spans="2:8" hidden="1" x14ac:dyDescent="0.3">
      <c r="B801" s="2067" t="s">
        <v>368</v>
      </c>
      <c r="C801" s="2068" t="s">
        <v>42</v>
      </c>
      <c r="D801" s="2067"/>
      <c r="E801" s="2069"/>
      <c r="F801" s="2070"/>
      <c r="G801" s="2069"/>
      <c r="H801" s="2069"/>
    </row>
    <row r="802" spans="2:8" hidden="1" x14ac:dyDescent="0.3">
      <c r="B802" s="2067"/>
      <c r="C802" s="2021" t="s">
        <v>71</v>
      </c>
      <c r="D802" s="2071" t="str">
        <f>+[63]UP_BHN_2017!$H$7</f>
        <v>L.01</v>
      </c>
      <c r="E802" s="2050" t="s">
        <v>618</v>
      </c>
      <c r="F802" s="2083">
        <v>1</v>
      </c>
      <c r="G802" s="2065">
        <f>G780</f>
        <v>115000</v>
      </c>
      <c r="H802" s="2073">
        <f>F802*G802</f>
        <v>115000</v>
      </c>
    </row>
    <row r="803" spans="2:8" hidden="1" x14ac:dyDescent="0.3">
      <c r="B803" s="2067"/>
      <c r="C803" s="2021" t="s">
        <v>1076</v>
      </c>
      <c r="D803" s="2071" t="str">
        <f>+[63]UP_BHN_2017!$H$8</f>
        <v>L.02</v>
      </c>
      <c r="E803" s="2050" t="s">
        <v>618</v>
      </c>
      <c r="F803" s="2083">
        <v>1</v>
      </c>
      <c r="G803" s="2065">
        <f>G781</f>
        <v>170000</v>
      </c>
      <c r="H803" s="2073">
        <f>F803*G803</f>
        <v>170000</v>
      </c>
    </row>
    <row r="804" spans="2:8" hidden="1" x14ac:dyDescent="0.3">
      <c r="B804" s="2067"/>
      <c r="C804" s="2021" t="s">
        <v>605</v>
      </c>
      <c r="D804" s="2071" t="str">
        <f>+[63]UP_BHN_2017!$H$9</f>
        <v>L.03</v>
      </c>
      <c r="E804" s="2050" t="s">
        <v>618</v>
      </c>
      <c r="F804" s="2083">
        <v>1</v>
      </c>
      <c r="G804" s="2065">
        <f>G782</f>
        <v>185000</v>
      </c>
      <c r="H804" s="2073">
        <f>F804*G804</f>
        <v>185000</v>
      </c>
    </row>
    <row r="805" spans="2:8" hidden="1" x14ac:dyDescent="0.3">
      <c r="B805" s="2067"/>
      <c r="C805" s="2021" t="s">
        <v>50</v>
      </c>
      <c r="D805" s="2071" t="str">
        <f>+[63]UP_BHN_2017!$H$17</f>
        <v>L.04</v>
      </c>
      <c r="E805" s="2050" t="s">
        <v>618</v>
      </c>
      <c r="F805" s="2083">
        <v>1</v>
      </c>
      <c r="G805" s="2065">
        <f>G783</f>
        <v>200000</v>
      </c>
      <c r="H805" s="2073">
        <f>F805*G805</f>
        <v>200000</v>
      </c>
    </row>
    <row r="806" spans="2:8" hidden="1" x14ac:dyDescent="0.3">
      <c r="B806" s="2067"/>
      <c r="D806" s="2067"/>
      <c r="E806" s="2050"/>
      <c r="F806" s="2049"/>
      <c r="G806" s="2075" t="s">
        <v>52</v>
      </c>
      <c r="H806" s="2073">
        <f>SUM(H802:H805)</f>
        <v>670000</v>
      </c>
    </row>
    <row r="807" spans="2:8" hidden="1" x14ac:dyDescent="0.3">
      <c r="B807" s="2067" t="s">
        <v>394</v>
      </c>
      <c r="C807" s="2053" t="s">
        <v>872</v>
      </c>
      <c r="D807" s="2067"/>
      <c r="E807" s="2050"/>
      <c r="F807" s="2049"/>
      <c r="G807" s="2076"/>
      <c r="H807" s="2073"/>
    </row>
    <row r="808" spans="2:8" hidden="1" x14ac:dyDescent="0.3">
      <c r="B808" s="2048"/>
      <c r="C808" s="2021" t="s">
        <v>1194</v>
      </c>
      <c r="D808" s="2021"/>
      <c r="E808" s="2050" t="s">
        <v>32</v>
      </c>
      <c r="F808" s="2049">
        <v>1</v>
      </c>
      <c r="G808" s="2076" t="e">
        <f>'[64]UB mep'!#REF!</f>
        <v>#REF!</v>
      </c>
      <c r="H808" s="2073" t="e">
        <f>F808*G808</f>
        <v>#REF!</v>
      </c>
    </row>
    <row r="809" spans="2:8" hidden="1" x14ac:dyDescent="0.3">
      <c r="B809" s="2053"/>
      <c r="C809" s="2021" t="s">
        <v>90</v>
      </c>
      <c r="D809" s="2021"/>
      <c r="E809" s="2050" t="s">
        <v>91</v>
      </c>
      <c r="F809" s="2077">
        <v>0.1</v>
      </c>
      <c r="G809" s="2076" t="e">
        <f>+G808</f>
        <v>#REF!</v>
      </c>
      <c r="H809" s="2073" t="e">
        <f>+F809*G809</f>
        <v>#REF!</v>
      </c>
    </row>
    <row r="810" spans="2:8" hidden="1" x14ac:dyDescent="0.3">
      <c r="B810" s="2053"/>
      <c r="D810" s="2021"/>
      <c r="E810" s="2050"/>
      <c r="F810" s="2078"/>
      <c r="G810" s="2079" t="s">
        <v>59</v>
      </c>
      <c r="H810" s="2073" t="e">
        <f>SUM(H808:H809)</f>
        <v>#REF!</v>
      </c>
    </row>
    <row r="811" spans="2:8" hidden="1" x14ac:dyDescent="0.3">
      <c r="B811" s="2048" t="s">
        <v>411</v>
      </c>
      <c r="C811" s="2052" t="s">
        <v>1191</v>
      </c>
      <c r="D811" s="2021"/>
      <c r="E811" s="2050" t="s">
        <v>32</v>
      </c>
      <c r="F811" s="2049">
        <v>1</v>
      </c>
      <c r="G811" s="2076">
        <v>2700000</v>
      </c>
      <c r="H811" s="2073">
        <f>+F811*G811</f>
        <v>2700000</v>
      </c>
    </row>
    <row r="812" spans="2:8" hidden="1" x14ac:dyDescent="0.3">
      <c r="B812" s="2048"/>
      <c r="C812" s="2052"/>
      <c r="D812" s="2021"/>
      <c r="E812" s="2050"/>
      <c r="F812" s="2049"/>
      <c r="G812" s="2076"/>
      <c r="H812" s="2073">
        <f>+F812*G812</f>
        <v>0</v>
      </c>
    </row>
    <row r="813" spans="2:8" hidden="1" x14ac:dyDescent="0.3">
      <c r="B813" s="2053"/>
      <c r="D813" s="2021"/>
      <c r="E813" s="2050"/>
      <c r="F813" s="2078"/>
      <c r="G813" s="2079" t="s">
        <v>61</v>
      </c>
      <c r="H813" s="2073">
        <f>SUM(H811:H812)</f>
        <v>2700000</v>
      </c>
    </row>
    <row r="814" spans="2:8" hidden="1" x14ac:dyDescent="0.3">
      <c r="B814" s="2050" t="s">
        <v>6</v>
      </c>
      <c r="C814" s="2021" t="s">
        <v>875</v>
      </c>
      <c r="D814" s="2021"/>
      <c r="E814" s="2049"/>
      <c r="G814" s="2050"/>
      <c r="H814" s="2080" t="e">
        <f>+H813+H810+H806</f>
        <v>#REF!</v>
      </c>
    </row>
    <row r="815" spans="2:8" hidden="1" x14ac:dyDescent="0.3">
      <c r="B815" s="2048" t="s">
        <v>7</v>
      </c>
      <c r="C815" s="2053" t="s">
        <v>876</v>
      </c>
      <c r="D815" s="2021"/>
      <c r="E815" s="2049"/>
      <c r="G815" s="2050"/>
      <c r="H815" s="2051" t="e">
        <f>H814*10%</f>
        <v>#REF!</v>
      </c>
    </row>
    <row r="816" spans="2:8" hidden="1" x14ac:dyDescent="0.3">
      <c r="B816" s="2050" t="s">
        <v>63</v>
      </c>
      <c r="C816" s="2021" t="s">
        <v>877</v>
      </c>
      <c r="D816" s="2021"/>
      <c r="E816" s="2049"/>
      <c r="G816" s="2050"/>
      <c r="H816" s="2051" t="e">
        <f>+H814+H815</f>
        <v>#REF!</v>
      </c>
    </row>
    <row r="817" spans="2:8" hidden="1" x14ac:dyDescent="0.3">
      <c r="C817" s="2052" t="s">
        <v>878</v>
      </c>
      <c r="D817" s="2053"/>
      <c r="E817" s="2053"/>
      <c r="F817" s="2053"/>
      <c r="G817" s="2053"/>
      <c r="H817" s="2054" t="e">
        <f>ROUNDDOWN(H816,-3)</f>
        <v>#REF!</v>
      </c>
    </row>
    <row r="818" spans="2:8" hidden="1" x14ac:dyDescent="0.3"/>
    <row r="819" spans="2:8" hidden="1" x14ac:dyDescent="0.3"/>
    <row r="820" spans="2:8" hidden="1" x14ac:dyDescent="0.3">
      <c r="B820" s="2021" t="s">
        <v>1195</v>
      </c>
      <c r="C820" s="2053" t="s">
        <v>1196</v>
      </c>
      <c r="D820" s="2021"/>
      <c r="E820" s="2049"/>
      <c r="G820" s="2050"/>
      <c r="H820" s="2051"/>
    </row>
    <row r="821" spans="2:8" ht="15.75" hidden="1" customHeight="1" x14ac:dyDescent="0.3">
      <c r="B821" s="3161" t="s">
        <v>12</v>
      </c>
      <c r="C821" s="3161"/>
      <c r="D821" s="3161" t="s">
        <v>37</v>
      </c>
      <c r="E821" s="3162" t="s">
        <v>184</v>
      </c>
      <c r="F821" s="3163" t="s">
        <v>868</v>
      </c>
      <c r="G821" s="3162" t="s">
        <v>964</v>
      </c>
      <c r="H821" s="3162" t="s">
        <v>870</v>
      </c>
    </row>
    <row r="822" spans="2:8" hidden="1" x14ac:dyDescent="0.3">
      <c r="B822" s="3161"/>
      <c r="C822" s="3161"/>
      <c r="D822" s="3161"/>
      <c r="E822" s="3162"/>
      <c r="F822" s="3163"/>
      <c r="G822" s="3162"/>
      <c r="H822" s="3162"/>
    </row>
    <row r="823" spans="2:8" hidden="1" x14ac:dyDescent="0.3">
      <c r="B823" s="2067" t="s">
        <v>368</v>
      </c>
      <c r="C823" s="2068" t="s">
        <v>42</v>
      </c>
      <c r="D823" s="2067"/>
      <c r="E823" s="2069"/>
      <c r="F823" s="2070"/>
      <c r="G823" s="2069"/>
      <c r="H823" s="2069"/>
    </row>
    <row r="824" spans="2:8" hidden="1" x14ac:dyDescent="0.3">
      <c r="B824" s="2067"/>
      <c r="C824" s="2021" t="s">
        <v>71</v>
      </c>
      <c r="D824" s="2071" t="str">
        <f>+[63]UP_BHN_2017!$H$7</f>
        <v>L.01</v>
      </c>
      <c r="E824" s="2050" t="s">
        <v>618</v>
      </c>
      <c r="F824" s="2072">
        <v>0.3</v>
      </c>
      <c r="G824" s="2065">
        <f>G802</f>
        <v>115000</v>
      </c>
      <c r="H824" s="2073">
        <f>F824*G824</f>
        <v>34500</v>
      </c>
    </row>
    <row r="825" spans="2:8" hidden="1" x14ac:dyDescent="0.3">
      <c r="B825" s="2067"/>
      <c r="C825" s="2021" t="s">
        <v>1076</v>
      </c>
      <c r="D825" s="2071" t="str">
        <f>+[63]UP_BHN_2017!$H$8</f>
        <v>L.02</v>
      </c>
      <c r="E825" s="2050" t="s">
        <v>618</v>
      </c>
      <c r="F825" s="2072">
        <v>0.1</v>
      </c>
      <c r="G825" s="2065">
        <f>G803</f>
        <v>170000</v>
      </c>
      <c r="H825" s="2073">
        <f>F825*G825</f>
        <v>17000</v>
      </c>
    </row>
    <row r="826" spans="2:8" hidden="1" x14ac:dyDescent="0.3">
      <c r="B826" s="2067"/>
      <c r="C826" s="2021" t="s">
        <v>605</v>
      </c>
      <c r="D826" s="2071" t="str">
        <f>+[63]UP_BHN_2017!$H$9</f>
        <v>L.03</v>
      </c>
      <c r="E826" s="2050" t="s">
        <v>618</v>
      </c>
      <c r="F826" s="2072">
        <v>0.02</v>
      </c>
      <c r="G826" s="2065">
        <f>G804</f>
        <v>185000</v>
      </c>
      <c r="H826" s="2073">
        <f>F826*G826</f>
        <v>3700</v>
      </c>
    </row>
    <row r="827" spans="2:8" hidden="1" x14ac:dyDescent="0.3">
      <c r="B827" s="2067"/>
      <c r="C827" s="2021" t="s">
        <v>50</v>
      </c>
      <c r="D827" s="2071" t="str">
        <f>+[63]UP_BHN_2017!$H$17</f>
        <v>L.04</v>
      </c>
      <c r="E827" s="2050" t="s">
        <v>618</v>
      </c>
      <c r="F827" s="2072">
        <v>0.08</v>
      </c>
      <c r="G827" s="2065">
        <f>G805</f>
        <v>200000</v>
      </c>
      <c r="H827" s="2073">
        <f>F827*G827</f>
        <v>16000</v>
      </c>
    </row>
    <row r="828" spans="2:8" hidden="1" x14ac:dyDescent="0.3">
      <c r="B828" s="2067"/>
      <c r="D828" s="2067"/>
      <c r="E828" s="2050"/>
      <c r="F828" s="2074"/>
      <c r="G828" s="2075" t="s">
        <v>52</v>
      </c>
      <c r="H828" s="2073">
        <f>SUM(H824:H827)</f>
        <v>71200</v>
      </c>
    </row>
    <row r="829" spans="2:8" hidden="1" x14ac:dyDescent="0.3">
      <c r="B829" s="2067" t="s">
        <v>394</v>
      </c>
      <c r="C829" s="2053" t="s">
        <v>872</v>
      </c>
      <c r="D829" s="2067"/>
      <c r="E829" s="2050"/>
      <c r="F829" s="2074"/>
      <c r="G829" s="2076"/>
      <c r="H829" s="2073"/>
    </row>
    <row r="830" spans="2:8" hidden="1" x14ac:dyDescent="0.3">
      <c r="B830" s="2067"/>
      <c r="C830" s="2021" t="s">
        <v>1183</v>
      </c>
      <c r="D830" s="2021"/>
      <c r="E830" s="2050" t="s">
        <v>27</v>
      </c>
      <c r="F830" s="2074">
        <v>1.2</v>
      </c>
      <c r="G830" s="2076">
        <f>'[64]UB mep'!I66</f>
        <v>45000</v>
      </c>
      <c r="H830" s="2073">
        <f>+F830*G830</f>
        <v>54000</v>
      </c>
    </row>
    <row r="831" spans="2:8" hidden="1" x14ac:dyDescent="0.3">
      <c r="B831" s="2048"/>
      <c r="C831" s="2021" t="s">
        <v>90</v>
      </c>
      <c r="D831" s="2021"/>
      <c r="E831" s="2050" t="s">
        <v>91</v>
      </c>
      <c r="F831" s="2077">
        <v>0.15</v>
      </c>
      <c r="G831" s="2076">
        <f>+G830</f>
        <v>45000</v>
      </c>
      <c r="H831" s="2073">
        <f>+F831*G831</f>
        <v>6750</v>
      </c>
    </row>
    <row r="832" spans="2:8" hidden="1" x14ac:dyDescent="0.3">
      <c r="B832" s="2053"/>
      <c r="D832" s="2021"/>
      <c r="E832" s="2050"/>
      <c r="F832" s="2078"/>
      <c r="G832" s="2079" t="s">
        <v>59</v>
      </c>
      <c r="H832" s="2073">
        <f>SUM(H830:H831)</f>
        <v>60750</v>
      </c>
    </row>
    <row r="833" spans="2:8" hidden="1" x14ac:dyDescent="0.3">
      <c r="B833" s="2048" t="s">
        <v>411</v>
      </c>
      <c r="C833" s="2052" t="s">
        <v>60</v>
      </c>
      <c r="D833" s="2021"/>
      <c r="E833" s="2050"/>
      <c r="F833" s="2078"/>
      <c r="G833" s="2080"/>
      <c r="H833" s="2080"/>
    </row>
    <row r="834" spans="2:8" hidden="1" x14ac:dyDescent="0.3">
      <c r="B834" s="2048"/>
      <c r="C834" s="2052"/>
      <c r="D834" s="2021"/>
      <c r="E834" s="2050"/>
      <c r="F834" s="2078"/>
      <c r="G834" s="2080"/>
      <c r="H834" s="2080"/>
    </row>
    <row r="835" spans="2:8" hidden="1" x14ac:dyDescent="0.3">
      <c r="B835" s="2053"/>
      <c r="D835" s="2021"/>
      <c r="E835" s="2050"/>
      <c r="F835" s="2078"/>
      <c r="G835" s="2079" t="s">
        <v>61</v>
      </c>
      <c r="H835" s="2073">
        <v>0</v>
      </c>
    </row>
    <row r="836" spans="2:8" hidden="1" x14ac:dyDescent="0.3">
      <c r="B836" s="2050" t="s">
        <v>6</v>
      </c>
      <c r="C836" s="2021" t="s">
        <v>875</v>
      </c>
      <c r="D836" s="2021"/>
      <c r="E836" s="2049"/>
      <c r="G836" s="2050"/>
      <c r="H836" s="2080">
        <f>+H835+H832+H828</f>
        <v>131950</v>
      </c>
    </row>
    <row r="837" spans="2:8" hidden="1" x14ac:dyDescent="0.3">
      <c r="B837" s="2048" t="s">
        <v>7</v>
      </c>
      <c r="C837" s="2053" t="s">
        <v>876</v>
      </c>
      <c r="D837" s="2021"/>
      <c r="E837" s="2049"/>
      <c r="G837" s="2050"/>
      <c r="H837" s="2051">
        <f>+H836*10%</f>
        <v>13195</v>
      </c>
    </row>
    <row r="838" spans="2:8" hidden="1" x14ac:dyDescent="0.3">
      <c r="B838" s="2050" t="s">
        <v>63</v>
      </c>
      <c r="C838" s="2021" t="s">
        <v>877</v>
      </c>
      <c r="D838" s="2021"/>
      <c r="E838" s="2049"/>
      <c r="G838" s="2050"/>
      <c r="H838" s="2051">
        <f>+H836+H837</f>
        <v>145145</v>
      </c>
    </row>
    <row r="839" spans="2:8" hidden="1" x14ac:dyDescent="0.3">
      <c r="C839" s="2052" t="s">
        <v>878</v>
      </c>
      <c r="D839" s="2053"/>
      <c r="E839" s="2053"/>
      <c r="F839" s="2053"/>
      <c r="G839" s="2053"/>
      <c r="H839" s="2054">
        <f>ROUNDDOWN(H838,0)</f>
        <v>145145</v>
      </c>
    </row>
    <row r="840" spans="2:8" hidden="1" x14ac:dyDescent="0.3">
      <c r="D840" s="2063"/>
      <c r="E840" s="2064"/>
      <c r="F840" s="2021"/>
      <c r="G840" s="2065"/>
      <c r="H840" s="2066"/>
    </row>
    <row r="841" spans="2:8" hidden="1" x14ac:dyDescent="0.3"/>
    <row r="842" spans="2:8" hidden="1" x14ac:dyDescent="0.3">
      <c r="B842" s="2021" t="s">
        <v>1197</v>
      </c>
      <c r="C842" s="2053" t="s">
        <v>1198</v>
      </c>
      <c r="D842" s="2021"/>
      <c r="E842" s="2049"/>
      <c r="G842" s="2050"/>
      <c r="H842" s="2051"/>
    </row>
    <row r="843" spans="2:8" ht="15.75" hidden="1" customHeight="1" x14ac:dyDescent="0.3">
      <c r="B843" s="3161" t="s">
        <v>12</v>
      </c>
      <c r="C843" s="3161"/>
      <c r="D843" s="3161" t="s">
        <v>37</v>
      </c>
      <c r="E843" s="3162" t="s">
        <v>184</v>
      </c>
      <c r="F843" s="3163" t="s">
        <v>868</v>
      </c>
      <c r="G843" s="3162" t="s">
        <v>964</v>
      </c>
      <c r="H843" s="3162" t="s">
        <v>870</v>
      </c>
    </row>
    <row r="844" spans="2:8" hidden="1" x14ac:dyDescent="0.3">
      <c r="B844" s="3161"/>
      <c r="C844" s="3161"/>
      <c r="D844" s="3161"/>
      <c r="E844" s="3162"/>
      <c r="F844" s="3163"/>
      <c r="G844" s="3162"/>
      <c r="H844" s="3162"/>
    </row>
    <row r="845" spans="2:8" hidden="1" x14ac:dyDescent="0.3">
      <c r="B845" s="2067" t="s">
        <v>368</v>
      </c>
      <c r="C845" s="2068" t="s">
        <v>42</v>
      </c>
      <c r="D845" s="2067"/>
      <c r="E845" s="2069"/>
      <c r="F845" s="2070"/>
      <c r="G845" s="2069"/>
      <c r="H845" s="2069"/>
    </row>
    <row r="846" spans="2:8" hidden="1" x14ac:dyDescent="0.3">
      <c r="B846" s="2067"/>
      <c r="C846" s="2021" t="s">
        <v>71</v>
      </c>
      <c r="D846" s="2071" t="str">
        <f>+[63]UP_BHN_2017!$H$7</f>
        <v>L.01</v>
      </c>
      <c r="E846" s="2050" t="s">
        <v>618</v>
      </c>
      <c r="F846" s="2072">
        <v>0.25</v>
      </c>
      <c r="G846" s="2065">
        <f>G824</f>
        <v>115000</v>
      </c>
      <c r="H846" s="2073">
        <f>F846*G846</f>
        <v>28750</v>
      </c>
    </row>
    <row r="847" spans="2:8" hidden="1" x14ac:dyDescent="0.3">
      <c r="B847" s="2067"/>
      <c r="C847" s="2021" t="s">
        <v>1076</v>
      </c>
      <c r="D847" s="2071" t="str">
        <f>+[63]UP_BHN_2017!$H$8</f>
        <v>L.02</v>
      </c>
      <c r="E847" s="2050" t="s">
        <v>618</v>
      </c>
      <c r="F847" s="2072">
        <v>0.25</v>
      </c>
      <c r="G847" s="2065">
        <f>G825</f>
        <v>170000</v>
      </c>
      <c r="H847" s="2073">
        <f>F847*G847</f>
        <v>42500</v>
      </c>
    </row>
    <row r="848" spans="2:8" hidden="1" x14ac:dyDescent="0.3">
      <c r="B848" s="2067"/>
      <c r="C848" s="2021" t="s">
        <v>605</v>
      </c>
      <c r="D848" s="2071" t="str">
        <f>+[63]UP_BHN_2017!$H$9</f>
        <v>L.03</v>
      </c>
      <c r="E848" s="2050" t="s">
        <v>618</v>
      </c>
      <c r="F848" s="2072">
        <v>0.1</v>
      </c>
      <c r="G848" s="2065">
        <f>G826</f>
        <v>185000</v>
      </c>
      <c r="H848" s="2073">
        <f>F848*G848</f>
        <v>18500</v>
      </c>
    </row>
    <row r="849" spans="2:8" hidden="1" x14ac:dyDescent="0.3">
      <c r="B849" s="2067"/>
      <c r="C849" s="2021" t="s">
        <v>50</v>
      </c>
      <c r="D849" s="2071" t="str">
        <f>+[63]UP_BHN_2017!$H$17</f>
        <v>L.04</v>
      </c>
      <c r="E849" s="2050" t="s">
        <v>618</v>
      </c>
      <c r="F849" s="2072">
        <v>0.1</v>
      </c>
      <c r="G849" s="2065">
        <f>G827</f>
        <v>200000</v>
      </c>
      <c r="H849" s="2073">
        <f>F849*G849</f>
        <v>20000</v>
      </c>
    </row>
    <row r="850" spans="2:8" hidden="1" x14ac:dyDescent="0.3">
      <c r="B850" s="2067"/>
      <c r="D850" s="2067"/>
      <c r="E850" s="2050"/>
      <c r="F850" s="2074"/>
      <c r="G850" s="2075" t="s">
        <v>52</v>
      </c>
      <c r="H850" s="2073">
        <f>SUM(H846:H849)</f>
        <v>109750</v>
      </c>
    </row>
    <row r="851" spans="2:8" hidden="1" x14ac:dyDescent="0.3">
      <c r="B851" s="2067" t="s">
        <v>394</v>
      </c>
      <c r="C851" s="2053" t="s">
        <v>872</v>
      </c>
      <c r="D851" s="2067"/>
      <c r="E851" s="2050"/>
      <c r="F851" s="2074"/>
      <c r="G851" s="2076"/>
      <c r="H851" s="2073"/>
    </row>
    <row r="852" spans="2:8" hidden="1" x14ac:dyDescent="0.3">
      <c r="B852" s="2067"/>
      <c r="C852" s="2021" t="s">
        <v>1199</v>
      </c>
      <c r="D852" s="2021"/>
      <c r="E852" s="2050" t="s">
        <v>27</v>
      </c>
      <c r="F852" s="2074">
        <v>1.2</v>
      </c>
      <c r="G852" s="2076">
        <f>'[64]UB mep'!I67</f>
        <v>91500</v>
      </c>
      <c r="H852" s="2073">
        <f>+F852*G852</f>
        <v>109800</v>
      </c>
    </row>
    <row r="853" spans="2:8" hidden="1" x14ac:dyDescent="0.3">
      <c r="B853" s="2048"/>
      <c r="C853" s="2021" t="s">
        <v>90</v>
      </c>
      <c r="D853" s="2021"/>
      <c r="E853" s="2050" t="s">
        <v>91</v>
      </c>
      <c r="F853" s="2077">
        <v>0.15</v>
      </c>
      <c r="G853" s="2076">
        <f>+G852</f>
        <v>91500</v>
      </c>
      <c r="H853" s="2073">
        <f>+F853*G853</f>
        <v>13725</v>
      </c>
    </row>
    <row r="854" spans="2:8" hidden="1" x14ac:dyDescent="0.3">
      <c r="B854" s="2053"/>
      <c r="D854" s="2021"/>
      <c r="E854" s="2050"/>
      <c r="F854" s="2078"/>
      <c r="G854" s="2079" t="s">
        <v>59</v>
      </c>
      <c r="H854" s="2073">
        <f>SUM(H852:H853)</f>
        <v>123525</v>
      </c>
    </row>
    <row r="855" spans="2:8" hidden="1" x14ac:dyDescent="0.3">
      <c r="B855" s="2048" t="s">
        <v>411</v>
      </c>
      <c r="C855" s="2052" t="s">
        <v>60</v>
      </c>
      <c r="D855" s="2021"/>
      <c r="E855" s="2050"/>
      <c r="F855" s="2078"/>
      <c r="G855" s="2080"/>
      <c r="H855" s="2080"/>
    </row>
    <row r="856" spans="2:8" hidden="1" x14ac:dyDescent="0.3">
      <c r="B856" s="2048"/>
      <c r="C856" s="2052"/>
      <c r="D856" s="2021"/>
      <c r="E856" s="2050"/>
      <c r="F856" s="2078"/>
      <c r="G856" s="2080"/>
      <c r="H856" s="2080"/>
    </row>
    <row r="857" spans="2:8" hidden="1" x14ac:dyDescent="0.3">
      <c r="B857" s="2053"/>
      <c r="D857" s="2021"/>
      <c r="E857" s="2050"/>
      <c r="F857" s="2078"/>
      <c r="G857" s="2079" t="s">
        <v>61</v>
      </c>
      <c r="H857" s="2073">
        <v>0</v>
      </c>
    </row>
    <row r="858" spans="2:8" hidden="1" x14ac:dyDescent="0.3">
      <c r="B858" s="2050" t="s">
        <v>6</v>
      </c>
      <c r="C858" s="2021" t="s">
        <v>875</v>
      </c>
      <c r="D858" s="2021"/>
      <c r="E858" s="2049"/>
      <c r="G858" s="2050"/>
      <c r="H858" s="2080">
        <f>+H857+H854+H850</f>
        <v>233275</v>
      </c>
    </row>
    <row r="859" spans="2:8" hidden="1" x14ac:dyDescent="0.3">
      <c r="B859" s="2048" t="s">
        <v>7</v>
      </c>
      <c r="C859" s="2053" t="s">
        <v>876</v>
      </c>
      <c r="D859" s="2021"/>
      <c r="E859" s="2049"/>
      <c r="G859" s="2050"/>
      <c r="H859" s="2051">
        <f>+H858*10%</f>
        <v>23327.5</v>
      </c>
    </row>
    <row r="860" spans="2:8" hidden="1" x14ac:dyDescent="0.3">
      <c r="B860" s="2050" t="s">
        <v>63</v>
      </c>
      <c r="C860" s="2021" t="s">
        <v>877</v>
      </c>
      <c r="D860" s="2021"/>
      <c r="E860" s="2049"/>
      <c r="G860" s="2050"/>
      <c r="H860" s="2051">
        <f>+H858+H859</f>
        <v>256602.5</v>
      </c>
    </row>
    <row r="861" spans="2:8" hidden="1" x14ac:dyDescent="0.3">
      <c r="C861" s="2052" t="s">
        <v>878</v>
      </c>
      <c r="D861" s="2053"/>
      <c r="E861" s="2053"/>
      <c r="F861" s="2053"/>
      <c r="G861" s="2053"/>
      <c r="H861" s="2054">
        <f>ROUNDDOWN(H860,0)</f>
        <v>256602</v>
      </c>
    </row>
    <row r="862" spans="2:8" hidden="1" x14ac:dyDescent="0.3"/>
    <row r="863" spans="2:8" hidden="1" x14ac:dyDescent="0.3"/>
    <row r="864" spans="2:8" hidden="1" x14ac:dyDescent="0.3">
      <c r="B864" s="2021" t="s">
        <v>1200</v>
      </c>
      <c r="C864" s="2053" t="s">
        <v>1201</v>
      </c>
      <c r="D864" s="2021"/>
      <c r="E864" s="2049"/>
      <c r="G864" s="2050"/>
      <c r="H864" s="2051"/>
    </row>
    <row r="865" spans="2:8" ht="15.75" hidden="1" customHeight="1" x14ac:dyDescent="0.3">
      <c r="B865" s="3161" t="s">
        <v>12</v>
      </c>
      <c r="C865" s="3161"/>
      <c r="D865" s="3161" t="s">
        <v>37</v>
      </c>
      <c r="E865" s="3162" t="s">
        <v>184</v>
      </c>
      <c r="F865" s="3163" t="s">
        <v>868</v>
      </c>
      <c r="G865" s="3162" t="s">
        <v>964</v>
      </c>
      <c r="H865" s="3162" t="s">
        <v>870</v>
      </c>
    </row>
    <row r="866" spans="2:8" hidden="1" x14ac:dyDescent="0.3">
      <c r="B866" s="3161"/>
      <c r="C866" s="3161"/>
      <c r="D866" s="3161"/>
      <c r="E866" s="3162"/>
      <c r="F866" s="3163"/>
      <c r="G866" s="3162"/>
      <c r="H866" s="3162"/>
    </row>
    <row r="867" spans="2:8" hidden="1" x14ac:dyDescent="0.3">
      <c r="B867" s="2067" t="s">
        <v>368</v>
      </c>
      <c r="C867" s="2068" t="s">
        <v>42</v>
      </c>
      <c r="D867" s="2067"/>
      <c r="E867" s="2069"/>
      <c r="F867" s="2070"/>
      <c r="G867" s="2069"/>
      <c r="H867" s="2069"/>
    </row>
    <row r="868" spans="2:8" hidden="1" x14ac:dyDescent="0.3">
      <c r="B868" s="2067"/>
      <c r="C868" s="2021" t="s">
        <v>71</v>
      </c>
      <c r="D868" s="2071" t="str">
        <f>+[63]UP_BHN_2017!$H$7</f>
        <v>L.01</v>
      </c>
      <c r="E868" s="2050" t="s">
        <v>618</v>
      </c>
      <c r="F868" s="2072">
        <v>0.4</v>
      </c>
      <c r="G868" s="2065">
        <f>G846</f>
        <v>115000</v>
      </c>
      <c r="H868" s="2073">
        <f>F868*G868</f>
        <v>46000</v>
      </c>
    </row>
    <row r="869" spans="2:8" hidden="1" x14ac:dyDescent="0.3">
      <c r="B869" s="2067"/>
      <c r="C869" s="2021" t="s">
        <v>1076</v>
      </c>
      <c r="D869" s="2071" t="str">
        <f>+[63]UP_BHN_2017!$H$8</f>
        <v>L.02</v>
      </c>
      <c r="E869" s="2050" t="s">
        <v>618</v>
      </c>
      <c r="F869" s="2072">
        <v>0.25</v>
      </c>
      <c r="G869" s="2065">
        <f>G847</f>
        <v>170000</v>
      </c>
      <c r="H869" s="2073">
        <f>F869*G869</f>
        <v>42500</v>
      </c>
    </row>
    <row r="870" spans="2:8" hidden="1" x14ac:dyDescent="0.3">
      <c r="B870" s="2067"/>
      <c r="C870" s="2021" t="s">
        <v>605</v>
      </c>
      <c r="D870" s="2071" t="str">
        <f>+[63]UP_BHN_2017!$H$9</f>
        <v>L.03</v>
      </c>
      <c r="E870" s="2050" t="s">
        <v>618</v>
      </c>
      <c r="F870" s="2072">
        <v>0.1</v>
      </c>
      <c r="G870" s="2065">
        <f>G848</f>
        <v>185000</v>
      </c>
      <c r="H870" s="2073">
        <f>F870*G870</f>
        <v>18500</v>
      </c>
    </row>
    <row r="871" spans="2:8" hidden="1" x14ac:dyDescent="0.3">
      <c r="B871" s="2067"/>
      <c r="C871" s="2021" t="s">
        <v>50</v>
      </c>
      <c r="D871" s="2071" t="str">
        <f>+[63]UP_BHN_2017!$H$17</f>
        <v>L.04</v>
      </c>
      <c r="E871" s="2050" t="s">
        <v>618</v>
      </c>
      <c r="F871" s="2072">
        <v>0.1</v>
      </c>
      <c r="G871" s="2065">
        <f>G849</f>
        <v>200000</v>
      </c>
      <c r="H871" s="2073">
        <f>F871*G871</f>
        <v>20000</v>
      </c>
    </row>
    <row r="872" spans="2:8" hidden="1" x14ac:dyDescent="0.3">
      <c r="B872" s="2067"/>
      <c r="D872" s="2067"/>
      <c r="E872" s="2050"/>
      <c r="F872" s="2074"/>
      <c r="G872" s="2075" t="s">
        <v>52</v>
      </c>
      <c r="H872" s="2073">
        <f>SUM(H868:H871)</f>
        <v>127000</v>
      </c>
    </row>
    <row r="873" spans="2:8" hidden="1" x14ac:dyDescent="0.3">
      <c r="B873" s="2067" t="s">
        <v>394</v>
      </c>
      <c r="C873" s="2053" t="s">
        <v>872</v>
      </c>
      <c r="D873" s="2067"/>
      <c r="E873" s="2050"/>
      <c r="F873" s="2074"/>
      <c r="G873" s="2076"/>
      <c r="H873" s="2073"/>
    </row>
    <row r="874" spans="2:8" hidden="1" x14ac:dyDescent="0.3">
      <c r="B874" s="2067"/>
      <c r="C874" s="2021" t="s">
        <v>1202</v>
      </c>
      <c r="D874" s="2021"/>
      <c r="E874" s="2050" t="s">
        <v>27</v>
      </c>
      <c r="F874" s="2074">
        <v>1.2</v>
      </c>
      <c r="G874" s="2076" t="e">
        <f>'[64]UB mep'!#REF!</f>
        <v>#REF!</v>
      </c>
      <c r="H874" s="2073" t="e">
        <f>+F874*G874</f>
        <v>#REF!</v>
      </c>
    </row>
    <row r="875" spans="2:8" hidden="1" x14ac:dyDescent="0.3">
      <c r="B875" s="2048"/>
      <c r="C875" s="2021" t="s">
        <v>90</v>
      </c>
      <c r="D875" s="2021"/>
      <c r="E875" s="2050" t="s">
        <v>91</v>
      </c>
      <c r="F875" s="2077">
        <v>0.15</v>
      </c>
      <c r="G875" s="2076" t="e">
        <f>+G874</f>
        <v>#REF!</v>
      </c>
      <c r="H875" s="2073" t="e">
        <f>+F875*G875</f>
        <v>#REF!</v>
      </c>
    </row>
    <row r="876" spans="2:8" hidden="1" x14ac:dyDescent="0.3">
      <c r="B876" s="2053"/>
      <c r="D876" s="2021"/>
      <c r="E876" s="2050"/>
      <c r="F876" s="2078"/>
      <c r="G876" s="2079" t="s">
        <v>59</v>
      </c>
      <c r="H876" s="2073" t="e">
        <f>SUM(H874:H875)</f>
        <v>#REF!</v>
      </c>
    </row>
    <row r="877" spans="2:8" hidden="1" x14ac:dyDescent="0.3">
      <c r="B877" s="2048" t="s">
        <v>411</v>
      </c>
      <c r="C877" s="2052" t="s">
        <v>60</v>
      </c>
      <c r="D877" s="2021"/>
      <c r="E877" s="2050"/>
      <c r="F877" s="2078"/>
      <c r="G877" s="2080"/>
      <c r="H877" s="2080"/>
    </row>
    <row r="878" spans="2:8" hidden="1" x14ac:dyDescent="0.3">
      <c r="B878" s="2048"/>
      <c r="C878" s="2052"/>
      <c r="D878" s="2021"/>
      <c r="E878" s="2050"/>
      <c r="F878" s="2078"/>
      <c r="G878" s="2080"/>
      <c r="H878" s="2080"/>
    </row>
    <row r="879" spans="2:8" hidden="1" x14ac:dyDescent="0.3">
      <c r="B879" s="2053"/>
      <c r="D879" s="2021"/>
      <c r="E879" s="2050"/>
      <c r="F879" s="2078"/>
      <c r="G879" s="2079" t="s">
        <v>61</v>
      </c>
      <c r="H879" s="2073">
        <v>0</v>
      </c>
    </row>
    <row r="880" spans="2:8" hidden="1" x14ac:dyDescent="0.3">
      <c r="B880" s="2050" t="s">
        <v>6</v>
      </c>
      <c r="C880" s="2021" t="s">
        <v>875</v>
      </c>
      <c r="D880" s="2021"/>
      <c r="E880" s="2049"/>
      <c r="G880" s="2050"/>
      <c r="H880" s="2080" t="e">
        <f>+H879+H876+H872</f>
        <v>#REF!</v>
      </c>
    </row>
    <row r="881" spans="2:8" hidden="1" x14ac:dyDescent="0.3">
      <c r="B881" s="2048" t="s">
        <v>7</v>
      </c>
      <c r="C881" s="2053" t="s">
        <v>876</v>
      </c>
      <c r="D881" s="2021"/>
      <c r="E881" s="2049"/>
      <c r="G881" s="2050"/>
      <c r="H881" s="2051" t="e">
        <f>+H880*10%</f>
        <v>#REF!</v>
      </c>
    </row>
    <row r="882" spans="2:8" hidden="1" x14ac:dyDescent="0.3">
      <c r="B882" s="2050" t="s">
        <v>63</v>
      </c>
      <c r="C882" s="2021" t="s">
        <v>877</v>
      </c>
      <c r="D882" s="2021"/>
      <c r="E882" s="2049"/>
      <c r="G882" s="2050"/>
      <c r="H882" s="2051" t="e">
        <f>+H880+H881</f>
        <v>#REF!</v>
      </c>
    </row>
    <row r="883" spans="2:8" hidden="1" x14ac:dyDescent="0.3">
      <c r="C883" s="2052" t="s">
        <v>878</v>
      </c>
      <c r="D883" s="2053"/>
      <c r="E883" s="2053"/>
      <c r="F883" s="2053"/>
      <c r="G883" s="2053"/>
      <c r="H883" s="2054" t="e">
        <f>ROUNDDOWN(H882,0)</f>
        <v>#REF!</v>
      </c>
    </row>
    <row r="884" spans="2:8" hidden="1" x14ac:dyDescent="0.3"/>
    <row r="885" spans="2:8" hidden="1" x14ac:dyDescent="0.3"/>
    <row r="886" spans="2:8" hidden="1" x14ac:dyDescent="0.3">
      <c r="B886" s="2021" t="s">
        <v>1203</v>
      </c>
      <c r="C886" s="2053" t="s">
        <v>1204</v>
      </c>
      <c r="D886" s="2021"/>
      <c r="E886" s="2049"/>
      <c r="G886" s="2050"/>
      <c r="H886" s="2051"/>
    </row>
    <row r="887" spans="2:8" ht="15.75" hidden="1" customHeight="1" x14ac:dyDescent="0.3">
      <c r="B887" s="3161" t="s">
        <v>12</v>
      </c>
      <c r="C887" s="3161"/>
      <c r="D887" s="3161" t="s">
        <v>37</v>
      </c>
      <c r="E887" s="3162" t="s">
        <v>184</v>
      </c>
      <c r="F887" s="3163" t="s">
        <v>868</v>
      </c>
      <c r="G887" s="3162" t="s">
        <v>964</v>
      </c>
      <c r="H887" s="3162" t="s">
        <v>870</v>
      </c>
    </row>
    <row r="888" spans="2:8" hidden="1" x14ac:dyDescent="0.3">
      <c r="B888" s="3161"/>
      <c r="C888" s="3161"/>
      <c r="D888" s="3161"/>
      <c r="E888" s="3162"/>
      <c r="F888" s="3163"/>
      <c r="G888" s="3162"/>
      <c r="H888" s="3162"/>
    </row>
    <row r="889" spans="2:8" hidden="1" x14ac:dyDescent="0.3">
      <c r="B889" s="2067" t="s">
        <v>368</v>
      </c>
      <c r="C889" s="2068" t="s">
        <v>42</v>
      </c>
      <c r="D889" s="2067"/>
      <c r="E889" s="2069"/>
      <c r="F889" s="2070"/>
      <c r="G889" s="2069"/>
      <c r="H889" s="2069"/>
    </row>
    <row r="890" spans="2:8" hidden="1" x14ac:dyDescent="0.3">
      <c r="B890" s="2067"/>
      <c r="C890" s="2021" t="s">
        <v>71</v>
      </c>
      <c r="D890" s="2071" t="str">
        <f>+[63]UP_BHN_2017!$H$7</f>
        <v>L.01</v>
      </c>
      <c r="E890" s="2050" t="s">
        <v>618</v>
      </c>
      <c r="F890" s="2072">
        <v>0.5</v>
      </c>
      <c r="G890" s="2065">
        <f>G846</f>
        <v>115000</v>
      </c>
      <c r="H890" s="2073">
        <f>F890*G890</f>
        <v>57500</v>
      </c>
    </row>
    <row r="891" spans="2:8" hidden="1" x14ac:dyDescent="0.3">
      <c r="B891" s="2067"/>
      <c r="C891" s="2021" t="s">
        <v>1076</v>
      </c>
      <c r="D891" s="2071" t="str">
        <f>+[63]UP_BHN_2017!$H$8</f>
        <v>L.02</v>
      </c>
      <c r="E891" s="2050" t="s">
        <v>618</v>
      </c>
      <c r="F891" s="2072">
        <v>0.5</v>
      </c>
      <c r="G891" s="2065">
        <f>G847</f>
        <v>170000</v>
      </c>
      <c r="H891" s="2073">
        <f>F891*G891</f>
        <v>85000</v>
      </c>
    </row>
    <row r="892" spans="2:8" hidden="1" x14ac:dyDescent="0.3">
      <c r="B892" s="2067"/>
      <c r="C892" s="2021" t="s">
        <v>605</v>
      </c>
      <c r="D892" s="2071" t="str">
        <f>+[63]UP_BHN_2017!$H$9</f>
        <v>L.03</v>
      </c>
      <c r="E892" s="2050" t="s">
        <v>618</v>
      </c>
      <c r="F892" s="2072">
        <v>0.1</v>
      </c>
      <c r="G892" s="2065">
        <f>G848</f>
        <v>185000</v>
      </c>
      <c r="H892" s="2073">
        <f>F892*G892</f>
        <v>18500</v>
      </c>
    </row>
    <row r="893" spans="2:8" hidden="1" x14ac:dyDescent="0.3">
      <c r="B893" s="2067"/>
      <c r="C893" s="2021" t="s">
        <v>50</v>
      </c>
      <c r="D893" s="2071" t="str">
        <f>+[63]UP_BHN_2017!$H$17</f>
        <v>L.04</v>
      </c>
      <c r="E893" s="2050" t="s">
        <v>618</v>
      </c>
      <c r="F893" s="2072">
        <v>0.1</v>
      </c>
      <c r="G893" s="2065">
        <f>G849</f>
        <v>200000</v>
      </c>
      <c r="H893" s="2073">
        <f>F893*G893</f>
        <v>20000</v>
      </c>
    </row>
    <row r="894" spans="2:8" hidden="1" x14ac:dyDescent="0.3">
      <c r="B894" s="2067"/>
      <c r="D894" s="2067"/>
      <c r="E894" s="2050"/>
      <c r="F894" s="2074"/>
      <c r="G894" s="2075" t="s">
        <v>52</v>
      </c>
      <c r="H894" s="2073">
        <f>SUM(H890:H893)</f>
        <v>181000</v>
      </c>
    </row>
    <row r="895" spans="2:8" hidden="1" x14ac:dyDescent="0.3">
      <c r="B895" s="2067" t="s">
        <v>394</v>
      </c>
      <c r="C895" s="2053" t="s">
        <v>872</v>
      </c>
      <c r="D895" s="2067"/>
      <c r="E895" s="2050"/>
      <c r="F895" s="2074"/>
      <c r="G895" s="2076"/>
      <c r="H895" s="2073"/>
    </row>
    <row r="896" spans="2:8" hidden="1" x14ac:dyDescent="0.3">
      <c r="B896" s="2067"/>
      <c r="C896" s="2021" t="s">
        <v>1205</v>
      </c>
      <c r="D896" s="2021"/>
      <c r="E896" s="2050" t="s">
        <v>27</v>
      </c>
      <c r="F896" s="2074">
        <v>1.2</v>
      </c>
      <c r="G896" s="2076" t="e">
        <f>'[64]UB mep'!#REF!</f>
        <v>#REF!</v>
      </c>
      <c r="H896" s="2073" t="e">
        <f>+F896*G896</f>
        <v>#REF!</v>
      </c>
    </row>
    <row r="897" spans="2:8" hidden="1" x14ac:dyDescent="0.3">
      <c r="B897" s="2048"/>
      <c r="C897" s="2021" t="s">
        <v>90</v>
      </c>
      <c r="D897" s="2021"/>
      <c r="E897" s="2050" t="s">
        <v>91</v>
      </c>
      <c r="F897" s="2077">
        <v>0.15</v>
      </c>
      <c r="G897" s="2076" t="e">
        <f>+G896</f>
        <v>#REF!</v>
      </c>
      <c r="H897" s="2073" t="e">
        <f>+F897*G897</f>
        <v>#REF!</v>
      </c>
    </row>
    <row r="898" spans="2:8" hidden="1" x14ac:dyDescent="0.3">
      <c r="B898" s="2053"/>
      <c r="D898" s="2021"/>
      <c r="E898" s="2050"/>
      <c r="F898" s="2078"/>
      <c r="G898" s="2079" t="s">
        <v>59</v>
      </c>
      <c r="H898" s="2073" t="e">
        <f>SUM(H896:H897)</f>
        <v>#REF!</v>
      </c>
    </row>
    <row r="899" spans="2:8" hidden="1" x14ac:dyDescent="0.3">
      <c r="B899" s="2048" t="s">
        <v>411</v>
      </c>
      <c r="C899" s="2052" t="s">
        <v>60</v>
      </c>
      <c r="D899" s="2021"/>
      <c r="E899" s="2050"/>
      <c r="F899" s="2078"/>
      <c r="G899" s="2080"/>
      <c r="H899" s="2080"/>
    </row>
    <row r="900" spans="2:8" hidden="1" x14ac:dyDescent="0.3">
      <c r="B900" s="2048"/>
      <c r="C900" s="2052"/>
      <c r="D900" s="2021"/>
      <c r="E900" s="2050"/>
      <c r="F900" s="2078"/>
      <c r="G900" s="2080"/>
      <c r="H900" s="2080"/>
    </row>
    <row r="901" spans="2:8" hidden="1" x14ac:dyDescent="0.3">
      <c r="B901" s="2053"/>
      <c r="D901" s="2021"/>
      <c r="E901" s="2050"/>
      <c r="F901" s="2078"/>
      <c r="G901" s="2079" t="s">
        <v>61</v>
      </c>
      <c r="H901" s="2073">
        <v>0</v>
      </c>
    </row>
    <row r="902" spans="2:8" hidden="1" x14ac:dyDescent="0.3">
      <c r="B902" s="2050" t="s">
        <v>6</v>
      </c>
      <c r="C902" s="2021" t="s">
        <v>875</v>
      </c>
      <c r="D902" s="2021"/>
      <c r="E902" s="2049"/>
      <c r="G902" s="2050"/>
      <c r="H902" s="2080" t="e">
        <f>+H901+H898+H894</f>
        <v>#REF!</v>
      </c>
    </row>
    <row r="903" spans="2:8" hidden="1" x14ac:dyDescent="0.3">
      <c r="B903" s="2048" t="s">
        <v>7</v>
      </c>
      <c r="C903" s="2053" t="s">
        <v>876</v>
      </c>
      <c r="D903" s="2021"/>
      <c r="E903" s="2049"/>
      <c r="G903" s="2050"/>
      <c r="H903" s="2051" t="e">
        <f>+H902*10%</f>
        <v>#REF!</v>
      </c>
    </row>
    <row r="904" spans="2:8" hidden="1" x14ac:dyDescent="0.3">
      <c r="B904" s="2050" t="s">
        <v>63</v>
      </c>
      <c r="C904" s="2021" t="s">
        <v>877</v>
      </c>
      <c r="D904" s="2021"/>
      <c r="E904" s="2049"/>
      <c r="G904" s="2050"/>
      <c r="H904" s="2051" t="e">
        <f>+H902+H903</f>
        <v>#REF!</v>
      </c>
    </row>
    <row r="905" spans="2:8" hidden="1" x14ac:dyDescent="0.3">
      <c r="C905" s="2052" t="s">
        <v>878</v>
      </c>
      <c r="D905" s="2053"/>
      <c r="E905" s="2053"/>
      <c r="F905" s="2053"/>
      <c r="G905" s="2053"/>
      <c r="H905" s="2054" t="e">
        <f>ROUNDDOWN(H904,0)</f>
        <v>#REF!</v>
      </c>
    </row>
    <row r="906" spans="2:8" hidden="1" x14ac:dyDescent="0.3"/>
    <row r="907" spans="2:8" hidden="1" x14ac:dyDescent="0.3"/>
    <row r="908" spans="2:8" hidden="1" x14ac:dyDescent="0.3">
      <c r="B908" s="2021" t="s">
        <v>1206</v>
      </c>
      <c r="C908" s="2053" t="s">
        <v>1207</v>
      </c>
      <c r="D908" s="2021"/>
      <c r="E908" s="2049"/>
      <c r="G908" s="2050"/>
      <c r="H908" s="2051"/>
    </row>
    <row r="909" spans="2:8" ht="15.75" hidden="1" customHeight="1" x14ac:dyDescent="0.3">
      <c r="B909" s="3161" t="s">
        <v>12</v>
      </c>
      <c r="C909" s="3161"/>
      <c r="D909" s="3161" t="s">
        <v>37</v>
      </c>
      <c r="E909" s="3162" t="s">
        <v>184</v>
      </c>
      <c r="F909" s="3163" t="s">
        <v>868</v>
      </c>
      <c r="G909" s="3162" t="s">
        <v>964</v>
      </c>
      <c r="H909" s="3162" t="s">
        <v>870</v>
      </c>
    </row>
    <row r="910" spans="2:8" hidden="1" x14ac:dyDescent="0.3">
      <c r="B910" s="3161"/>
      <c r="C910" s="3161"/>
      <c r="D910" s="3161"/>
      <c r="E910" s="3162"/>
      <c r="F910" s="3163"/>
      <c r="G910" s="3162"/>
      <c r="H910" s="3162"/>
    </row>
    <row r="911" spans="2:8" hidden="1" x14ac:dyDescent="0.3">
      <c r="B911" s="2067" t="s">
        <v>368</v>
      </c>
      <c r="C911" s="2068" t="s">
        <v>42</v>
      </c>
      <c r="D911" s="2067"/>
      <c r="E911" s="2069"/>
      <c r="F911" s="2070"/>
      <c r="G911" s="2069"/>
      <c r="H911" s="2069"/>
    </row>
    <row r="912" spans="2:8" hidden="1" x14ac:dyDescent="0.3">
      <c r="B912" s="2067"/>
      <c r="C912" s="2021" t="s">
        <v>71</v>
      </c>
      <c r="D912" s="2071" t="str">
        <f>+[63]UP_BHN_2017!$H$7</f>
        <v>L.01</v>
      </c>
      <c r="E912" s="2050" t="s">
        <v>618</v>
      </c>
      <c r="F912" s="2072">
        <v>0.4</v>
      </c>
      <c r="G912" s="2065">
        <f>G868</f>
        <v>115000</v>
      </c>
      <c r="H912" s="2073">
        <f>F912*G912</f>
        <v>46000</v>
      </c>
    </row>
    <row r="913" spans="2:11" hidden="1" x14ac:dyDescent="0.3">
      <c r="B913" s="2067"/>
      <c r="C913" s="2021" t="s">
        <v>1076</v>
      </c>
      <c r="D913" s="2071" t="str">
        <f>+[63]UP_BHN_2017!$H$8</f>
        <v>L.02</v>
      </c>
      <c r="E913" s="2050" t="s">
        <v>618</v>
      </c>
      <c r="F913" s="2072">
        <v>0.4</v>
      </c>
      <c r="G913" s="2065">
        <f>G869</f>
        <v>170000</v>
      </c>
      <c r="H913" s="2073">
        <f>F913*G913</f>
        <v>68000</v>
      </c>
    </row>
    <row r="914" spans="2:11" hidden="1" x14ac:dyDescent="0.3">
      <c r="B914" s="2067"/>
      <c r="C914" s="2021" t="s">
        <v>605</v>
      </c>
      <c r="D914" s="2071" t="str">
        <f>+[63]UP_BHN_2017!$H$9</f>
        <v>L.03</v>
      </c>
      <c r="E914" s="2050" t="s">
        <v>618</v>
      </c>
      <c r="F914" s="2072">
        <v>0.1</v>
      </c>
      <c r="G914" s="2065">
        <f>G870</f>
        <v>185000</v>
      </c>
      <c r="H914" s="2073">
        <f>F914*G914</f>
        <v>18500</v>
      </c>
    </row>
    <row r="915" spans="2:11" hidden="1" x14ac:dyDescent="0.3">
      <c r="B915" s="2067"/>
      <c r="C915" s="2021" t="s">
        <v>50</v>
      </c>
      <c r="D915" s="2071" t="str">
        <f>+[63]UP_BHN_2017!$H$17</f>
        <v>L.04</v>
      </c>
      <c r="E915" s="2050" t="s">
        <v>618</v>
      </c>
      <c r="F915" s="2072">
        <v>0.1</v>
      </c>
      <c r="G915" s="2065">
        <f>G871</f>
        <v>200000</v>
      </c>
      <c r="H915" s="2073">
        <f>F915*G915</f>
        <v>20000</v>
      </c>
    </row>
    <row r="916" spans="2:11" hidden="1" x14ac:dyDescent="0.3">
      <c r="B916" s="2067"/>
      <c r="D916" s="2067"/>
      <c r="E916" s="2050"/>
      <c r="F916" s="2074"/>
      <c r="G916" s="2075" t="s">
        <v>52</v>
      </c>
      <c r="H916" s="2073">
        <f>SUM(H912:H915)</f>
        <v>152500</v>
      </c>
    </row>
    <row r="917" spans="2:11" hidden="1" x14ac:dyDescent="0.3">
      <c r="B917" s="2067" t="s">
        <v>394</v>
      </c>
      <c r="C917" s="2053" t="s">
        <v>872</v>
      </c>
      <c r="D917" s="2067"/>
      <c r="E917" s="2050"/>
      <c r="F917" s="2074"/>
      <c r="G917" s="2076"/>
      <c r="H917" s="2073"/>
    </row>
    <row r="918" spans="2:11" hidden="1" x14ac:dyDescent="0.3">
      <c r="B918" s="2067"/>
      <c r="C918" s="2021" t="s">
        <v>1208</v>
      </c>
      <c r="D918" s="2021"/>
      <c r="E918" s="2050" t="s">
        <v>27</v>
      </c>
      <c r="F918" s="2074">
        <v>1.2</v>
      </c>
      <c r="G918" s="2076" t="e">
        <f>'[64]UB mep'!#REF!</f>
        <v>#REF!</v>
      </c>
      <c r="H918" s="2073" t="e">
        <f>+F918*G918</f>
        <v>#REF!</v>
      </c>
    </row>
    <row r="919" spans="2:11" hidden="1" x14ac:dyDescent="0.3">
      <c r="B919" s="2048"/>
      <c r="C919" s="2021" t="s">
        <v>90</v>
      </c>
      <c r="D919" s="2021"/>
      <c r="E919" s="2050" t="s">
        <v>91</v>
      </c>
      <c r="F919" s="2077">
        <v>0.15</v>
      </c>
      <c r="G919" s="2076" t="e">
        <f>+G918</f>
        <v>#REF!</v>
      </c>
      <c r="H919" s="2073" t="e">
        <f>+F919*G919</f>
        <v>#REF!</v>
      </c>
      <c r="K919" s="2021">
        <f>892000/5.7</f>
        <v>156491.22807017542</v>
      </c>
    </row>
    <row r="920" spans="2:11" hidden="1" x14ac:dyDescent="0.3">
      <c r="B920" s="2053"/>
      <c r="D920" s="2021"/>
      <c r="E920" s="2050"/>
      <c r="F920" s="2078"/>
      <c r="G920" s="2079" t="s">
        <v>59</v>
      </c>
      <c r="H920" s="2073" t="e">
        <f>SUM(H918:H919)</f>
        <v>#REF!</v>
      </c>
    </row>
    <row r="921" spans="2:11" hidden="1" x14ac:dyDescent="0.3">
      <c r="B921" s="2048" t="s">
        <v>411</v>
      </c>
      <c r="C921" s="2052" t="s">
        <v>60</v>
      </c>
      <c r="D921" s="2021"/>
      <c r="E921" s="2050"/>
      <c r="F921" s="2078"/>
      <c r="G921" s="2080"/>
      <c r="H921" s="2080"/>
    </row>
    <row r="922" spans="2:11" hidden="1" x14ac:dyDescent="0.3">
      <c r="B922" s="2048"/>
      <c r="C922" s="2052"/>
      <c r="D922" s="2021"/>
      <c r="E922" s="2050"/>
      <c r="F922" s="2078"/>
      <c r="G922" s="2080"/>
      <c r="H922" s="2080"/>
    </row>
    <row r="923" spans="2:11" hidden="1" x14ac:dyDescent="0.3">
      <c r="B923" s="2053"/>
      <c r="D923" s="2021"/>
      <c r="E923" s="2050"/>
      <c r="F923" s="2078"/>
      <c r="G923" s="2079" t="s">
        <v>61</v>
      </c>
      <c r="H923" s="2073">
        <v>0</v>
      </c>
    </row>
    <row r="924" spans="2:11" hidden="1" x14ac:dyDescent="0.3">
      <c r="B924" s="2050" t="s">
        <v>6</v>
      </c>
      <c r="C924" s="2021" t="s">
        <v>875</v>
      </c>
      <c r="D924" s="2021"/>
      <c r="E924" s="2049"/>
      <c r="G924" s="2050"/>
      <c r="H924" s="2080" t="e">
        <f>+H923+H920+H916</f>
        <v>#REF!</v>
      </c>
    </row>
    <row r="925" spans="2:11" hidden="1" x14ac:dyDescent="0.3">
      <c r="B925" s="2048" t="s">
        <v>7</v>
      </c>
      <c r="C925" s="2053" t="s">
        <v>876</v>
      </c>
      <c r="D925" s="2021"/>
      <c r="E925" s="2049"/>
      <c r="G925" s="2050"/>
      <c r="H925" s="2051" t="e">
        <f>+H924*10%</f>
        <v>#REF!</v>
      </c>
    </row>
    <row r="926" spans="2:11" hidden="1" x14ac:dyDescent="0.3">
      <c r="B926" s="2050" t="s">
        <v>63</v>
      </c>
      <c r="C926" s="2021" t="s">
        <v>877</v>
      </c>
      <c r="D926" s="2021"/>
      <c r="E926" s="2049"/>
      <c r="G926" s="2050"/>
      <c r="H926" s="2051" t="e">
        <f>+H924+H925</f>
        <v>#REF!</v>
      </c>
    </row>
    <row r="927" spans="2:11" hidden="1" x14ac:dyDescent="0.3">
      <c r="C927" s="2052" t="s">
        <v>878</v>
      </c>
      <c r="D927" s="2053"/>
      <c r="E927" s="2053"/>
      <c r="F927" s="2053"/>
      <c r="G927" s="2053"/>
      <c r="H927" s="2054" t="e">
        <f>ROUNDDOWN(H926,0)</f>
        <v>#REF!</v>
      </c>
    </row>
    <row r="928" spans="2:11" hidden="1" x14ac:dyDescent="0.3"/>
    <row r="929" spans="2:8" hidden="1" x14ac:dyDescent="0.3"/>
    <row r="930" spans="2:8" hidden="1" x14ac:dyDescent="0.3">
      <c r="B930" s="2021" t="s">
        <v>1209</v>
      </c>
      <c r="C930" s="2084" t="s">
        <v>1210</v>
      </c>
      <c r="D930" s="2021"/>
      <c r="E930" s="2049"/>
      <c r="G930" s="2050"/>
      <c r="H930" s="2051"/>
    </row>
    <row r="931" spans="2:8" ht="15.75" hidden="1" customHeight="1" x14ac:dyDescent="0.3">
      <c r="B931" s="3161" t="s">
        <v>12</v>
      </c>
      <c r="C931" s="3161"/>
      <c r="D931" s="3161" t="s">
        <v>37</v>
      </c>
      <c r="E931" s="3162" t="s">
        <v>184</v>
      </c>
      <c r="F931" s="3164" t="s">
        <v>868</v>
      </c>
      <c r="G931" s="3162" t="s">
        <v>869</v>
      </c>
      <c r="H931" s="3162" t="s">
        <v>870</v>
      </c>
    </row>
    <row r="932" spans="2:8" hidden="1" x14ac:dyDescent="0.3">
      <c r="B932" s="3161"/>
      <c r="C932" s="3161"/>
      <c r="D932" s="3161"/>
      <c r="E932" s="3162"/>
      <c r="F932" s="3164"/>
      <c r="G932" s="3162"/>
      <c r="H932" s="3162"/>
    </row>
    <row r="933" spans="2:8" hidden="1" x14ac:dyDescent="0.3">
      <c r="B933" s="2067" t="s">
        <v>368</v>
      </c>
      <c r="C933" s="2068" t="s">
        <v>42</v>
      </c>
      <c r="D933" s="2067"/>
      <c r="E933" s="2069"/>
      <c r="F933" s="2085"/>
      <c r="G933" s="2069"/>
      <c r="H933" s="2069"/>
    </row>
    <row r="934" spans="2:8" hidden="1" x14ac:dyDescent="0.3">
      <c r="B934" s="2067"/>
      <c r="C934" s="2021" t="s">
        <v>71</v>
      </c>
      <c r="D934" s="2071" t="s">
        <v>888</v>
      </c>
      <c r="E934" s="2050" t="s">
        <v>618</v>
      </c>
      <c r="F934" s="2086">
        <v>0.02</v>
      </c>
      <c r="G934" s="2065">
        <f>G846</f>
        <v>115000</v>
      </c>
      <c r="H934" s="2073">
        <f>+F934*G934</f>
        <v>2300</v>
      </c>
    </row>
    <row r="935" spans="2:8" hidden="1" x14ac:dyDescent="0.3">
      <c r="B935" s="2067"/>
      <c r="C935" s="2021" t="s">
        <v>871</v>
      </c>
      <c r="D935" s="2071" t="s">
        <v>889</v>
      </c>
      <c r="E935" s="2050" t="s">
        <v>618</v>
      </c>
      <c r="F935" s="2086">
        <v>0.01</v>
      </c>
      <c r="G935" s="2065">
        <f>G847</f>
        <v>170000</v>
      </c>
      <c r="H935" s="2073">
        <f>+F935*G935</f>
        <v>1700</v>
      </c>
    </row>
    <row r="936" spans="2:8" hidden="1" x14ac:dyDescent="0.3">
      <c r="B936" s="2067"/>
      <c r="C936" s="2021" t="s">
        <v>605</v>
      </c>
      <c r="D936" s="2071" t="s">
        <v>890</v>
      </c>
      <c r="E936" s="2050" t="s">
        <v>618</v>
      </c>
      <c r="F936" s="2086">
        <v>0.01</v>
      </c>
      <c r="G936" s="2065">
        <f>G848</f>
        <v>185000</v>
      </c>
      <c r="H936" s="2073">
        <f>+F936*G936</f>
        <v>1850</v>
      </c>
    </row>
    <row r="937" spans="2:8" hidden="1" x14ac:dyDescent="0.3">
      <c r="B937" s="2067"/>
      <c r="C937" s="2021" t="s">
        <v>50</v>
      </c>
      <c r="D937" s="2071" t="s">
        <v>891</v>
      </c>
      <c r="E937" s="2050" t="s">
        <v>618</v>
      </c>
      <c r="F937" s="2086">
        <v>0.01</v>
      </c>
      <c r="G937" s="2065">
        <f>G849</f>
        <v>200000</v>
      </c>
      <c r="H937" s="2073">
        <f>+F937*G937</f>
        <v>2000</v>
      </c>
    </row>
    <row r="938" spans="2:8" hidden="1" x14ac:dyDescent="0.3">
      <c r="B938" s="2067"/>
      <c r="D938" s="2067"/>
      <c r="E938" s="2050"/>
      <c r="F938" s="2078"/>
      <c r="G938" s="2087" t="s">
        <v>52</v>
      </c>
      <c r="H938" s="2073">
        <f>SUM(H934:H937)</f>
        <v>7850</v>
      </c>
    </row>
    <row r="939" spans="2:8" hidden="1" x14ac:dyDescent="0.3">
      <c r="B939" s="2067" t="s">
        <v>394</v>
      </c>
      <c r="C939" s="2053" t="s">
        <v>872</v>
      </c>
      <c r="D939" s="2067"/>
      <c r="E939" s="2069"/>
      <c r="F939" s="2085"/>
      <c r="G939" s="2069"/>
      <c r="H939" s="2069"/>
    </row>
    <row r="940" spans="2:8" hidden="1" x14ac:dyDescent="0.3">
      <c r="B940" s="2053"/>
      <c r="C940" s="2088" t="s">
        <v>1211</v>
      </c>
      <c r="D940" s="2021"/>
      <c r="E940" s="2050" t="s">
        <v>32</v>
      </c>
      <c r="F940" s="2049">
        <v>1</v>
      </c>
      <c r="G940" s="2065">
        <f>'[64]UB mep'!I96</f>
        <v>11500</v>
      </c>
      <c r="H940" s="2073">
        <f>+F940*G940</f>
        <v>11500</v>
      </c>
    </row>
    <row r="941" spans="2:8" hidden="1" x14ac:dyDescent="0.3">
      <c r="B941" s="2053"/>
      <c r="C941" s="2089" t="s">
        <v>611</v>
      </c>
      <c r="D941" s="2021"/>
      <c r="E941" s="2050" t="s">
        <v>1</v>
      </c>
      <c r="F941" s="2049">
        <v>0.5</v>
      </c>
      <c r="G941" s="2065">
        <v>5000</v>
      </c>
      <c r="H941" s="2073">
        <f>+F941*G941</f>
        <v>2500</v>
      </c>
    </row>
    <row r="942" spans="2:8" hidden="1" x14ac:dyDescent="0.3">
      <c r="B942" s="2053"/>
      <c r="D942" s="2021"/>
      <c r="E942" s="2050"/>
      <c r="F942" s="2078"/>
      <c r="G942" s="2090" t="s">
        <v>59</v>
      </c>
      <c r="H942" s="2073">
        <f>SUM(H940:H941)</f>
        <v>14000</v>
      </c>
    </row>
    <row r="943" spans="2:8" hidden="1" x14ac:dyDescent="0.3">
      <c r="B943" s="2048" t="s">
        <v>411</v>
      </c>
      <c r="C943" s="2052" t="s">
        <v>60</v>
      </c>
      <c r="D943" s="2021"/>
      <c r="E943" s="2050"/>
      <c r="F943" s="2078"/>
      <c r="G943" s="2091"/>
      <c r="H943" s="2091"/>
    </row>
    <row r="944" spans="2:8" hidden="1" x14ac:dyDescent="0.3">
      <c r="B944" s="2048"/>
      <c r="C944" s="2052"/>
      <c r="D944" s="2021"/>
      <c r="E944" s="2050"/>
      <c r="F944" s="2078"/>
      <c r="G944" s="2091"/>
      <c r="H944" s="2091"/>
    </row>
    <row r="945" spans="2:8" hidden="1" x14ac:dyDescent="0.3">
      <c r="B945" s="2053"/>
      <c r="D945" s="2021"/>
      <c r="E945" s="2050"/>
      <c r="F945" s="2078"/>
      <c r="G945" s="2090" t="s">
        <v>61</v>
      </c>
      <c r="H945" s="2073">
        <v>0</v>
      </c>
    </row>
    <row r="946" spans="2:8" hidden="1" x14ac:dyDescent="0.3">
      <c r="B946" s="2050" t="s">
        <v>6</v>
      </c>
      <c r="C946" s="2021" t="s">
        <v>875</v>
      </c>
      <c r="D946" s="2021"/>
      <c r="E946" s="2049"/>
      <c r="G946" s="2050"/>
      <c r="H946" s="2091">
        <f>+H945+H942+H938</f>
        <v>21850</v>
      </c>
    </row>
    <row r="947" spans="2:8" hidden="1" x14ac:dyDescent="0.3">
      <c r="B947" s="2048" t="s">
        <v>7</v>
      </c>
      <c r="C947" s="2053" t="s">
        <v>876</v>
      </c>
      <c r="D947" s="2021"/>
      <c r="E947" s="2049"/>
      <c r="G947" s="2050"/>
      <c r="H947" s="2051">
        <f>H946*10%</f>
        <v>2185</v>
      </c>
    </row>
    <row r="948" spans="2:8" hidden="1" x14ac:dyDescent="0.3">
      <c r="B948" s="2050" t="s">
        <v>63</v>
      </c>
      <c r="C948" s="2021" t="s">
        <v>877</v>
      </c>
      <c r="D948" s="2021"/>
      <c r="E948" s="2049"/>
      <c r="G948" s="2050"/>
      <c r="H948" s="2051">
        <f>+H946+H947</f>
        <v>24035</v>
      </c>
    </row>
    <row r="949" spans="2:8" hidden="1" x14ac:dyDescent="0.3">
      <c r="C949" s="2052" t="s">
        <v>878</v>
      </c>
      <c r="D949" s="2053"/>
      <c r="E949" s="2053"/>
      <c r="F949" s="2053"/>
      <c r="G949" s="2053"/>
      <c r="H949" s="2054">
        <f>ROUNDDOWN(H948,0)</f>
        <v>24035</v>
      </c>
    </row>
    <row r="950" spans="2:8" hidden="1" x14ac:dyDescent="0.3"/>
    <row r="951" spans="2:8" hidden="1" x14ac:dyDescent="0.3"/>
    <row r="952" spans="2:8" hidden="1" x14ac:dyDescent="0.3">
      <c r="B952" s="2021" t="s">
        <v>1212</v>
      </c>
      <c r="C952" s="2084" t="s">
        <v>1213</v>
      </c>
      <c r="D952" s="2021"/>
      <c r="E952" s="2049"/>
      <c r="G952" s="2050"/>
      <c r="H952" s="2051"/>
    </row>
    <row r="953" spans="2:8" ht="15.75" hidden="1" customHeight="1" x14ac:dyDescent="0.3">
      <c r="B953" s="3161" t="s">
        <v>12</v>
      </c>
      <c r="C953" s="3161"/>
      <c r="D953" s="3161" t="s">
        <v>37</v>
      </c>
      <c r="E953" s="3162" t="s">
        <v>184</v>
      </c>
      <c r="F953" s="3164" t="s">
        <v>868</v>
      </c>
      <c r="G953" s="3162" t="s">
        <v>869</v>
      </c>
      <c r="H953" s="3162" t="s">
        <v>870</v>
      </c>
    </row>
    <row r="954" spans="2:8" hidden="1" x14ac:dyDescent="0.3">
      <c r="B954" s="3161"/>
      <c r="C954" s="3161"/>
      <c r="D954" s="3161"/>
      <c r="E954" s="3162"/>
      <c r="F954" s="3164"/>
      <c r="G954" s="3162"/>
      <c r="H954" s="3162"/>
    </row>
    <row r="955" spans="2:8" hidden="1" x14ac:dyDescent="0.3">
      <c r="B955" s="2067" t="s">
        <v>368</v>
      </c>
      <c r="C955" s="2068" t="s">
        <v>42</v>
      </c>
      <c r="D955" s="2067"/>
      <c r="E955" s="2069"/>
      <c r="F955" s="2085"/>
      <c r="G955" s="2069"/>
      <c r="H955" s="2069"/>
    </row>
    <row r="956" spans="2:8" hidden="1" x14ac:dyDescent="0.3">
      <c r="B956" s="2067"/>
      <c r="C956" s="2021" t="s">
        <v>71</v>
      </c>
      <c r="D956" s="2071" t="e">
        <f>+'[62]UPAH-BAHAN'!$G$12</f>
        <v>#REF!</v>
      </c>
      <c r="E956" s="2050" t="s">
        <v>618</v>
      </c>
      <c r="F956" s="2086">
        <v>0.02</v>
      </c>
      <c r="G956" s="2065">
        <f>G934</f>
        <v>115000</v>
      </c>
      <c r="H956" s="2073">
        <f>+F956*G956</f>
        <v>2300</v>
      </c>
    </row>
    <row r="957" spans="2:8" hidden="1" x14ac:dyDescent="0.3">
      <c r="B957" s="2067"/>
      <c r="C957" s="2021" t="s">
        <v>871</v>
      </c>
      <c r="D957" s="2071" t="str">
        <f>+'[62]UPAH-BAHAN'!$G$13</f>
        <v>L.01</v>
      </c>
      <c r="E957" s="2050" t="s">
        <v>618</v>
      </c>
      <c r="F957" s="2086">
        <v>0.01</v>
      </c>
      <c r="G957" s="2065">
        <f>G935</f>
        <v>170000</v>
      </c>
      <c r="H957" s="2073">
        <f>+F957*G957</f>
        <v>1700</v>
      </c>
    </row>
    <row r="958" spans="2:8" hidden="1" x14ac:dyDescent="0.3">
      <c r="B958" s="2067"/>
      <c r="C958" s="2021" t="s">
        <v>605</v>
      </c>
      <c r="D958" s="2071" t="str">
        <f>+'[62]UPAH-BAHAN'!$G$14</f>
        <v>L.02</v>
      </c>
      <c r="E958" s="2050" t="s">
        <v>618</v>
      </c>
      <c r="F958" s="2086">
        <v>0.01</v>
      </c>
      <c r="G958" s="2065">
        <f>G936</f>
        <v>185000</v>
      </c>
      <c r="H958" s="2073">
        <f>+F958*G958</f>
        <v>1850</v>
      </c>
    </row>
    <row r="959" spans="2:8" hidden="1" x14ac:dyDescent="0.3">
      <c r="B959" s="2067"/>
      <c r="C959" s="2021" t="s">
        <v>50</v>
      </c>
      <c r="D959" s="2071" t="str">
        <f>+'[62]UPAH-BAHAN'!$G$15</f>
        <v>L.03</v>
      </c>
      <c r="E959" s="2050" t="s">
        <v>618</v>
      </c>
      <c r="F959" s="2086">
        <v>0.01</v>
      </c>
      <c r="G959" s="2065">
        <f>G937</f>
        <v>200000</v>
      </c>
      <c r="H959" s="2073">
        <f>+F959*G959</f>
        <v>2000</v>
      </c>
    </row>
    <row r="960" spans="2:8" hidden="1" x14ac:dyDescent="0.3">
      <c r="B960" s="2067"/>
      <c r="D960" s="2067"/>
      <c r="E960" s="2050"/>
      <c r="F960" s="2078"/>
      <c r="G960" s="2087" t="s">
        <v>52</v>
      </c>
      <c r="H960" s="2073">
        <f>SUM(H956:H959)</f>
        <v>7850</v>
      </c>
    </row>
    <row r="961" spans="2:8" hidden="1" x14ac:dyDescent="0.3">
      <c r="B961" s="2067" t="s">
        <v>394</v>
      </c>
      <c r="C961" s="2053" t="s">
        <v>872</v>
      </c>
      <c r="D961" s="2067"/>
      <c r="E961" s="2069"/>
      <c r="F961" s="2085"/>
      <c r="G961" s="2069"/>
      <c r="H961" s="2069"/>
    </row>
    <row r="962" spans="2:8" hidden="1" x14ac:dyDescent="0.3">
      <c r="B962" s="2053"/>
      <c r="C962" s="2088" t="s">
        <v>925</v>
      </c>
      <c r="D962" s="2021"/>
      <c r="E962" s="2050" t="s">
        <v>32</v>
      </c>
      <c r="F962" s="2049">
        <v>1</v>
      </c>
      <c r="G962" s="2065">
        <f>'[64]UB mep'!I103</f>
        <v>95000</v>
      </c>
      <c r="H962" s="2073">
        <f>+F962*G962</f>
        <v>95000</v>
      </c>
    </row>
    <row r="963" spans="2:8" hidden="1" x14ac:dyDescent="0.3">
      <c r="B963" s="2053"/>
      <c r="C963" s="2089" t="s">
        <v>611</v>
      </c>
      <c r="D963" s="2021"/>
      <c r="E963" s="2050" t="s">
        <v>1</v>
      </c>
      <c r="F963" s="2049">
        <v>0.5</v>
      </c>
      <c r="G963" s="2065">
        <v>5000</v>
      </c>
      <c r="H963" s="2073">
        <f>+F963*G963</f>
        <v>2500</v>
      </c>
    </row>
    <row r="964" spans="2:8" hidden="1" x14ac:dyDescent="0.3">
      <c r="B964" s="2053"/>
      <c r="D964" s="2021"/>
      <c r="E964" s="2050"/>
      <c r="F964" s="2078"/>
      <c r="G964" s="2090" t="s">
        <v>59</v>
      </c>
      <c r="H964" s="2073">
        <f>SUM(H962:H963)</f>
        <v>97500</v>
      </c>
    </row>
    <row r="965" spans="2:8" hidden="1" x14ac:dyDescent="0.3">
      <c r="B965" s="2048" t="s">
        <v>411</v>
      </c>
      <c r="C965" s="2052" t="s">
        <v>60</v>
      </c>
      <c r="D965" s="2021"/>
      <c r="E965" s="2050"/>
      <c r="F965" s="2078"/>
      <c r="G965" s="2091"/>
      <c r="H965" s="2091"/>
    </row>
    <row r="966" spans="2:8" hidden="1" x14ac:dyDescent="0.3">
      <c r="B966" s="2048"/>
      <c r="C966" s="2052"/>
      <c r="D966" s="2021"/>
      <c r="E966" s="2050"/>
      <c r="F966" s="2078"/>
      <c r="G966" s="2091"/>
      <c r="H966" s="2091"/>
    </row>
    <row r="967" spans="2:8" hidden="1" x14ac:dyDescent="0.3">
      <c r="B967" s="2053"/>
      <c r="D967" s="2021"/>
      <c r="E967" s="2050"/>
      <c r="F967" s="2078"/>
      <c r="G967" s="2090" t="s">
        <v>61</v>
      </c>
      <c r="H967" s="2073">
        <v>0</v>
      </c>
    </row>
    <row r="968" spans="2:8" hidden="1" x14ac:dyDescent="0.3">
      <c r="B968" s="2050" t="s">
        <v>6</v>
      </c>
      <c r="C968" s="2021" t="s">
        <v>875</v>
      </c>
      <c r="D968" s="2021"/>
      <c r="E968" s="2049"/>
      <c r="G968" s="2050"/>
      <c r="H968" s="2091">
        <f>+H967+H964+H960</f>
        <v>105350</v>
      </c>
    </row>
    <row r="969" spans="2:8" hidden="1" x14ac:dyDescent="0.3">
      <c r="B969" s="2048" t="s">
        <v>7</v>
      </c>
      <c r="C969" s="2053" t="s">
        <v>876</v>
      </c>
      <c r="D969" s="2021"/>
      <c r="E969" s="2049"/>
      <c r="G969" s="2050"/>
      <c r="H969" s="2051">
        <f>H968*10%</f>
        <v>10535</v>
      </c>
    </row>
    <row r="970" spans="2:8" hidden="1" x14ac:dyDescent="0.3">
      <c r="B970" s="2050" t="s">
        <v>63</v>
      </c>
      <c r="C970" s="2021" t="s">
        <v>877</v>
      </c>
      <c r="D970" s="2021"/>
      <c r="E970" s="2049"/>
      <c r="G970" s="2050"/>
      <c r="H970" s="2051">
        <f>+H968+H969</f>
        <v>115885</v>
      </c>
    </row>
    <row r="971" spans="2:8" hidden="1" x14ac:dyDescent="0.3">
      <c r="C971" s="2052" t="s">
        <v>878</v>
      </c>
      <c r="D971" s="2053"/>
      <c r="E971" s="2053"/>
      <c r="F971" s="2053"/>
      <c r="G971" s="2053"/>
      <c r="H971" s="2054">
        <f>ROUNDDOWN(H970,0)</f>
        <v>115885</v>
      </c>
    </row>
  </sheetData>
  <mergeCells count="71">
    <mergeCell ref="B2:H2"/>
    <mergeCell ref="H777:H778"/>
    <mergeCell ref="B799:B800"/>
    <mergeCell ref="C799:C800"/>
    <mergeCell ref="D799:D800"/>
    <mergeCell ref="E799:E800"/>
    <mergeCell ref="F799:F800"/>
    <mergeCell ref="G799:G800"/>
    <mergeCell ref="H799:H800"/>
    <mergeCell ref="B777:B778"/>
    <mergeCell ref="C777:C778"/>
    <mergeCell ref="D777:D778"/>
    <mergeCell ref="E777:E778"/>
    <mergeCell ref="F777:F778"/>
    <mergeCell ref="G777:G778"/>
    <mergeCell ref="C755:C756"/>
    <mergeCell ref="H821:H822"/>
    <mergeCell ref="B843:B844"/>
    <mergeCell ref="C843:C844"/>
    <mergeCell ref="D843:D844"/>
    <mergeCell ref="E843:E844"/>
    <mergeCell ref="F843:F844"/>
    <mergeCell ref="G843:G844"/>
    <mergeCell ref="H843:H844"/>
    <mergeCell ref="B821:B822"/>
    <mergeCell ref="C821:C822"/>
    <mergeCell ref="D821:D822"/>
    <mergeCell ref="E821:E822"/>
    <mergeCell ref="F821:F822"/>
    <mergeCell ref="G821:G822"/>
    <mergeCell ref="H865:H866"/>
    <mergeCell ref="B887:B888"/>
    <mergeCell ref="C887:C888"/>
    <mergeCell ref="D887:D888"/>
    <mergeCell ref="E887:E888"/>
    <mergeCell ref="F887:F888"/>
    <mergeCell ref="G887:G888"/>
    <mergeCell ref="H887:H888"/>
    <mergeCell ref="B865:B866"/>
    <mergeCell ref="C865:C866"/>
    <mergeCell ref="D865:D866"/>
    <mergeCell ref="E865:E866"/>
    <mergeCell ref="F865:F866"/>
    <mergeCell ref="G865:G866"/>
    <mergeCell ref="G909:G910"/>
    <mergeCell ref="C931:C932"/>
    <mergeCell ref="D931:D932"/>
    <mergeCell ref="E931:E932"/>
    <mergeCell ref="F931:F932"/>
    <mergeCell ref="G931:G932"/>
    <mergeCell ref="B909:B910"/>
    <mergeCell ref="C909:C910"/>
    <mergeCell ref="D909:D910"/>
    <mergeCell ref="E909:E910"/>
    <mergeCell ref="F909:F910"/>
    <mergeCell ref="B755:B756"/>
    <mergeCell ref="H953:H954"/>
    <mergeCell ref="H755:H756"/>
    <mergeCell ref="G755:G756"/>
    <mergeCell ref="F755:F756"/>
    <mergeCell ref="E755:E756"/>
    <mergeCell ref="D755:D756"/>
    <mergeCell ref="B953:B954"/>
    <mergeCell ref="C953:C954"/>
    <mergeCell ref="D953:D954"/>
    <mergeCell ref="E953:E954"/>
    <mergeCell ref="F953:F954"/>
    <mergeCell ref="G953:G954"/>
    <mergeCell ref="H909:H910"/>
    <mergeCell ref="B931:B932"/>
    <mergeCell ref="H931:H932"/>
  </mergeCells>
  <printOptions horizontalCentered="1"/>
  <pageMargins left="0.7" right="0.7" top="0.75" bottom="0.75" header="0.3" footer="0.3"/>
  <pageSetup scale="70" orientation="portrait" horizontalDpi="4294967293" r:id="rId1"/>
  <rowBreaks count="12" manualBreakCount="12">
    <brk id="64" min="1" max="7" man="1"/>
    <brk id="122" min="1" max="7" man="1"/>
    <brk id="179" min="1" max="7" man="1"/>
    <brk id="236" min="1" max="7" man="1"/>
    <brk id="293" min="1" max="7" man="1"/>
    <brk id="350" min="1" max="7" man="1"/>
    <brk id="407" min="1" max="7" man="1"/>
    <brk id="465" min="1" max="7" man="1"/>
    <brk id="523" min="1" max="7" man="1"/>
    <brk id="580" min="1" max="7" man="1"/>
    <brk id="637" min="1" max="7" man="1"/>
    <brk id="695" min="1" max="7" man="1"/>
  </rowBreaks>
  <colBreaks count="1" manualBreakCount="1">
    <brk id="8" max="1107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M156"/>
  <sheetViews>
    <sheetView showGridLines="0" view="pageBreakPreview" topLeftCell="A136" zoomScale="90" zoomScaleSheetLayoutView="90" workbookViewId="0">
      <selection activeCell="J103" sqref="J103"/>
    </sheetView>
  </sheetViews>
  <sheetFormatPr defaultColWidth="9.28515625" defaultRowHeight="16.5" x14ac:dyDescent="0.3"/>
  <cols>
    <col min="1" max="1" width="5.85546875" style="1608" customWidth="1"/>
    <col min="2" max="2" width="5.28515625" style="1608" customWidth="1"/>
    <col min="3" max="3" width="6.42578125" style="1685" customWidth="1"/>
    <col min="4" max="4" width="2.7109375" style="1608" customWidth="1"/>
    <col min="5" max="5" width="56.5703125" style="1608" customWidth="1"/>
    <col min="6" max="6" width="12.28515625" style="1610" customWidth="1"/>
    <col min="7" max="7" width="24.28515625" style="1686" customWidth="1"/>
    <col min="8" max="8" width="6.5703125" style="1608" customWidth="1"/>
    <col min="9" max="9" width="20.5703125" style="1609" bestFit="1" customWidth="1"/>
    <col min="10" max="10" width="19" style="1608" customWidth="1"/>
    <col min="11" max="11" width="13.140625" style="1608" customWidth="1"/>
    <col min="12" max="16384" width="9.28515625" style="1608"/>
  </cols>
  <sheetData>
    <row r="1" spans="2:9" ht="19.5" customHeight="1" x14ac:dyDescent="0.3">
      <c r="B1" s="3175" t="s">
        <v>162</v>
      </c>
      <c r="C1" s="3175"/>
      <c r="D1" s="3175"/>
      <c r="E1" s="3175"/>
      <c r="F1" s="3175"/>
      <c r="G1" s="3175"/>
    </row>
    <row r="2" spans="2:9" ht="15.6" customHeight="1" x14ac:dyDescent="0.3">
      <c r="B2" s="1605" t="s">
        <v>198</v>
      </c>
      <c r="C2" s="1366"/>
      <c r="D2" s="1366" t="str">
        <f>HIT.!C4</f>
        <v>: Renovasi Atap Gedung Paripurna DPRD Provsu</v>
      </c>
      <c r="E2" s="1610"/>
      <c r="G2" s="1610"/>
    </row>
    <row r="3" spans="2:9" ht="15.6" customHeight="1" x14ac:dyDescent="0.3">
      <c r="B3" s="1605" t="s">
        <v>199</v>
      </c>
      <c r="C3" s="1366"/>
      <c r="D3" s="1366" t="str">
        <f>HIT.!C5</f>
        <v>: Jalan Imam Bonjol No. 5 Medan</v>
      </c>
      <c r="E3" s="1610"/>
      <c r="G3" s="1610"/>
    </row>
    <row r="4" spans="2:9" ht="15.6" customHeight="1" x14ac:dyDescent="0.3">
      <c r="B4" s="1605" t="s">
        <v>230</v>
      </c>
      <c r="C4" s="1366"/>
      <c r="D4" s="1366" t="str">
        <f>HIT.!C6</f>
        <v>: 2022</v>
      </c>
      <c r="E4" s="1610"/>
      <c r="G4" s="1610"/>
    </row>
    <row r="5" spans="2:9" ht="8.25" customHeight="1" thickBot="1" x14ac:dyDescent="0.35">
      <c r="B5" s="1611"/>
      <c r="C5" s="1612"/>
      <c r="D5" s="1611"/>
      <c r="E5" s="1611"/>
      <c r="F5" s="1613"/>
      <c r="G5" s="1614"/>
    </row>
    <row r="6" spans="2:9" ht="16.149999999999999" customHeight="1" thickTop="1" x14ac:dyDescent="0.3">
      <c r="B6" s="1615"/>
      <c r="C6" s="1616"/>
      <c r="D6" s="1617"/>
      <c r="E6" s="1618"/>
      <c r="F6" s="1619"/>
      <c r="G6" s="1620" t="s">
        <v>11</v>
      </c>
    </row>
    <row r="7" spans="2:9" x14ac:dyDescent="0.3">
      <c r="B7" s="1621" t="s">
        <v>12</v>
      </c>
      <c r="C7" s="3169" t="s">
        <v>13</v>
      </c>
      <c r="D7" s="3170"/>
      <c r="E7" s="3171"/>
      <c r="F7" s="1622" t="s">
        <v>14</v>
      </c>
      <c r="G7" s="1623" t="s">
        <v>15</v>
      </c>
    </row>
    <row r="8" spans="2:9" x14ac:dyDescent="0.3">
      <c r="B8" s="1621"/>
      <c r="C8" s="1624"/>
      <c r="D8" s="2346"/>
      <c r="E8" s="2347"/>
      <c r="F8" s="1622"/>
      <c r="G8" s="1623" t="s">
        <v>16</v>
      </c>
      <c r="I8" s="1625"/>
    </row>
    <row r="9" spans="2:9" s="1687" customFormat="1" ht="14.25" x14ac:dyDescent="0.3">
      <c r="B9" s="2822">
        <v>1</v>
      </c>
      <c r="C9" s="3172">
        <v>2</v>
      </c>
      <c r="D9" s="3173"/>
      <c r="E9" s="3174"/>
      <c r="F9" s="2827">
        <v>3</v>
      </c>
      <c r="G9" s="2828">
        <v>4</v>
      </c>
      <c r="I9" s="1688" t="s">
        <v>1345</v>
      </c>
    </row>
    <row r="10" spans="2:9" x14ac:dyDescent="0.3">
      <c r="B10" s="1626"/>
      <c r="C10" s="1627"/>
      <c r="D10" s="1628"/>
      <c r="E10" s="1629"/>
      <c r="F10" s="1630"/>
      <c r="G10" s="1631"/>
    </row>
    <row r="11" spans="2:9" x14ac:dyDescent="0.3">
      <c r="B11" s="2980"/>
      <c r="C11" s="1633" t="s">
        <v>176</v>
      </c>
      <c r="D11" s="2982"/>
      <c r="E11" s="2983"/>
      <c r="F11" s="2984"/>
      <c r="G11" s="2985"/>
    </row>
    <row r="12" spans="2:9" x14ac:dyDescent="0.3">
      <c r="B12" s="2980">
        <v>1</v>
      </c>
      <c r="C12" s="2981" t="s">
        <v>1482</v>
      </c>
      <c r="D12" s="2982"/>
      <c r="E12" s="2983"/>
      <c r="F12" s="1636" t="s">
        <v>2</v>
      </c>
      <c r="G12" s="2985">
        <v>35000</v>
      </c>
    </row>
    <row r="13" spans="2:9" x14ac:dyDescent="0.3">
      <c r="B13" s="2980">
        <v>2</v>
      </c>
      <c r="C13" s="2981" t="s">
        <v>1483</v>
      </c>
      <c r="D13" s="2982"/>
      <c r="E13" s="2983"/>
      <c r="F13" s="1636" t="s">
        <v>2</v>
      </c>
      <c r="G13" s="2985">
        <v>20000</v>
      </c>
    </row>
    <row r="14" spans="2:9" x14ac:dyDescent="0.3">
      <c r="B14" s="2980"/>
      <c r="C14" s="2981"/>
      <c r="D14" s="2982"/>
      <c r="E14" s="2983"/>
      <c r="F14" s="2984"/>
      <c r="G14" s="2985"/>
    </row>
    <row r="15" spans="2:9" x14ac:dyDescent="0.3">
      <c r="B15" s="1632"/>
      <c r="C15" s="1633" t="s">
        <v>176</v>
      </c>
      <c r="D15" s="1634"/>
      <c r="E15" s="1635"/>
      <c r="F15" s="1636"/>
      <c r="G15" s="1637"/>
    </row>
    <row r="16" spans="2:9" x14ac:dyDescent="0.3">
      <c r="B16" s="1638">
        <v>1</v>
      </c>
      <c r="C16" s="1639" t="s">
        <v>1229</v>
      </c>
      <c r="D16" s="1640"/>
      <c r="E16" s="1641"/>
      <c r="F16" s="1636" t="s">
        <v>17</v>
      </c>
      <c r="G16" s="1642">
        <v>1000</v>
      </c>
      <c r="I16" s="1609">
        <f>783*0.9</f>
        <v>704.7</v>
      </c>
    </row>
    <row r="17" spans="2:13" x14ac:dyDescent="0.3">
      <c r="B17" s="1638">
        <f>B16+1</f>
        <v>2</v>
      </c>
      <c r="C17" s="1639" t="s">
        <v>99</v>
      </c>
      <c r="D17" s="1640"/>
      <c r="E17" s="1641"/>
      <c r="F17" s="1636" t="s">
        <v>3</v>
      </c>
      <c r="G17" s="1642">
        <v>400000</v>
      </c>
      <c r="I17" s="1609">
        <f>250000*1.35</f>
        <v>337500</v>
      </c>
    </row>
    <row r="18" spans="2:13" x14ac:dyDescent="0.3">
      <c r="B18" s="1638">
        <f>B17+1</f>
        <v>3</v>
      </c>
      <c r="C18" s="1639" t="s">
        <v>99</v>
      </c>
      <c r="D18" s="1640"/>
      <c r="E18" s="1641"/>
      <c r="F18" s="1636" t="s">
        <v>0</v>
      </c>
      <c r="G18" s="1642">
        <f>G17/1350</f>
        <v>296.2962962962963</v>
      </c>
    </row>
    <row r="19" spans="2:13" x14ac:dyDescent="0.3">
      <c r="B19" s="1638">
        <f>B18+1</f>
        <v>4</v>
      </c>
      <c r="C19" s="1639" t="s">
        <v>173</v>
      </c>
      <c r="D19" s="1640"/>
      <c r="E19" s="1641"/>
      <c r="F19" s="1636" t="s">
        <v>3</v>
      </c>
      <c r="G19" s="1642">
        <v>305000</v>
      </c>
    </row>
    <row r="20" spans="2:13" x14ac:dyDescent="0.3">
      <c r="B20" s="1638">
        <f t="shared" ref="B20:B27" si="0">B19+1</f>
        <v>5</v>
      </c>
      <c r="C20" s="1639" t="s">
        <v>173</v>
      </c>
      <c r="D20" s="1640"/>
      <c r="E20" s="1641"/>
      <c r="F20" s="1636" t="s">
        <v>0</v>
      </c>
      <c r="G20" s="1642">
        <f>G19/1350</f>
        <v>225.92592592592592</v>
      </c>
    </row>
    <row r="21" spans="2:13" x14ac:dyDescent="0.3">
      <c r="B21" s="1638">
        <f t="shared" si="0"/>
        <v>6</v>
      </c>
      <c r="C21" s="1639" t="s">
        <v>856</v>
      </c>
      <c r="D21" s="1640"/>
      <c r="E21" s="1641"/>
      <c r="F21" s="1636" t="s">
        <v>3</v>
      </c>
      <c r="G21" s="1642">
        <v>382500</v>
      </c>
      <c r="I21" s="1643">
        <v>382720</v>
      </c>
    </row>
    <row r="22" spans="2:13" x14ac:dyDescent="0.3">
      <c r="B22" s="1638">
        <f t="shared" si="0"/>
        <v>7</v>
      </c>
      <c r="C22" s="1639" t="s">
        <v>18</v>
      </c>
      <c r="D22" s="1640"/>
      <c r="E22" s="1641"/>
      <c r="F22" s="1636" t="s">
        <v>3</v>
      </c>
      <c r="G22" s="1642">
        <v>208000</v>
      </c>
      <c r="I22" s="1644">
        <v>208463</v>
      </c>
    </row>
    <row r="23" spans="2:13" x14ac:dyDescent="0.3">
      <c r="B23" s="1638">
        <f t="shared" si="0"/>
        <v>8</v>
      </c>
      <c r="C23" s="1639" t="s">
        <v>18</v>
      </c>
      <c r="D23" s="1640"/>
      <c r="E23" s="1641"/>
      <c r="F23" s="1636" t="s">
        <v>0</v>
      </c>
      <c r="G23" s="1642">
        <f>G22/1400</f>
        <v>148.57142857142858</v>
      </c>
    </row>
    <row r="24" spans="2:13" x14ac:dyDescent="0.3">
      <c r="B24" s="1638">
        <f t="shared" si="0"/>
        <v>9</v>
      </c>
      <c r="C24" s="1639" t="s">
        <v>19</v>
      </c>
      <c r="D24" s="1640"/>
      <c r="E24" s="1641"/>
      <c r="F24" s="1636" t="s">
        <v>3</v>
      </c>
      <c r="G24" s="1642">
        <v>177200</v>
      </c>
    </row>
    <row r="25" spans="2:13" x14ac:dyDescent="0.3">
      <c r="B25" s="1638">
        <f t="shared" si="0"/>
        <v>10</v>
      </c>
      <c r="C25" s="1639" t="s">
        <v>20</v>
      </c>
      <c r="D25" s="1640"/>
      <c r="E25" s="1641"/>
      <c r="F25" s="1636" t="s">
        <v>3</v>
      </c>
      <c r="G25" s="1642">
        <v>250000</v>
      </c>
    </row>
    <row r="26" spans="2:13" x14ac:dyDescent="0.3">
      <c r="B26" s="1638">
        <f t="shared" si="0"/>
        <v>11</v>
      </c>
      <c r="C26" s="1639" t="s">
        <v>243</v>
      </c>
      <c r="D26" s="1640"/>
      <c r="E26" s="1641"/>
      <c r="F26" s="1636" t="s">
        <v>3</v>
      </c>
      <c r="G26" s="1642">
        <v>300000</v>
      </c>
    </row>
    <row r="27" spans="2:13" x14ac:dyDescent="0.3">
      <c r="B27" s="1638">
        <f t="shared" si="0"/>
        <v>12</v>
      </c>
      <c r="C27" s="1639" t="s">
        <v>175</v>
      </c>
      <c r="D27" s="1640"/>
      <c r="E27" s="1641"/>
      <c r="F27" s="1636" t="s">
        <v>3</v>
      </c>
      <c r="G27" s="1642">
        <v>263750</v>
      </c>
      <c r="I27" s="1609">
        <f>293*0.9</f>
        <v>263.7</v>
      </c>
    </row>
    <row r="28" spans="2:13" x14ac:dyDescent="0.3">
      <c r="B28" s="1638"/>
      <c r="C28" s="1639"/>
      <c r="D28" s="1640"/>
      <c r="E28" s="1641"/>
      <c r="F28" s="1636"/>
      <c r="G28" s="1645"/>
    </row>
    <row r="29" spans="2:13" x14ac:dyDescent="0.3">
      <c r="B29" s="1632"/>
      <c r="C29" s="1633" t="s">
        <v>650</v>
      </c>
      <c r="D29" s="1634"/>
      <c r="E29" s="1635"/>
      <c r="F29" s="1636"/>
      <c r="G29" s="1637"/>
    </row>
    <row r="30" spans="2:13" x14ac:dyDescent="0.3">
      <c r="B30" s="1638">
        <v>1</v>
      </c>
      <c r="C30" s="1639" t="s">
        <v>1393</v>
      </c>
      <c r="D30" s="1640"/>
      <c r="E30" s="1641"/>
      <c r="F30" s="1636" t="s">
        <v>27</v>
      </c>
      <c r="G30" s="1642">
        <v>500000</v>
      </c>
      <c r="I30" s="1609">
        <f>(248+282)/2*1.2</f>
        <v>318</v>
      </c>
      <c r="J30" s="1608">
        <f>(248+282)/2</f>
        <v>265</v>
      </c>
      <c r="K30" s="1608">
        <f>96/12</f>
        <v>8</v>
      </c>
      <c r="L30" s="1608">
        <f>J30+K30</f>
        <v>273</v>
      </c>
      <c r="M30" s="1608">
        <f>L30*1.2</f>
        <v>327.59999999999997</v>
      </c>
    </row>
    <row r="31" spans="2:13" x14ac:dyDescent="0.3">
      <c r="B31" s="1638">
        <v>2</v>
      </c>
      <c r="C31" s="1639" t="s">
        <v>1392</v>
      </c>
      <c r="D31" s="1640"/>
      <c r="E31" s="1641"/>
      <c r="F31" s="1636" t="s">
        <v>27</v>
      </c>
      <c r="G31" s="1642">
        <v>625000</v>
      </c>
    </row>
    <row r="32" spans="2:13" x14ac:dyDescent="0.3">
      <c r="B32" s="1638"/>
      <c r="C32" s="1639"/>
      <c r="D32" s="1640"/>
      <c r="E32" s="1641"/>
      <c r="F32" s="1636"/>
      <c r="G32" s="1645"/>
    </row>
    <row r="33" spans="2:11" x14ac:dyDescent="0.3">
      <c r="B33" s="1632"/>
      <c r="C33" s="1633" t="s">
        <v>177</v>
      </c>
      <c r="D33" s="1634"/>
      <c r="E33" s="1635"/>
      <c r="F33" s="1636"/>
      <c r="G33" s="1637"/>
      <c r="J33" s="1646" t="s">
        <v>1351</v>
      </c>
    </row>
    <row r="34" spans="2:11" x14ac:dyDescent="0.3">
      <c r="B34" s="1638">
        <v>1</v>
      </c>
      <c r="C34" s="1639" t="s">
        <v>88</v>
      </c>
      <c r="D34" s="1640"/>
      <c r="E34" s="1641"/>
      <c r="F34" s="1636" t="s">
        <v>0</v>
      </c>
      <c r="G34" s="1642">
        <v>14700</v>
      </c>
      <c r="I34" s="1647">
        <f>22/7*0.005*0.005*7850*10</f>
        <v>6.1678571428571436</v>
      </c>
      <c r="J34" s="1644">
        <v>90764</v>
      </c>
      <c r="K34" s="1609">
        <f>J34/I34</f>
        <v>14715.645628257091</v>
      </c>
    </row>
    <row r="35" spans="2:11" x14ac:dyDescent="0.3">
      <c r="B35" s="1638">
        <v>2</v>
      </c>
      <c r="C35" s="1639" t="s">
        <v>111</v>
      </c>
      <c r="D35" s="1640"/>
      <c r="E35" s="1641"/>
      <c r="F35" s="1636" t="s">
        <v>0</v>
      </c>
      <c r="G35" s="1642">
        <v>15200</v>
      </c>
      <c r="J35" s="1609"/>
    </row>
    <row r="36" spans="2:11" x14ac:dyDescent="0.3">
      <c r="B36" s="1638">
        <v>3</v>
      </c>
      <c r="C36" s="1639" t="s">
        <v>172</v>
      </c>
      <c r="D36" s="1640"/>
      <c r="E36" s="1641"/>
      <c r="F36" s="1636" t="s">
        <v>0</v>
      </c>
      <c r="G36" s="1642">
        <v>23500</v>
      </c>
      <c r="I36" s="1644">
        <v>24150</v>
      </c>
    </row>
    <row r="37" spans="2:11" x14ac:dyDescent="0.3">
      <c r="B37" s="1638">
        <v>4</v>
      </c>
      <c r="C37" s="1639" t="s">
        <v>1551</v>
      </c>
      <c r="D37" s="1640"/>
      <c r="E37" s="1641"/>
      <c r="F37" s="1636" t="s">
        <v>27</v>
      </c>
      <c r="G37" s="1642">
        <v>27200</v>
      </c>
      <c r="I37" s="1644"/>
    </row>
    <row r="38" spans="2:11" x14ac:dyDescent="0.3">
      <c r="B38" s="1638">
        <v>5</v>
      </c>
      <c r="C38" s="1639" t="s">
        <v>21</v>
      </c>
      <c r="D38" s="1640"/>
      <c r="E38" s="1641"/>
      <c r="F38" s="1636" t="s">
        <v>0</v>
      </c>
      <c r="G38" s="1642">
        <v>32700</v>
      </c>
      <c r="I38" s="1644">
        <v>32775</v>
      </c>
    </row>
    <row r="39" spans="2:11" x14ac:dyDescent="0.3">
      <c r="B39" s="1638">
        <v>6</v>
      </c>
      <c r="C39" s="1639" t="s">
        <v>69</v>
      </c>
      <c r="D39" s="1640"/>
      <c r="E39" s="1641"/>
      <c r="F39" s="1636" t="s">
        <v>0</v>
      </c>
      <c r="G39" s="1642">
        <v>24150</v>
      </c>
      <c r="I39" s="1644">
        <v>24150</v>
      </c>
    </row>
    <row r="40" spans="2:11" ht="15.6" customHeight="1" x14ac:dyDescent="0.3">
      <c r="B40" s="1638">
        <v>7</v>
      </c>
      <c r="C40" s="1649" t="s">
        <v>22</v>
      </c>
      <c r="D40" s="1650"/>
      <c r="E40" s="1650"/>
      <c r="F40" s="1181" t="s">
        <v>0</v>
      </c>
      <c r="G40" s="1651">
        <v>75000</v>
      </c>
    </row>
    <row r="41" spans="2:11" ht="15.6" customHeight="1" x14ac:dyDescent="0.3">
      <c r="B41" s="1638">
        <v>8</v>
      </c>
      <c r="C41" s="1649" t="s">
        <v>1492</v>
      </c>
      <c r="D41" s="1650"/>
      <c r="E41" s="1650"/>
      <c r="F41" s="1181" t="s">
        <v>0</v>
      </c>
      <c r="G41" s="1651">
        <v>35000</v>
      </c>
    </row>
    <row r="42" spans="2:11" ht="15.6" customHeight="1" x14ac:dyDescent="0.3">
      <c r="B42" s="1638">
        <v>9</v>
      </c>
      <c r="C42" s="1649" t="s">
        <v>1524</v>
      </c>
      <c r="D42" s="1650"/>
      <c r="E42" s="1650"/>
      <c r="F42" s="1181" t="s">
        <v>161</v>
      </c>
      <c r="G42" s="1651">
        <v>2750</v>
      </c>
    </row>
    <row r="43" spans="2:11" x14ac:dyDescent="0.3">
      <c r="B43" s="1638"/>
      <c r="C43" s="1639"/>
      <c r="D43" s="1640"/>
      <c r="E43" s="1641"/>
      <c r="F43" s="1636"/>
      <c r="G43" s="1645"/>
    </row>
    <row r="44" spans="2:11" x14ac:dyDescent="0.3">
      <c r="B44" s="1632"/>
      <c r="C44" s="1633" t="s">
        <v>166</v>
      </c>
      <c r="D44" s="1634"/>
      <c r="E44" s="1635"/>
      <c r="F44" s="1636"/>
      <c r="G44" s="1645"/>
    </row>
    <row r="45" spans="2:11" x14ac:dyDescent="0.3">
      <c r="B45" s="1638">
        <v>1</v>
      </c>
      <c r="C45" s="1639" t="s">
        <v>25</v>
      </c>
      <c r="D45" s="1640"/>
      <c r="E45" s="1641"/>
      <c r="F45" s="1636" t="s">
        <v>0</v>
      </c>
      <c r="G45" s="1642">
        <v>2000</v>
      </c>
      <c r="I45" s="1609">
        <f>G45*40</f>
        <v>80000</v>
      </c>
      <c r="J45" s="1643">
        <v>2392</v>
      </c>
    </row>
    <row r="46" spans="2:11" x14ac:dyDescent="0.3">
      <c r="B46" s="1638">
        <f>B45+1</f>
        <v>2</v>
      </c>
      <c r="C46" s="1639" t="s">
        <v>26</v>
      </c>
      <c r="D46" s="1640"/>
      <c r="E46" s="1641"/>
      <c r="F46" s="1636" t="s">
        <v>0</v>
      </c>
      <c r="G46" s="1642">
        <f>I46</f>
        <v>12650</v>
      </c>
      <c r="I46" s="1644">
        <v>12650</v>
      </c>
    </row>
    <row r="47" spans="2:11" x14ac:dyDescent="0.3">
      <c r="B47" s="1638"/>
      <c r="C47" s="1639"/>
      <c r="D47" s="1640"/>
      <c r="E47" s="1641"/>
      <c r="F47" s="1636"/>
      <c r="G47" s="1645"/>
    </row>
    <row r="48" spans="2:11" x14ac:dyDescent="0.3">
      <c r="B48" s="1632"/>
      <c r="C48" s="1633" t="s">
        <v>178</v>
      </c>
      <c r="D48" s="1634"/>
      <c r="E48" s="1635"/>
      <c r="F48" s="1636"/>
      <c r="G48" s="1645"/>
    </row>
    <row r="49" spans="2:10" x14ac:dyDescent="0.3">
      <c r="B49" s="1638">
        <v>1</v>
      </c>
      <c r="C49" s="1639" t="s">
        <v>857</v>
      </c>
      <c r="D49" s="1634"/>
      <c r="E49" s="1635"/>
      <c r="F49" s="1636" t="s">
        <v>3</v>
      </c>
      <c r="G49" s="1642">
        <v>2934000</v>
      </c>
      <c r="I49" s="1609">
        <f>3260*0.9</f>
        <v>2934</v>
      </c>
    </row>
    <row r="50" spans="2:10" x14ac:dyDescent="0.3">
      <c r="B50" s="1638">
        <v>2</v>
      </c>
      <c r="C50" s="1639" t="s">
        <v>591</v>
      </c>
      <c r="D50" s="1640"/>
      <c r="E50" s="1641"/>
      <c r="F50" s="1636" t="s">
        <v>3</v>
      </c>
      <c r="G50" s="1642">
        <v>4351000</v>
      </c>
      <c r="I50" s="1644">
        <v>4351025</v>
      </c>
    </row>
    <row r="51" spans="2:10" x14ac:dyDescent="0.3">
      <c r="B51" s="1638">
        <v>3</v>
      </c>
      <c r="C51" s="1639" t="s">
        <v>600</v>
      </c>
      <c r="D51" s="1640"/>
      <c r="E51" s="1641"/>
      <c r="F51" s="1636" t="s">
        <v>3</v>
      </c>
      <c r="G51" s="1642">
        <v>7224000</v>
      </c>
      <c r="I51" s="1644">
        <v>7224875</v>
      </c>
    </row>
    <row r="52" spans="2:10" x14ac:dyDescent="0.3">
      <c r="B52" s="1638">
        <v>4</v>
      </c>
      <c r="C52" s="1639" t="s">
        <v>858</v>
      </c>
      <c r="D52" s="1640"/>
      <c r="E52" s="1641"/>
      <c r="F52" s="1636" t="s">
        <v>3</v>
      </c>
      <c r="G52" s="1642">
        <v>8090000</v>
      </c>
      <c r="I52" s="1644">
        <v>8090250</v>
      </c>
    </row>
    <row r="53" spans="2:10" x14ac:dyDescent="0.3">
      <c r="B53" s="1638">
        <v>5</v>
      </c>
      <c r="C53" s="1639" t="s">
        <v>1557</v>
      </c>
      <c r="D53" s="1640"/>
      <c r="E53" s="1641"/>
      <c r="F53" s="1636" t="s">
        <v>27</v>
      </c>
      <c r="G53" s="1642">
        <v>45000</v>
      </c>
      <c r="I53" s="1644"/>
    </row>
    <row r="54" spans="2:10" x14ac:dyDescent="0.3">
      <c r="B54" s="1638">
        <v>6</v>
      </c>
      <c r="C54" s="1639" t="s">
        <v>1552</v>
      </c>
      <c r="D54" s="1640"/>
      <c r="E54" s="1641"/>
      <c r="F54" s="1636" t="s">
        <v>23</v>
      </c>
      <c r="G54" s="1642">
        <v>735000</v>
      </c>
      <c r="I54" s="1644"/>
    </row>
    <row r="55" spans="2:10" x14ac:dyDescent="0.3">
      <c r="B55" s="1638">
        <v>7</v>
      </c>
      <c r="C55" s="1639" t="s">
        <v>859</v>
      </c>
      <c r="D55" s="1640"/>
      <c r="E55" s="1641"/>
      <c r="F55" s="1636" t="s">
        <v>29</v>
      </c>
      <c r="G55" s="1642">
        <v>89700</v>
      </c>
      <c r="I55" s="1644">
        <v>89700</v>
      </c>
      <c r="J55" s="1609"/>
    </row>
    <row r="56" spans="2:10" x14ac:dyDescent="0.3">
      <c r="B56" s="1638">
        <v>8</v>
      </c>
      <c r="C56" s="1639" t="s">
        <v>860</v>
      </c>
      <c r="D56" s="1640"/>
      <c r="E56" s="1641"/>
      <c r="F56" s="1636" t="s">
        <v>29</v>
      </c>
      <c r="G56" s="1642">
        <v>143750</v>
      </c>
      <c r="I56" s="1644">
        <v>143750</v>
      </c>
      <c r="J56" s="2996"/>
    </row>
    <row r="57" spans="2:10" x14ac:dyDescent="0.3">
      <c r="B57" s="1638">
        <v>9</v>
      </c>
      <c r="C57" s="1639" t="s">
        <v>182</v>
      </c>
      <c r="D57" s="1640"/>
      <c r="E57" s="1641"/>
      <c r="F57" s="1636" t="s">
        <v>28</v>
      </c>
      <c r="G57" s="1642">
        <v>34500</v>
      </c>
      <c r="I57" s="1644">
        <v>34500</v>
      </c>
    </row>
    <row r="58" spans="2:10" x14ac:dyDescent="0.3">
      <c r="B58" s="1638"/>
      <c r="C58" s="1639"/>
      <c r="D58" s="1640"/>
      <c r="E58" s="1641"/>
      <c r="F58" s="1636"/>
      <c r="G58" s="1645"/>
    </row>
    <row r="59" spans="2:10" x14ac:dyDescent="0.3">
      <c r="B59" s="1632"/>
      <c r="C59" s="1633" t="s">
        <v>179</v>
      </c>
      <c r="D59" s="1634"/>
      <c r="E59" s="1635"/>
      <c r="F59" s="1636"/>
      <c r="G59" s="1645"/>
    </row>
    <row r="60" spans="2:10" x14ac:dyDescent="0.3">
      <c r="B60" s="1638">
        <v>1</v>
      </c>
      <c r="C60" s="1639" t="s">
        <v>590</v>
      </c>
      <c r="D60" s="1640"/>
      <c r="E60" s="1641"/>
      <c r="F60" s="1636" t="s">
        <v>2</v>
      </c>
      <c r="G60" s="1642">
        <v>64250</v>
      </c>
    </row>
    <row r="61" spans="2:10" x14ac:dyDescent="0.3">
      <c r="B61" s="1638">
        <v>2</v>
      </c>
      <c r="C61" s="1652" t="s">
        <v>865</v>
      </c>
      <c r="D61" s="1640"/>
      <c r="E61" s="1641"/>
      <c r="F61" s="1636" t="s">
        <v>2</v>
      </c>
      <c r="G61" s="1642">
        <v>88000</v>
      </c>
    </row>
    <row r="62" spans="2:10" x14ac:dyDescent="0.3">
      <c r="B62" s="1638">
        <v>3</v>
      </c>
      <c r="C62" s="1652" t="s">
        <v>1566</v>
      </c>
      <c r="D62" s="1640"/>
      <c r="E62" s="1641"/>
      <c r="F62" s="1636" t="s">
        <v>2</v>
      </c>
      <c r="G62" s="1642">
        <v>158250</v>
      </c>
    </row>
    <row r="63" spans="2:10" x14ac:dyDescent="0.3">
      <c r="B63" s="1638">
        <v>4</v>
      </c>
      <c r="C63" s="1652" t="s">
        <v>1566</v>
      </c>
      <c r="D63" s="1640"/>
      <c r="E63" s="1641"/>
      <c r="F63" s="1636" t="s">
        <v>1493</v>
      </c>
      <c r="G63" s="1642">
        <v>47950</v>
      </c>
    </row>
    <row r="64" spans="2:10" x14ac:dyDescent="0.3">
      <c r="B64" s="1638">
        <v>5</v>
      </c>
      <c r="C64" s="1652" t="s">
        <v>1567</v>
      </c>
      <c r="D64" s="1640"/>
      <c r="E64" s="1641"/>
      <c r="F64" s="1636" t="s">
        <v>27</v>
      </c>
      <c r="G64" s="1642">
        <v>35000</v>
      </c>
    </row>
    <row r="65" spans="2:11" x14ac:dyDescent="0.3">
      <c r="B65" s="1638">
        <v>6</v>
      </c>
      <c r="C65" s="1652" t="s">
        <v>1516</v>
      </c>
      <c r="D65" s="1640"/>
      <c r="E65" s="1641"/>
      <c r="F65" s="1636" t="s">
        <v>2</v>
      </c>
      <c r="G65" s="1642">
        <v>1650000</v>
      </c>
    </row>
    <row r="66" spans="2:11" x14ac:dyDescent="0.3">
      <c r="B66" s="1638">
        <v>7</v>
      </c>
      <c r="C66" s="1652" t="s">
        <v>1523</v>
      </c>
      <c r="D66" s="1640"/>
      <c r="E66" s="1641"/>
      <c r="F66" s="1636" t="s">
        <v>2</v>
      </c>
      <c r="G66" s="1642">
        <v>335200</v>
      </c>
    </row>
    <row r="67" spans="2:11" x14ac:dyDescent="0.3">
      <c r="B67" s="1638">
        <v>8</v>
      </c>
      <c r="C67" s="1652" t="s">
        <v>1559</v>
      </c>
      <c r="D67" s="1640"/>
      <c r="E67" s="1641"/>
      <c r="F67" s="1636" t="s">
        <v>2</v>
      </c>
      <c r="G67" s="1642">
        <v>128750</v>
      </c>
    </row>
    <row r="68" spans="2:11" x14ac:dyDescent="0.3">
      <c r="B68" s="1638"/>
      <c r="C68" s="1639"/>
      <c r="D68" s="1640"/>
      <c r="E68" s="1641"/>
      <c r="F68" s="1636"/>
      <c r="G68" s="1645"/>
    </row>
    <row r="69" spans="2:11" x14ac:dyDescent="0.3">
      <c r="B69" s="1632"/>
      <c r="C69" s="1633" t="s">
        <v>180</v>
      </c>
      <c r="D69" s="1634"/>
      <c r="E69" s="1635"/>
      <c r="F69" s="1636"/>
      <c r="G69" s="1645"/>
    </row>
    <row r="70" spans="2:11" x14ac:dyDescent="0.3">
      <c r="B70" s="1638">
        <v>1</v>
      </c>
      <c r="C70" s="1653" t="s">
        <v>852</v>
      </c>
      <c r="D70" s="1654"/>
      <c r="E70" s="1655"/>
      <c r="F70" s="1636" t="s">
        <v>113</v>
      </c>
      <c r="G70" s="1642">
        <v>155000</v>
      </c>
      <c r="J70" s="1609"/>
      <c r="K70" s="1610"/>
    </row>
    <row r="71" spans="2:11" x14ac:dyDescent="0.3">
      <c r="B71" s="1638">
        <v>2</v>
      </c>
      <c r="C71" s="1658" t="s">
        <v>863</v>
      </c>
      <c r="D71" s="1654"/>
      <c r="E71" s="1655"/>
      <c r="F71" s="1636" t="s">
        <v>132</v>
      </c>
      <c r="G71" s="1656">
        <v>280000</v>
      </c>
    </row>
    <row r="72" spans="2:11" x14ac:dyDescent="0.3">
      <c r="B72" s="1638">
        <v>3</v>
      </c>
      <c r="C72" s="1658" t="s">
        <v>637</v>
      </c>
      <c r="D72" s="1654"/>
      <c r="E72" s="1655"/>
      <c r="F72" s="1636" t="s">
        <v>132</v>
      </c>
      <c r="G72" s="1656">
        <v>875000</v>
      </c>
    </row>
    <row r="73" spans="2:11" x14ac:dyDescent="0.3">
      <c r="B73" s="1638">
        <v>4</v>
      </c>
      <c r="C73" s="1658" t="s">
        <v>1525</v>
      </c>
      <c r="D73" s="1654"/>
      <c r="E73" s="1655"/>
      <c r="F73" s="1636" t="s">
        <v>161</v>
      </c>
      <c r="G73" s="1656">
        <v>32000</v>
      </c>
    </row>
    <row r="74" spans="2:11" x14ac:dyDescent="0.3">
      <c r="B74" s="1638"/>
      <c r="C74" s="1652"/>
      <c r="D74" s="1654"/>
      <c r="E74" s="1655"/>
      <c r="F74" s="1636"/>
      <c r="G74" s="1606"/>
    </row>
    <row r="75" spans="2:11" x14ac:dyDescent="0.3">
      <c r="B75" s="1632"/>
      <c r="C75" s="1633" t="s">
        <v>181</v>
      </c>
      <c r="D75" s="1634"/>
      <c r="E75" s="1635"/>
      <c r="F75" s="1636"/>
      <c r="G75" s="1606"/>
    </row>
    <row r="76" spans="2:11" x14ac:dyDescent="0.3">
      <c r="B76" s="1638">
        <v>1</v>
      </c>
      <c r="C76" s="1639" t="s">
        <v>83</v>
      </c>
      <c r="D76" s="1640"/>
      <c r="E76" s="1641"/>
      <c r="F76" s="1636" t="s">
        <v>24</v>
      </c>
      <c r="G76" s="1642">
        <v>25</v>
      </c>
    </row>
    <row r="77" spans="2:11" x14ac:dyDescent="0.3">
      <c r="B77" s="1638">
        <v>2</v>
      </c>
      <c r="C77" s="1639" t="s">
        <v>440</v>
      </c>
      <c r="D77" s="1640"/>
      <c r="E77" s="1641"/>
      <c r="F77" s="1636" t="s">
        <v>24</v>
      </c>
      <c r="G77" s="1642">
        <v>100000</v>
      </c>
    </row>
    <row r="78" spans="2:11" x14ac:dyDescent="0.3">
      <c r="B78" s="1638">
        <v>3</v>
      </c>
      <c r="C78" s="1639" t="s">
        <v>33</v>
      </c>
      <c r="D78" s="1640"/>
      <c r="E78" s="1641"/>
      <c r="F78" s="1636" t="s">
        <v>24</v>
      </c>
      <c r="G78" s="1642">
        <v>29000</v>
      </c>
    </row>
    <row r="79" spans="2:11" x14ac:dyDescent="0.3">
      <c r="B79" s="1638">
        <v>4</v>
      </c>
      <c r="C79" s="1639" t="s">
        <v>437</v>
      </c>
      <c r="D79" s="1640"/>
      <c r="E79" s="1641"/>
      <c r="F79" s="1636" t="s">
        <v>24</v>
      </c>
      <c r="G79" s="1642">
        <v>10897</v>
      </c>
    </row>
    <row r="80" spans="2:11" x14ac:dyDescent="0.3">
      <c r="B80" s="1638">
        <v>5</v>
      </c>
      <c r="C80" s="1639" t="s">
        <v>435</v>
      </c>
      <c r="D80" s="1640"/>
      <c r="E80" s="1641"/>
      <c r="F80" s="1636" t="s">
        <v>24</v>
      </c>
      <c r="G80" s="1642">
        <v>7650</v>
      </c>
    </row>
    <row r="81" spans="2:11" x14ac:dyDescent="0.3">
      <c r="B81" s="1638">
        <v>6</v>
      </c>
      <c r="C81" s="1639" t="s">
        <v>621</v>
      </c>
      <c r="D81" s="1640"/>
      <c r="E81" s="1641"/>
      <c r="F81" s="1636" t="s">
        <v>115</v>
      </c>
      <c r="G81" s="1642">
        <v>250000</v>
      </c>
    </row>
    <row r="82" spans="2:11" x14ac:dyDescent="0.3">
      <c r="B82" s="1638">
        <v>7</v>
      </c>
      <c r="C82" s="1639" t="s">
        <v>1234</v>
      </c>
      <c r="D82" s="1640"/>
      <c r="E82" s="1641"/>
      <c r="F82" s="1636" t="s">
        <v>1</v>
      </c>
      <c r="G82" s="1642">
        <v>10000000</v>
      </c>
    </row>
    <row r="83" spans="2:11" x14ac:dyDescent="0.3">
      <c r="B83" s="1638">
        <v>8</v>
      </c>
      <c r="C83" s="1639" t="s">
        <v>1504</v>
      </c>
      <c r="D83" s="1640"/>
      <c r="E83" s="1641"/>
      <c r="F83" s="1636" t="s">
        <v>113</v>
      </c>
      <c r="G83" s="1642">
        <v>87500</v>
      </c>
    </row>
    <row r="84" spans="2:11" x14ac:dyDescent="0.3">
      <c r="B84" s="1638">
        <v>9</v>
      </c>
      <c r="C84" s="1639" t="s">
        <v>1505</v>
      </c>
      <c r="D84" s="1640"/>
      <c r="E84" s="1641"/>
      <c r="F84" s="1636" t="s">
        <v>89</v>
      </c>
      <c r="G84" s="1642">
        <v>35000</v>
      </c>
    </row>
    <row r="85" spans="2:11" x14ac:dyDescent="0.3">
      <c r="B85" s="1638">
        <v>10</v>
      </c>
      <c r="C85" s="1639" t="s">
        <v>1539</v>
      </c>
      <c r="D85" s="1640"/>
      <c r="E85" s="1641"/>
      <c r="F85" s="1636" t="s">
        <v>27</v>
      </c>
      <c r="G85" s="1642">
        <v>127500</v>
      </c>
    </row>
    <row r="86" spans="2:11" x14ac:dyDescent="0.3">
      <c r="B86" s="1638">
        <v>11</v>
      </c>
      <c r="C86" s="1639" t="s">
        <v>1541</v>
      </c>
      <c r="D86" s="1640"/>
      <c r="E86" s="1641"/>
      <c r="F86" s="1636" t="s">
        <v>9</v>
      </c>
      <c r="G86" s="1642">
        <v>135000</v>
      </c>
    </row>
    <row r="87" spans="2:11" x14ac:dyDescent="0.3">
      <c r="B87" s="1638">
        <v>12</v>
      </c>
      <c r="C87" s="1639" t="s">
        <v>1558</v>
      </c>
      <c r="D87" s="1640"/>
      <c r="E87" s="1641"/>
      <c r="F87" s="1636" t="s">
        <v>2</v>
      </c>
      <c r="G87" s="1642">
        <v>98750</v>
      </c>
    </row>
    <row r="88" spans="2:11" x14ac:dyDescent="0.3">
      <c r="B88" s="1638"/>
      <c r="C88" s="1639"/>
      <c r="D88" s="1640"/>
      <c r="E88" s="1641"/>
      <c r="F88" s="1636"/>
      <c r="G88" s="1642"/>
    </row>
    <row r="89" spans="2:11" x14ac:dyDescent="0.3">
      <c r="B89" s="1632"/>
      <c r="C89" s="1633" t="s">
        <v>582</v>
      </c>
      <c r="D89" s="1634"/>
      <c r="E89" s="1635"/>
      <c r="F89" s="1636"/>
      <c r="G89" s="1606"/>
    </row>
    <row r="90" spans="2:11" x14ac:dyDescent="0.3">
      <c r="B90" s="1638">
        <v>1</v>
      </c>
      <c r="C90" s="1639" t="str">
        <f>PERALATAN!H72</f>
        <v>Hidraulic Static Pile Driver (HSPD 120)</v>
      </c>
      <c r="D90" s="1640"/>
      <c r="E90" s="1641"/>
      <c r="F90" s="1636" t="s">
        <v>247</v>
      </c>
      <c r="G90" s="1642">
        <f>PERALATAN!I110-250000</f>
        <v>583461.27381452639</v>
      </c>
    </row>
    <row r="91" spans="2:11" x14ac:dyDescent="0.3">
      <c r="B91" s="1638">
        <f t="shared" ref="B91:B96" si="1">B90+1</f>
        <v>2</v>
      </c>
      <c r="C91" s="1661" t="s">
        <v>611</v>
      </c>
      <c r="D91" s="1640"/>
      <c r="E91" s="1641"/>
      <c r="F91" s="1636" t="s">
        <v>1</v>
      </c>
      <c r="G91" s="1642">
        <v>5000</v>
      </c>
    </row>
    <row r="92" spans="2:11" ht="36.75" customHeight="1" x14ac:dyDescent="0.3">
      <c r="B92" s="1657">
        <f t="shared" si="1"/>
        <v>3</v>
      </c>
      <c r="C92" s="3166" t="s">
        <v>566</v>
      </c>
      <c r="D92" s="3167"/>
      <c r="E92" s="3168"/>
      <c r="F92" s="1648" t="s">
        <v>32</v>
      </c>
      <c r="G92" s="2348">
        <f>PERALATAN!I169*8</f>
        <v>7738615.3307380965</v>
      </c>
      <c r="I92" s="1609">
        <v>70082568.0896689</v>
      </c>
      <c r="K92" s="1608">
        <f>400/28</f>
        <v>14.285714285714286</v>
      </c>
    </row>
    <row r="93" spans="2:11" x14ac:dyDescent="0.3">
      <c r="B93" s="1638">
        <f t="shared" si="1"/>
        <v>4</v>
      </c>
      <c r="C93" s="1661" t="s">
        <v>578</v>
      </c>
      <c r="D93" s="1640"/>
      <c r="E93" s="1641"/>
      <c r="F93" s="1636" t="s">
        <v>247</v>
      </c>
      <c r="G93" s="1642">
        <v>172719.11026506632</v>
      </c>
    </row>
    <row r="94" spans="2:11" x14ac:dyDescent="0.3">
      <c r="B94" s="1638">
        <f t="shared" si="1"/>
        <v>5</v>
      </c>
      <c r="C94" s="1661" t="s">
        <v>1378</v>
      </c>
      <c r="D94" s="1640"/>
      <c r="E94" s="1641"/>
      <c r="F94" s="1636" t="s">
        <v>247</v>
      </c>
      <c r="G94" s="1642">
        <v>420000</v>
      </c>
    </row>
    <row r="95" spans="2:11" x14ac:dyDescent="0.3">
      <c r="B95" s="1638">
        <f t="shared" si="1"/>
        <v>6</v>
      </c>
      <c r="C95" s="1661" t="s">
        <v>1231</v>
      </c>
      <c r="D95" s="1640"/>
      <c r="E95" s="1641"/>
      <c r="F95" s="1636" t="s">
        <v>247</v>
      </c>
      <c r="G95" s="1642">
        <v>420000</v>
      </c>
    </row>
    <row r="96" spans="2:11" x14ac:dyDescent="0.3">
      <c r="B96" s="1638">
        <f t="shared" si="1"/>
        <v>7</v>
      </c>
      <c r="C96" s="1661" t="s">
        <v>1232</v>
      </c>
      <c r="D96" s="1640"/>
      <c r="E96" s="1641"/>
      <c r="F96" s="1636" t="s">
        <v>247</v>
      </c>
      <c r="G96" s="1642">
        <v>420000</v>
      </c>
    </row>
    <row r="97" spans="2:8" x14ac:dyDescent="0.3">
      <c r="B97" s="1662">
        <v>8</v>
      </c>
      <c r="C97" s="1661" t="s">
        <v>1507</v>
      </c>
      <c r="D97" s="1640"/>
      <c r="E97" s="1641"/>
      <c r="F97" s="1663" t="s">
        <v>1510</v>
      </c>
      <c r="G97" s="1642">
        <v>17000</v>
      </c>
    </row>
    <row r="98" spans="2:8" x14ac:dyDescent="0.3">
      <c r="B98" s="3004"/>
      <c r="C98" s="3005"/>
      <c r="D98" s="3006"/>
      <c r="E98" s="3007"/>
      <c r="F98" s="3008"/>
      <c r="G98" s="3009"/>
    </row>
    <row r="99" spans="2:8" x14ac:dyDescent="0.3">
      <c r="B99" s="3000"/>
      <c r="C99" s="3001" t="s">
        <v>322</v>
      </c>
      <c r="D99" s="2982"/>
      <c r="E99" s="2983"/>
      <c r="F99" s="3002"/>
      <c r="G99" s="3003"/>
    </row>
    <row r="100" spans="2:8" x14ac:dyDescent="0.3">
      <c r="B100" s="1662"/>
      <c r="C100" s="1665" t="s">
        <v>330</v>
      </c>
      <c r="D100" s="1654"/>
      <c r="E100" s="1655"/>
      <c r="F100" s="1663"/>
      <c r="G100" s="1664"/>
    </row>
    <row r="101" spans="2:8" x14ac:dyDescent="0.3">
      <c r="B101" s="1662">
        <v>1</v>
      </c>
      <c r="C101" s="1639" t="s">
        <v>331</v>
      </c>
      <c r="D101" s="1654"/>
      <c r="E101" s="1655"/>
      <c r="F101" s="1663" t="s">
        <v>115</v>
      </c>
      <c r="G101" s="1666">
        <v>300000</v>
      </c>
    </row>
    <row r="102" spans="2:8" x14ac:dyDescent="0.3">
      <c r="B102" s="1638">
        <f>B101+1</f>
        <v>2</v>
      </c>
      <c r="C102" s="1667" t="s">
        <v>652</v>
      </c>
      <c r="D102" s="1654"/>
      <c r="E102" s="1655"/>
      <c r="F102" s="1663" t="s">
        <v>115</v>
      </c>
      <c r="G102" s="1666">
        <v>200000</v>
      </c>
    </row>
    <row r="103" spans="2:8" x14ac:dyDescent="0.3">
      <c r="B103" s="1638">
        <f>B102+1</f>
        <v>3</v>
      </c>
      <c r="C103" s="1667" t="s">
        <v>653</v>
      </c>
      <c r="D103" s="1654"/>
      <c r="E103" s="1655"/>
      <c r="F103" s="1663" t="s">
        <v>115</v>
      </c>
      <c r="G103" s="1666">
        <v>200000</v>
      </c>
    </row>
    <row r="104" spans="2:8" x14ac:dyDescent="0.3">
      <c r="B104" s="1662"/>
      <c r="C104" s="1665" t="s">
        <v>333</v>
      </c>
      <c r="D104" s="1654"/>
      <c r="E104" s="1655"/>
      <c r="F104" s="1663"/>
      <c r="G104" s="1664"/>
      <c r="H104" s="1668"/>
    </row>
    <row r="105" spans="2:8" x14ac:dyDescent="0.3">
      <c r="B105" s="1662">
        <v>1</v>
      </c>
      <c r="C105" s="1417" t="s">
        <v>654</v>
      </c>
      <c r="D105" s="1654"/>
      <c r="E105" s="1655"/>
      <c r="F105" s="1432" t="s">
        <v>334</v>
      </c>
      <c r="G105" s="1666">
        <v>10000</v>
      </c>
      <c r="H105" s="1668"/>
    </row>
    <row r="106" spans="2:8" x14ac:dyDescent="0.3">
      <c r="B106" s="1638">
        <f>B105+1</f>
        <v>2</v>
      </c>
      <c r="C106" s="1417" t="s">
        <v>655</v>
      </c>
      <c r="D106" s="1654"/>
      <c r="E106" s="1655"/>
      <c r="F106" s="1432" t="s">
        <v>334</v>
      </c>
      <c r="G106" s="1666">
        <v>15000</v>
      </c>
      <c r="H106" s="1668"/>
    </row>
    <row r="107" spans="2:8" x14ac:dyDescent="0.3">
      <c r="B107" s="1638">
        <f>B106+1</f>
        <v>3</v>
      </c>
      <c r="C107" s="1417" t="s">
        <v>656</v>
      </c>
      <c r="D107" s="1654"/>
      <c r="E107" s="1655"/>
      <c r="F107" s="1432"/>
      <c r="G107" s="1666"/>
      <c r="H107" s="1668"/>
    </row>
    <row r="108" spans="2:8" x14ac:dyDescent="0.3">
      <c r="B108" s="1638"/>
      <c r="C108" s="1439" t="s">
        <v>660</v>
      </c>
      <c r="D108" s="1654"/>
      <c r="E108" s="1655"/>
      <c r="F108" s="1432" t="s">
        <v>334</v>
      </c>
      <c r="G108" s="1666">
        <v>10000</v>
      </c>
      <c r="H108" s="1668"/>
    </row>
    <row r="109" spans="2:8" x14ac:dyDescent="0.3">
      <c r="B109" s="1638">
        <f>B107+1</f>
        <v>4</v>
      </c>
      <c r="C109" s="1417" t="s">
        <v>657</v>
      </c>
      <c r="D109" s="1654"/>
      <c r="E109" s="1655"/>
      <c r="F109" s="1432" t="s">
        <v>334</v>
      </c>
      <c r="G109" s="1666">
        <v>10000</v>
      </c>
      <c r="H109" s="1668"/>
    </row>
    <row r="110" spans="2:8" x14ac:dyDescent="0.3">
      <c r="B110" s="1638">
        <f>B109+1</f>
        <v>5</v>
      </c>
      <c r="C110" s="1417" t="s">
        <v>658</v>
      </c>
      <c r="D110" s="1654"/>
      <c r="E110" s="1655"/>
      <c r="F110" s="1432" t="s">
        <v>332</v>
      </c>
      <c r="G110" s="1666">
        <v>200000</v>
      </c>
      <c r="H110" s="1668"/>
    </row>
    <row r="111" spans="2:8" x14ac:dyDescent="0.3">
      <c r="B111" s="1638">
        <f>B110+1</f>
        <v>6</v>
      </c>
      <c r="C111" s="1417" t="s">
        <v>659</v>
      </c>
      <c r="D111" s="1654"/>
      <c r="E111" s="1655"/>
      <c r="F111" s="1432" t="s">
        <v>332</v>
      </c>
      <c r="G111" s="1666">
        <v>200000</v>
      </c>
      <c r="H111" s="1668"/>
    </row>
    <row r="112" spans="2:8" x14ac:dyDescent="0.3">
      <c r="B112" s="1638">
        <f>B111+1</f>
        <v>7</v>
      </c>
      <c r="C112" s="1417" t="s">
        <v>335</v>
      </c>
      <c r="D112" s="1654"/>
      <c r="E112" s="1655"/>
      <c r="F112" s="1432" t="s">
        <v>9</v>
      </c>
      <c r="G112" s="1666">
        <v>200000</v>
      </c>
      <c r="H112" s="1668"/>
    </row>
    <row r="113" spans="2:8" x14ac:dyDescent="0.3">
      <c r="B113" s="1669"/>
      <c r="C113" s="1670" t="s">
        <v>336</v>
      </c>
      <c r="D113" s="1659"/>
      <c r="E113" s="1660"/>
      <c r="F113" s="1671"/>
      <c r="G113" s="1666"/>
      <c r="H113" s="1668"/>
    </row>
    <row r="114" spans="2:8" x14ac:dyDescent="0.3">
      <c r="B114" s="1669">
        <v>1</v>
      </c>
      <c r="C114" s="1417" t="s">
        <v>661</v>
      </c>
      <c r="D114" s="1659"/>
      <c r="E114" s="1660"/>
      <c r="F114" s="1457" t="s">
        <v>1</v>
      </c>
      <c r="G114" s="1666">
        <v>1000000</v>
      </c>
      <c r="H114" s="1668"/>
    </row>
    <row r="115" spans="2:8" x14ac:dyDescent="0.3">
      <c r="B115" s="1193">
        <f>B114+1</f>
        <v>2</v>
      </c>
      <c r="C115" s="1417" t="s">
        <v>662</v>
      </c>
      <c r="D115" s="1659"/>
      <c r="E115" s="1660"/>
      <c r="F115" s="1457" t="s">
        <v>1</v>
      </c>
      <c r="G115" s="1666">
        <v>1000000</v>
      </c>
      <c r="H115" s="1668"/>
    </row>
    <row r="116" spans="2:8" x14ac:dyDescent="0.3">
      <c r="B116" s="1193">
        <f>B115+1</f>
        <v>3</v>
      </c>
      <c r="C116" s="1417" t="s">
        <v>663</v>
      </c>
      <c r="D116" s="1659"/>
      <c r="E116" s="1660"/>
      <c r="F116" s="1457" t="s">
        <v>1</v>
      </c>
      <c r="G116" s="1666">
        <v>1000000</v>
      </c>
      <c r="H116" s="1668"/>
    </row>
    <row r="117" spans="2:8" x14ac:dyDescent="0.3">
      <c r="B117" s="1193">
        <f t="shared" ref="B117:B128" si="2">B116+1</f>
        <v>4</v>
      </c>
      <c r="C117" s="1417" t="s">
        <v>664</v>
      </c>
      <c r="D117" s="1659"/>
      <c r="E117" s="1660"/>
      <c r="F117" s="1457" t="s">
        <v>1</v>
      </c>
      <c r="G117" s="1666">
        <v>1000000</v>
      </c>
      <c r="H117" s="1668"/>
    </row>
    <row r="118" spans="2:8" x14ac:dyDescent="0.3">
      <c r="B118" s="1193">
        <f t="shared" si="2"/>
        <v>5</v>
      </c>
      <c r="C118" s="1417" t="s">
        <v>665</v>
      </c>
      <c r="D118" s="1659"/>
      <c r="E118" s="1660"/>
      <c r="F118" s="1457" t="s">
        <v>9</v>
      </c>
      <c r="G118" s="1666">
        <v>75000</v>
      </c>
      <c r="H118" s="1668"/>
    </row>
    <row r="119" spans="2:8" x14ac:dyDescent="0.3">
      <c r="B119" s="1193">
        <f t="shared" si="2"/>
        <v>6</v>
      </c>
      <c r="C119" s="1417" t="s">
        <v>666</v>
      </c>
      <c r="D119" s="1659"/>
      <c r="E119" s="1660"/>
      <c r="F119" s="1457" t="s">
        <v>129</v>
      </c>
      <c r="G119" s="1666">
        <v>25000</v>
      </c>
      <c r="H119" s="1668"/>
    </row>
    <row r="120" spans="2:8" x14ac:dyDescent="0.3">
      <c r="B120" s="1193">
        <f t="shared" si="2"/>
        <v>7</v>
      </c>
      <c r="C120" s="1417" t="s">
        <v>667</v>
      </c>
      <c r="D120" s="1659"/>
      <c r="E120" s="1660"/>
      <c r="F120" s="1457" t="s">
        <v>9</v>
      </c>
      <c r="G120" s="1666">
        <v>300000</v>
      </c>
      <c r="H120" s="1668"/>
    </row>
    <row r="121" spans="2:8" x14ac:dyDescent="0.3">
      <c r="B121" s="1193">
        <f t="shared" si="2"/>
        <v>8</v>
      </c>
      <c r="C121" s="1417" t="s">
        <v>668</v>
      </c>
      <c r="D121" s="1659"/>
      <c r="E121" s="1660"/>
      <c r="F121" s="1457" t="s">
        <v>9</v>
      </c>
      <c r="G121" s="1666">
        <v>50000</v>
      </c>
      <c r="H121" s="1668"/>
    </row>
    <row r="122" spans="2:8" x14ac:dyDescent="0.3">
      <c r="B122" s="1193">
        <f t="shared" si="2"/>
        <v>9</v>
      </c>
      <c r="C122" s="1417" t="s">
        <v>669</v>
      </c>
      <c r="D122" s="1659"/>
      <c r="E122" s="1660"/>
      <c r="F122" s="1457" t="s">
        <v>129</v>
      </c>
      <c r="G122" s="1666">
        <v>5000</v>
      </c>
      <c r="H122" s="1668"/>
    </row>
    <row r="123" spans="2:8" x14ac:dyDescent="0.3">
      <c r="B123" s="1193">
        <f t="shared" si="2"/>
        <v>10</v>
      </c>
      <c r="C123" s="1417" t="s">
        <v>1305</v>
      </c>
      <c r="D123" s="1659"/>
      <c r="E123" s="1660"/>
      <c r="F123" s="1457" t="s">
        <v>129</v>
      </c>
      <c r="G123" s="1666">
        <v>145000</v>
      </c>
      <c r="H123" s="1668"/>
    </row>
    <row r="124" spans="2:8" x14ac:dyDescent="0.3">
      <c r="B124" s="1193">
        <f t="shared" si="2"/>
        <v>11</v>
      </c>
      <c r="C124" s="1417" t="s">
        <v>1304</v>
      </c>
      <c r="D124" s="1659"/>
      <c r="E124" s="1660"/>
      <c r="F124" s="1457" t="s">
        <v>129</v>
      </c>
      <c r="G124" s="1666">
        <v>350000</v>
      </c>
      <c r="H124" s="1668"/>
    </row>
    <row r="125" spans="2:8" x14ac:dyDescent="0.3">
      <c r="B125" s="1193">
        <f t="shared" si="2"/>
        <v>12</v>
      </c>
      <c r="C125" s="1417" t="s">
        <v>671</v>
      </c>
      <c r="D125" s="1659"/>
      <c r="E125" s="1660"/>
      <c r="F125" s="1457" t="s">
        <v>9</v>
      </c>
      <c r="G125" s="1666">
        <v>750000</v>
      </c>
      <c r="H125" s="1668"/>
    </row>
    <row r="126" spans="2:8" x14ac:dyDescent="0.3">
      <c r="B126" s="1193">
        <f t="shared" si="2"/>
        <v>13</v>
      </c>
      <c r="C126" s="1417" t="s">
        <v>672</v>
      </c>
      <c r="D126" s="1659"/>
      <c r="E126" s="1660"/>
      <c r="F126" s="1457" t="s">
        <v>9</v>
      </c>
      <c r="G126" s="1666">
        <v>25000</v>
      </c>
      <c r="H126" s="1668"/>
    </row>
    <row r="127" spans="2:8" x14ac:dyDescent="0.3">
      <c r="B127" s="1193">
        <f t="shared" si="2"/>
        <v>14</v>
      </c>
      <c r="C127" s="1417" t="s">
        <v>673</v>
      </c>
      <c r="D127" s="1659"/>
      <c r="E127" s="1660"/>
      <c r="F127" s="1457" t="s">
        <v>9</v>
      </c>
      <c r="G127" s="1666">
        <v>150000</v>
      </c>
      <c r="H127" s="1668"/>
    </row>
    <row r="128" spans="2:8" x14ac:dyDescent="0.3">
      <c r="B128" s="1193">
        <f t="shared" si="2"/>
        <v>15</v>
      </c>
      <c r="C128" s="1417" t="s">
        <v>674</v>
      </c>
      <c r="D128" s="1659"/>
      <c r="E128" s="1660"/>
      <c r="F128" s="1457" t="s">
        <v>9</v>
      </c>
      <c r="G128" s="1666">
        <v>500000</v>
      </c>
      <c r="H128" s="1668"/>
    </row>
    <row r="129" spans="2:8" x14ac:dyDescent="0.3">
      <c r="B129" s="2823"/>
      <c r="C129" s="1672" t="s">
        <v>337</v>
      </c>
      <c r="D129" s="1659"/>
      <c r="E129" s="1660"/>
      <c r="F129" s="1636"/>
      <c r="G129" s="1666"/>
      <c r="H129" s="1668"/>
    </row>
    <row r="130" spans="2:8" x14ac:dyDescent="0.3">
      <c r="B130" s="2824">
        <v>1</v>
      </c>
      <c r="C130" s="1417" t="s">
        <v>675</v>
      </c>
      <c r="D130" s="1659"/>
      <c r="E130" s="1660"/>
      <c r="F130" s="1457" t="s">
        <v>1</v>
      </c>
      <c r="G130" s="1666">
        <v>400000</v>
      </c>
      <c r="H130" s="1668"/>
    </row>
    <row r="131" spans="2:8" x14ac:dyDescent="0.3">
      <c r="B131" s="2823"/>
      <c r="C131" s="1672" t="s">
        <v>340</v>
      </c>
      <c r="D131" s="1673"/>
      <c r="E131" s="1660"/>
      <c r="F131" s="1407"/>
      <c r="G131" s="1666"/>
      <c r="H131" s="1668"/>
    </row>
    <row r="132" spans="2:8" x14ac:dyDescent="0.3">
      <c r="B132" s="2824">
        <v>1</v>
      </c>
      <c r="C132" s="1674" t="s">
        <v>681</v>
      </c>
      <c r="D132" s="1675"/>
      <c r="E132" s="1660"/>
      <c r="F132" s="1457" t="s">
        <v>1</v>
      </c>
      <c r="G132" s="1666">
        <v>1000000</v>
      </c>
      <c r="H132" s="1668"/>
    </row>
    <row r="133" spans="2:8" x14ac:dyDescent="0.3">
      <c r="B133" s="2825">
        <f>B132+1</f>
        <v>2</v>
      </c>
      <c r="C133" s="1674" t="s">
        <v>682</v>
      </c>
      <c r="D133" s="1675"/>
      <c r="E133" s="1660"/>
      <c r="F133" s="1457" t="s">
        <v>1</v>
      </c>
      <c r="G133" s="1666">
        <v>500000</v>
      </c>
      <c r="H133" s="1668"/>
    </row>
    <row r="134" spans="2:8" x14ac:dyDescent="0.3">
      <c r="B134" s="2823"/>
      <c r="C134" s="1672" t="s">
        <v>705</v>
      </c>
      <c r="D134" s="1673"/>
      <c r="E134" s="1660"/>
      <c r="F134" s="1407"/>
      <c r="G134" s="1666"/>
      <c r="H134" s="1668"/>
    </row>
    <row r="135" spans="2:8" x14ac:dyDescent="0.3">
      <c r="B135" s="2824">
        <v>1</v>
      </c>
      <c r="C135" s="1676" t="s">
        <v>684</v>
      </c>
      <c r="D135" s="1675"/>
      <c r="E135" s="1660"/>
      <c r="F135" s="1457" t="s">
        <v>9</v>
      </c>
      <c r="G135" s="1666">
        <v>25000</v>
      </c>
      <c r="H135" s="1668"/>
    </row>
    <row r="136" spans="2:8" x14ac:dyDescent="0.3">
      <c r="B136" s="2825">
        <f>B135+1</f>
        <v>2</v>
      </c>
      <c r="C136" s="1676" t="s">
        <v>685</v>
      </c>
      <c r="D136" s="1675"/>
      <c r="E136" s="1660"/>
      <c r="F136" s="1457" t="s">
        <v>9</v>
      </c>
      <c r="G136" s="1666">
        <v>25000</v>
      </c>
      <c r="H136" s="1668"/>
    </row>
    <row r="137" spans="2:8" x14ac:dyDescent="0.3">
      <c r="B137" s="2825">
        <f>B136+1</f>
        <v>3</v>
      </c>
      <c r="C137" s="1676" t="s">
        <v>686</v>
      </c>
      <c r="D137" s="1675"/>
      <c r="E137" s="1660"/>
      <c r="F137" s="1457" t="s">
        <v>9</v>
      </c>
      <c r="G137" s="1666">
        <v>25000</v>
      </c>
      <c r="H137" s="1668"/>
    </row>
    <row r="138" spans="2:8" x14ac:dyDescent="0.3">
      <c r="B138" s="2825">
        <f>B137+1</f>
        <v>4</v>
      </c>
      <c r="C138" s="1676" t="s">
        <v>687</v>
      </c>
      <c r="D138" s="1675"/>
      <c r="E138" s="1660"/>
      <c r="F138" s="1457" t="s">
        <v>9</v>
      </c>
      <c r="G138" s="1666">
        <v>25000</v>
      </c>
      <c r="H138" s="1668"/>
    </row>
    <row r="139" spans="2:8" x14ac:dyDescent="0.3">
      <c r="B139" s="2825">
        <f>B138+1</f>
        <v>5</v>
      </c>
      <c r="C139" s="1676" t="s">
        <v>688</v>
      </c>
      <c r="D139" s="1675"/>
      <c r="E139" s="1660"/>
      <c r="F139" s="1457" t="s">
        <v>9</v>
      </c>
      <c r="G139" s="1666">
        <v>25000</v>
      </c>
      <c r="H139" s="1668"/>
    </row>
    <row r="140" spans="2:8" x14ac:dyDescent="0.3">
      <c r="B140" s="2825">
        <f>B139+1</f>
        <v>6</v>
      </c>
      <c r="C140" s="1676" t="s">
        <v>689</v>
      </c>
      <c r="D140" s="1675"/>
      <c r="E140" s="1660"/>
      <c r="F140" s="1457" t="s">
        <v>1</v>
      </c>
      <c r="G140" s="1666">
        <v>25000</v>
      </c>
      <c r="H140" s="1668"/>
    </row>
    <row r="141" spans="2:8" x14ac:dyDescent="0.3">
      <c r="B141" s="1638"/>
      <c r="C141" s="1639"/>
      <c r="D141" s="1654"/>
      <c r="E141" s="1655"/>
      <c r="F141" s="1636"/>
      <c r="G141" s="1666"/>
      <c r="H141" s="1668"/>
    </row>
    <row r="142" spans="2:8" x14ac:dyDescent="0.3">
      <c r="B142" s="2826"/>
      <c r="C142" s="1677" t="s">
        <v>341</v>
      </c>
      <c r="D142" s="1659"/>
      <c r="E142" s="1660"/>
      <c r="F142" s="1671"/>
      <c r="G142" s="1666"/>
      <c r="H142" s="1668"/>
    </row>
    <row r="143" spans="2:8" x14ac:dyDescent="0.3">
      <c r="B143" s="2824">
        <v>1</v>
      </c>
      <c r="C143" s="1676" t="s">
        <v>690</v>
      </c>
      <c r="D143" s="1659"/>
      <c r="E143" s="1660"/>
      <c r="F143" s="1457" t="s">
        <v>9</v>
      </c>
      <c r="G143" s="1666">
        <v>550000</v>
      </c>
      <c r="H143" s="1668"/>
    </row>
    <row r="144" spans="2:8" x14ac:dyDescent="0.3">
      <c r="B144" s="2825">
        <f t="shared" ref="B144:B154" si="3">B143+1</f>
        <v>2</v>
      </c>
      <c r="C144" s="1676" t="s">
        <v>691</v>
      </c>
      <c r="D144" s="1659"/>
      <c r="E144" s="1660"/>
      <c r="F144" s="1457" t="s">
        <v>9</v>
      </c>
      <c r="G144" s="1666">
        <v>150000</v>
      </c>
      <c r="H144" s="1668"/>
    </row>
    <row r="145" spans="2:8" x14ac:dyDescent="0.3">
      <c r="B145" s="2825">
        <f>B143+1</f>
        <v>2</v>
      </c>
      <c r="C145" s="1676" t="s">
        <v>692</v>
      </c>
      <c r="D145" s="1659"/>
      <c r="E145" s="1660"/>
      <c r="F145" s="1457" t="s">
        <v>1</v>
      </c>
      <c r="G145" s="1666">
        <v>500000</v>
      </c>
      <c r="H145" s="1668"/>
    </row>
    <row r="146" spans="2:8" x14ac:dyDescent="0.3">
      <c r="B146" s="2825">
        <f t="shared" si="3"/>
        <v>3</v>
      </c>
      <c r="C146" s="1676" t="s">
        <v>342</v>
      </c>
      <c r="D146" s="1659"/>
      <c r="E146" s="1660"/>
      <c r="F146" s="1457" t="s">
        <v>1</v>
      </c>
      <c r="G146" s="1666">
        <v>300000</v>
      </c>
      <c r="H146" s="1668"/>
    </row>
    <row r="147" spans="2:8" x14ac:dyDescent="0.3">
      <c r="B147" s="2825">
        <f t="shared" si="3"/>
        <v>4</v>
      </c>
      <c r="C147" s="1676" t="s">
        <v>693</v>
      </c>
      <c r="D147" s="1659"/>
      <c r="E147" s="1660"/>
      <c r="F147" s="1457" t="s">
        <v>332</v>
      </c>
      <c r="G147" s="1666">
        <v>1500</v>
      </c>
      <c r="H147" s="1668"/>
    </row>
    <row r="148" spans="2:8" x14ac:dyDescent="0.3">
      <c r="B148" s="2829"/>
      <c r="C148" s="2830"/>
      <c r="D148" s="2831"/>
      <c r="E148" s="2832"/>
      <c r="F148" s="1473"/>
      <c r="G148" s="2833"/>
      <c r="H148" s="1668"/>
    </row>
    <row r="149" spans="2:8" x14ac:dyDescent="0.3">
      <c r="B149" s="2834"/>
      <c r="C149" s="2835" t="s">
        <v>707</v>
      </c>
      <c r="D149" s="2836"/>
      <c r="E149" s="2837"/>
      <c r="F149" s="2838"/>
      <c r="G149" s="2839"/>
      <c r="H149" s="1668"/>
    </row>
    <row r="150" spans="2:8" x14ac:dyDescent="0.3">
      <c r="B150" s="2824">
        <v>1</v>
      </c>
      <c r="C150" s="1676" t="s">
        <v>694</v>
      </c>
      <c r="D150" s="1659"/>
      <c r="E150" s="1660"/>
      <c r="F150" s="1678" t="s">
        <v>9</v>
      </c>
      <c r="G150" s="1666">
        <v>2000000</v>
      </c>
      <c r="H150" s="1668"/>
    </row>
    <row r="151" spans="2:8" x14ac:dyDescent="0.3">
      <c r="B151" s="2825">
        <f t="shared" si="3"/>
        <v>2</v>
      </c>
      <c r="C151" s="1676" t="s">
        <v>695</v>
      </c>
      <c r="D151" s="1659"/>
      <c r="E151" s="1660"/>
      <c r="F151" s="1678" t="s">
        <v>9</v>
      </c>
      <c r="G151" s="1666">
        <v>150000</v>
      </c>
      <c r="H151" s="1668"/>
    </row>
    <row r="152" spans="2:8" x14ac:dyDescent="0.3">
      <c r="B152" s="2825">
        <f>B150+1</f>
        <v>2</v>
      </c>
      <c r="C152" s="1676" t="s">
        <v>696</v>
      </c>
      <c r="D152" s="1659"/>
      <c r="E152" s="1660"/>
      <c r="F152" s="1678" t="s">
        <v>9</v>
      </c>
      <c r="G152" s="1666">
        <v>750000</v>
      </c>
      <c r="H152" s="1668"/>
    </row>
    <row r="153" spans="2:8" x14ac:dyDescent="0.3">
      <c r="B153" s="2825">
        <f t="shared" si="3"/>
        <v>3</v>
      </c>
      <c r="C153" s="1676" t="s">
        <v>697</v>
      </c>
      <c r="D153" s="1659"/>
      <c r="E153" s="1660"/>
      <c r="F153" s="1678" t="s">
        <v>698</v>
      </c>
      <c r="G153" s="1666">
        <v>50000</v>
      </c>
      <c r="H153" s="1668"/>
    </row>
    <row r="154" spans="2:8" x14ac:dyDescent="0.3">
      <c r="B154" s="2825">
        <f t="shared" si="3"/>
        <v>4</v>
      </c>
      <c r="C154" s="1676" t="s">
        <v>699</v>
      </c>
      <c r="D154" s="1659"/>
      <c r="E154" s="1660"/>
      <c r="F154" s="1678" t="s">
        <v>32</v>
      </c>
      <c r="G154" s="1666">
        <v>300000</v>
      </c>
      <c r="H154" s="1668"/>
    </row>
    <row r="155" spans="2:8" ht="17.25" thickBot="1" x14ac:dyDescent="0.35">
      <c r="B155" s="1679"/>
      <c r="C155" s="1680"/>
      <c r="D155" s="1681"/>
      <c r="E155" s="1682"/>
      <c r="F155" s="1683"/>
      <c r="G155" s="1684"/>
    </row>
    <row r="156" spans="2:8" ht="17.25" thickTop="1" x14ac:dyDescent="0.3"/>
  </sheetData>
  <protectedRanges>
    <protectedRange password="CE0A" sqref="F105:F106" name="Range1_3_1"/>
    <protectedRange password="CE0A" sqref="F114:F117 F122:F124" name="Range1_3_1_1"/>
    <protectedRange password="CE0A" sqref="F138:F139 F133" name="Range1_3_1_2"/>
    <protectedRange password="CE0A" sqref="F143" name="Range1_3_1_3"/>
  </protectedRanges>
  <mergeCells count="4">
    <mergeCell ref="C92:E92"/>
    <mergeCell ref="C7:E7"/>
    <mergeCell ref="C9:E9"/>
    <mergeCell ref="B1:G1"/>
  </mergeCells>
  <printOptions horizontalCentered="1"/>
  <pageMargins left="0.34" right="0.19" top="0.5" bottom="0" header="0" footer="0"/>
  <pageSetup paperSize="9" scale="90" orientation="portrait" horizontalDpi="4294967293" r:id="rId1"/>
  <rowBreaks count="1" manualBreakCount="1">
    <brk id="98" min="1" max="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258"/>
  <sheetViews>
    <sheetView view="pageBreakPreview" topLeftCell="A140" zoomScaleNormal="130" zoomScaleSheetLayoutView="100" workbookViewId="0">
      <selection activeCell="L113" sqref="L113:L114"/>
    </sheetView>
  </sheetViews>
  <sheetFormatPr defaultRowHeight="16.5" x14ac:dyDescent="0.2"/>
  <cols>
    <col min="1" max="1" width="3.28515625" style="1689" customWidth="1"/>
    <col min="2" max="2" width="9.42578125" style="1689" customWidth="1"/>
    <col min="3" max="3" width="1.7109375" style="1689" customWidth="1"/>
    <col min="4" max="4" width="3.140625" style="1689" customWidth="1"/>
    <col min="5" max="5" width="8.85546875" style="1689" customWidth="1"/>
    <col min="6" max="6" width="10.5703125" style="1689" customWidth="1"/>
    <col min="7" max="7" width="10.42578125" style="1689" customWidth="1"/>
    <col min="8" max="8" width="19.140625" style="1689" customWidth="1"/>
    <col min="9" max="9" width="14.42578125" style="1692" customWidth="1"/>
    <col min="10" max="10" width="20.42578125" style="1762" customWidth="1"/>
    <col min="11" max="11" width="14" style="1689" customWidth="1"/>
    <col min="12" max="12" width="27" style="1690" customWidth="1"/>
    <col min="13" max="13" width="7.28515625" style="1691" customWidth="1"/>
    <col min="14" max="14" width="4.7109375" style="1692" customWidth="1"/>
    <col min="15" max="15" width="12" style="1693" customWidth="1"/>
    <col min="16" max="16" width="11" style="1690" customWidth="1"/>
    <col min="17" max="17" width="12.7109375" style="1689" customWidth="1"/>
    <col min="18" max="18" width="9.140625" style="1689"/>
    <col min="19" max="19" width="11.85546875" style="1689" bestFit="1" customWidth="1"/>
    <col min="20" max="20" width="11.7109375" style="1689" bestFit="1" customWidth="1"/>
    <col min="21" max="257" width="9.140625" style="1689"/>
    <col min="258" max="258" width="9.42578125" style="1689" customWidth="1"/>
    <col min="259" max="259" width="1.7109375" style="1689" customWidth="1"/>
    <col min="260" max="260" width="3.140625" style="1689" customWidth="1"/>
    <col min="261" max="261" width="8.85546875" style="1689" customWidth="1"/>
    <col min="262" max="262" width="10.5703125" style="1689" customWidth="1"/>
    <col min="263" max="263" width="10.42578125" style="1689" customWidth="1"/>
    <col min="264" max="264" width="19.140625" style="1689" customWidth="1"/>
    <col min="265" max="265" width="20.42578125" style="1689" customWidth="1"/>
    <col min="266" max="266" width="14.42578125" style="1689" customWidth="1"/>
    <col min="267" max="267" width="14" style="1689" customWidth="1"/>
    <col min="268" max="268" width="16.85546875" style="1689" customWidth="1"/>
    <col min="269" max="269" width="12.7109375" style="1689" customWidth="1"/>
    <col min="270" max="270" width="13.7109375" style="1689" customWidth="1"/>
    <col min="271" max="271" width="14.85546875" style="1689" customWidth="1"/>
    <col min="272" max="272" width="11" style="1689" customWidth="1"/>
    <col min="273" max="273" width="12.7109375" style="1689" customWidth="1"/>
    <col min="274" max="274" width="9.140625" style="1689"/>
    <col min="275" max="275" width="11.85546875" style="1689" bestFit="1" customWidth="1"/>
    <col min="276" max="276" width="11.7109375" style="1689" bestFit="1" customWidth="1"/>
    <col min="277" max="513" width="9.140625" style="1689"/>
    <col min="514" max="514" width="9.42578125" style="1689" customWidth="1"/>
    <col min="515" max="515" width="1.7109375" style="1689" customWidth="1"/>
    <col min="516" max="516" width="3.140625" style="1689" customWidth="1"/>
    <col min="517" max="517" width="8.85546875" style="1689" customWidth="1"/>
    <col min="518" max="518" width="10.5703125" style="1689" customWidth="1"/>
    <col min="519" max="519" width="10.42578125" style="1689" customWidth="1"/>
    <col min="520" max="520" width="19.140625" style="1689" customWidth="1"/>
    <col min="521" max="521" width="20.42578125" style="1689" customWidth="1"/>
    <col min="522" max="522" width="14.42578125" style="1689" customWidth="1"/>
    <col min="523" max="523" width="14" style="1689" customWidth="1"/>
    <col min="524" max="524" width="16.85546875" style="1689" customWidth="1"/>
    <col min="525" max="525" width="12.7109375" style="1689" customWidth="1"/>
    <col min="526" max="526" width="13.7109375" style="1689" customWidth="1"/>
    <col min="527" max="527" width="14.85546875" style="1689" customWidth="1"/>
    <col min="528" max="528" width="11" style="1689" customWidth="1"/>
    <col min="529" max="529" width="12.7109375" style="1689" customWidth="1"/>
    <col min="530" max="530" width="9.140625" style="1689"/>
    <col min="531" max="531" width="11.85546875" style="1689" bestFit="1" customWidth="1"/>
    <col min="532" max="532" width="11.7109375" style="1689" bestFit="1" customWidth="1"/>
    <col min="533" max="769" width="9.140625" style="1689"/>
    <col min="770" max="770" width="9.42578125" style="1689" customWidth="1"/>
    <col min="771" max="771" width="1.7109375" style="1689" customWidth="1"/>
    <col min="772" max="772" width="3.140625" style="1689" customWidth="1"/>
    <col min="773" max="773" width="8.85546875" style="1689" customWidth="1"/>
    <col min="774" max="774" width="10.5703125" style="1689" customWidth="1"/>
    <col min="775" max="775" width="10.42578125" style="1689" customWidth="1"/>
    <col min="776" max="776" width="19.140625" style="1689" customWidth="1"/>
    <col min="777" max="777" width="20.42578125" style="1689" customWidth="1"/>
    <col min="778" max="778" width="14.42578125" style="1689" customWidth="1"/>
    <col min="779" max="779" width="14" style="1689" customWidth="1"/>
    <col min="780" max="780" width="16.85546875" style="1689" customWidth="1"/>
    <col min="781" max="781" width="12.7109375" style="1689" customWidth="1"/>
    <col min="782" max="782" width="13.7109375" style="1689" customWidth="1"/>
    <col min="783" max="783" width="14.85546875" style="1689" customWidth="1"/>
    <col min="784" max="784" width="11" style="1689" customWidth="1"/>
    <col min="785" max="785" width="12.7109375" style="1689" customWidth="1"/>
    <col min="786" max="786" width="9.140625" style="1689"/>
    <col min="787" max="787" width="11.85546875" style="1689" bestFit="1" customWidth="1"/>
    <col min="788" max="788" width="11.7109375" style="1689" bestFit="1" customWidth="1"/>
    <col min="789" max="1025" width="9.140625" style="1689"/>
    <col min="1026" max="1026" width="9.42578125" style="1689" customWidth="1"/>
    <col min="1027" max="1027" width="1.7109375" style="1689" customWidth="1"/>
    <col min="1028" max="1028" width="3.140625" style="1689" customWidth="1"/>
    <col min="1029" max="1029" width="8.85546875" style="1689" customWidth="1"/>
    <col min="1030" max="1030" width="10.5703125" style="1689" customWidth="1"/>
    <col min="1031" max="1031" width="10.42578125" style="1689" customWidth="1"/>
    <col min="1032" max="1032" width="19.140625" style="1689" customWidth="1"/>
    <col min="1033" max="1033" width="20.42578125" style="1689" customWidth="1"/>
    <col min="1034" max="1034" width="14.42578125" style="1689" customWidth="1"/>
    <col min="1035" max="1035" width="14" style="1689" customWidth="1"/>
    <col min="1036" max="1036" width="16.85546875" style="1689" customWidth="1"/>
    <col min="1037" max="1037" width="12.7109375" style="1689" customWidth="1"/>
    <col min="1038" max="1038" width="13.7109375" style="1689" customWidth="1"/>
    <col min="1039" max="1039" width="14.85546875" style="1689" customWidth="1"/>
    <col min="1040" max="1040" width="11" style="1689" customWidth="1"/>
    <col min="1041" max="1041" width="12.7109375" style="1689" customWidth="1"/>
    <col min="1042" max="1042" width="9.140625" style="1689"/>
    <col min="1043" max="1043" width="11.85546875" style="1689" bestFit="1" customWidth="1"/>
    <col min="1044" max="1044" width="11.7109375" style="1689" bestFit="1" customWidth="1"/>
    <col min="1045" max="1281" width="9.140625" style="1689"/>
    <col min="1282" max="1282" width="9.42578125" style="1689" customWidth="1"/>
    <col min="1283" max="1283" width="1.7109375" style="1689" customWidth="1"/>
    <col min="1284" max="1284" width="3.140625" style="1689" customWidth="1"/>
    <col min="1285" max="1285" width="8.85546875" style="1689" customWidth="1"/>
    <col min="1286" max="1286" width="10.5703125" style="1689" customWidth="1"/>
    <col min="1287" max="1287" width="10.42578125" style="1689" customWidth="1"/>
    <col min="1288" max="1288" width="19.140625" style="1689" customWidth="1"/>
    <col min="1289" max="1289" width="20.42578125" style="1689" customWidth="1"/>
    <col min="1290" max="1290" width="14.42578125" style="1689" customWidth="1"/>
    <col min="1291" max="1291" width="14" style="1689" customWidth="1"/>
    <col min="1292" max="1292" width="16.85546875" style="1689" customWidth="1"/>
    <col min="1293" max="1293" width="12.7109375" style="1689" customWidth="1"/>
    <col min="1294" max="1294" width="13.7109375" style="1689" customWidth="1"/>
    <col min="1295" max="1295" width="14.85546875" style="1689" customWidth="1"/>
    <col min="1296" max="1296" width="11" style="1689" customWidth="1"/>
    <col min="1297" max="1297" width="12.7109375" style="1689" customWidth="1"/>
    <col min="1298" max="1298" width="9.140625" style="1689"/>
    <col min="1299" max="1299" width="11.85546875" style="1689" bestFit="1" customWidth="1"/>
    <col min="1300" max="1300" width="11.7109375" style="1689" bestFit="1" customWidth="1"/>
    <col min="1301" max="1537" width="9.140625" style="1689"/>
    <col min="1538" max="1538" width="9.42578125" style="1689" customWidth="1"/>
    <col min="1539" max="1539" width="1.7109375" style="1689" customWidth="1"/>
    <col min="1540" max="1540" width="3.140625" style="1689" customWidth="1"/>
    <col min="1541" max="1541" width="8.85546875" style="1689" customWidth="1"/>
    <col min="1542" max="1542" width="10.5703125" style="1689" customWidth="1"/>
    <col min="1543" max="1543" width="10.42578125" style="1689" customWidth="1"/>
    <col min="1544" max="1544" width="19.140625" style="1689" customWidth="1"/>
    <col min="1545" max="1545" width="20.42578125" style="1689" customWidth="1"/>
    <col min="1546" max="1546" width="14.42578125" style="1689" customWidth="1"/>
    <col min="1547" max="1547" width="14" style="1689" customWidth="1"/>
    <col min="1548" max="1548" width="16.85546875" style="1689" customWidth="1"/>
    <col min="1549" max="1549" width="12.7109375" style="1689" customWidth="1"/>
    <col min="1550" max="1550" width="13.7109375" style="1689" customWidth="1"/>
    <col min="1551" max="1551" width="14.85546875" style="1689" customWidth="1"/>
    <col min="1552" max="1552" width="11" style="1689" customWidth="1"/>
    <col min="1553" max="1553" width="12.7109375" style="1689" customWidth="1"/>
    <col min="1554" max="1554" width="9.140625" style="1689"/>
    <col min="1555" max="1555" width="11.85546875" style="1689" bestFit="1" customWidth="1"/>
    <col min="1556" max="1556" width="11.7109375" style="1689" bestFit="1" customWidth="1"/>
    <col min="1557" max="1793" width="9.140625" style="1689"/>
    <col min="1794" max="1794" width="9.42578125" style="1689" customWidth="1"/>
    <col min="1795" max="1795" width="1.7109375" style="1689" customWidth="1"/>
    <col min="1796" max="1796" width="3.140625" style="1689" customWidth="1"/>
    <col min="1797" max="1797" width="8.85546875" style="1689" customWidth="1"/>
    <col min="1798" max="1798" width="10.5703125" style="1689" customWidth="1"/>
    <col min="1799" max="1799" width="10.42578125" style="1689" customWidth="1"/>
    <col min="1800" max="1800" width="19.140625" style="1689" customWidth="1"/>
    <col min="1801" max="1801" width="20.42578125" style="1689" customWidth="1"/>
    <col min="1802" max="1802" width="14.42578125" style="1689" customWidth="1"/>
    <col min="1803" max="1803" width="14" style="1689" customWidth="1"/>
    <col min="1804" max="1804" width="16.85546875" style="1689" customWidth="1"/>
    <col min="1805" max="1805" width="12.7109375" style="1689" customWidth="1"/>
    <col min="1806" max="1806" width="13.7109375" style="1689" customWidth="1"/>
    <col min="1807" max="1807" width="14.85546875" style="1689" customWidth="1"/>
    <col min="1808" max="1808" width="11" style="1689" customWidth="1"/>
    <col min="1809" max="1809" width="12.7109375" style="1689" customWidth="1"/>
    <col min="1810" max="1810" width="9.140625" style="1689"/>
    <col min="1811" max="1811" width="11.85546875" style="1689" bestFit="1" customWidth="1"/>
    <col min="1812" max="1812" width="11.7109375" style="1689" bestFit="1" customWidth="1"/>
    <col min="1813" max="2049" width="9.140625" style="1689"/>
    <col min="2050" max="2050" width="9.42578125" style="1689" customWidth="1"/>
    <col min="2051" max="2051" width="1.7109375" style="1689" customWidth="1"/>
    <col min="2052" max="2052" width="3.140625" style="1689" customWidth="1"/>
    <col min="2053" max="2053" width="8.85546875" style="1689" customWidth="1"/>
    <col min="2054" max="2054" width="10.5703125" style="1689" customWidth="1"/>
    <col min="2055" max="2055" width="10.42578125" style="1689" customWidth="1"/>
    <col min="2056" max="2056" width="19.140625" style="1689" customWidth="1"/>
    <col min="2057" max="2057" width="20.42578125" style="1689" customWidth="1"/>
    <col min="2058" max="2058" width="14.42578125" style="1689" customWidth="1"/>
    <col min="2059" max="2059" width="14" style="1689" customWidth="1"/>
    <col min="2060" max="2060" width="16.85546875" style="1689" customWidth="1"/>
    <col min="2061" max="2061" width="12.7109375" style="1689" customWidth="1"/>
    <col min="2062" max="2062" width="13.7109375" style="1689" customWidth="1"/>
    <col min="2063" max="2063" width="14.85546875" style="1689" customWidth="1"/>
    <col min="2064" max="2064" width="11" style="1689" customWidth="1"/>
    <col min="2065" max="2065" width="12.7109375" style="1689" customWidth="1"/>
    <col min="2066" max="2066" width="9.140625" style="1689"/>
    <col min="2067" max="2067" width="11.85546875" style="1689" bestFit="1" customWidth="1"/>
    <col min="2068" max="2068" width="11.7109375" style="1689" bestFit="1" customWidth="1"/>
    <col min="2069" max="2305" width="9.140625" style="1689"/>
    <col min="2306" max="2306" width="9.42578125" style="1689" customWidth="1"/>
    <col min="2307" max="2307" width="1.7109375" style="1689" customWidth="1"/>
    <col min="2308" max="2308" width="3.140625" style="1689" customWidth="1"/>
    <col min="2309" max="2309" width="8.85546875" style="1689" customWidth="1"/>
    <col min="2310" max="2310" width="10.5703125" style="1689" customWidth="1"/>
    <col min="2311" max="2311" width="10.42578125" style="1689" customWidth="1"/>
    <col min="2312" max="2312" width="19.140625" style="1689" customWidth="1"/>
    <col min="2313" max="2313" width="20.42578125" style="1689" customWidth="1"/>
    <col min="2314" max="2314" width="14.42578125" style="1689" customWidth="1"/>
    <col min="2315" max="2315" width="14" style="1689" customWidth="1"/>
    <col min="2316" max="2316" width="16.85546875" style="1689" customWidth="1"/>
    <col min="2317" max="2317" width="12.7109375" style="1689" customWidth="1"/>
    <col min="2318" max="2318" width="13.7109375" style="1689" customWidth="1"/>
    <col min="2319" max="2319" width="14.85546875" style="1689" customWidth="1"/>
    <col min="2320" max="2320" width="11" style="1689" customWidth="1"/>
    <col min="2321" max="2321" width="12.7109375" style="1689" customWidth="1"/>
    <col min="2322" max="2322" width="9.140625" style="1689"/>
    <col min="2323" max="2323" width="11.85546875" style="1689" bestFit="1" customWidth="1"/>
    <col min="2324" max="2324" width="11.7109375" style="1689" bestFit="1" customWidth="1"/>
    <col min="2325" max="2561" width="9.140625" style="1689"/>
    <col min="2562" max="2562" width="9.42578125" style="1689" customWidth="1"/>
    <col min="2563" max="2563" width="1.7109375" style="1689" customWidth="1"/>
    <col min="2564" max="2564" width="3.140625" style="1689" customWidth="1"/>
    <col min="2565" max="2565" width="8.85546875" style="1689" customWidth="1"/>
    <col min="2566" max="2566" width="10.5703125" style="1689" customWidth="1"/>
    <col min="2567" max="2567" width="10.42578125" style="1689" customWidth="1"/>
    <col min="2568" max="2568" width="19.140625" style="1689" customWidth="1"/>
    <col min="2569" max="2569" width="20.42578125" style="1689" customWidth="1"/>
    <col min="2570" max="2570" width="14.42578125" style="1689" customWidth="1"/>
    <col min="2571" max="2571" width="14" style="1689" customWidth="1"/>
    <col min="2572" max="2572" width="16.85546875" style="1689" customWidth="1"/>
    <col min="2573" max="2573" width="12.7109375" style="1689" customWidth="1"/>
    <col min="2574" max="2574" width="13.7109375" style="1689" customWidth="1"/>
    <col min="2575" max="2575" width="14.85546875" style="1689" customWidth="1"/>
    <col min="2576" max="2576" width="11" style="1689" customWidth="1"/>
    <col min="2577" max="2577" width="12.7109375" style="1689" customWidth="1"/>
    <col min="2578" max="2578" width="9.140625" style="1689"/>
    <col min="2579" max="2579" width="11.85546875" style="1689" bestFit="1" customWidth="1"/>
    <col min="2580" max="2580" width="11.7109375" style="1689" bestFit="1" customWidth="1"/>
    <col min="2581" max="2817" width="9.140625" style="1689"/>
    <col min="2818" max="2818" width="9.42578125" style="1689" customWidth="1"/>
    <col min="2819" max="2819" width="1.7109375" style="1689" customWidth="1"/>
    <col min="2820" max="2820" width="3.140625" style="1689" customWidth="1"/>
    <col min="2821" max="2821" width="8.85546875" style="1689" customWidth="1"/>
    <col min="2822" max="2822" width="10.5703125" style="1689" customWidth="1"/>
    <col min="2823" max="2823" width="10.42578125" style="1689" customWidth="1"/>
    <col min="2824" max="2824" width="19.140625" style="1689" customWidth="1"/>
    <col min="2825" max="2825" width="20.42578125" style="1689" customWidth="1"/>
    <col min="2826" max="2826" width="14.42578125" style="1689" customWidth="1"/>
    <col min="2827" max="2827" width="14" style="1689" customWidth="1"/>
    <col min="2828" max="2828" width="16.85546875" style="1689" customWidth="1"/>
    <col min="2829" max="2829" width="12.7109375" style="1689" customWidth="1"/>
    <col min="2830" max="2830" width="13.7109375" style="1689" customWidth="1"/>
    <col min="2831" max="2831" width="14.85546875" style="1689" customWidth="1"/>
    <col min="2832" max="2832" width="11" style="1689" customWidth="1"/>
    <col min="2833" max="2833" width="12.7109375" style="1689" customWidth="1"/>
    <col min="2834" max="2834" width="9.140625" style="1689"/>
    <col min="2835" max="2835" width="11.85546875" style="1689" bestFit="1" customWidth="1"/>
    <col min="2836" max="2836" width="11.7109375" style="1689" bestFit="1" customWidth="1"/>
    <col min="2837" max="3073" width="9.140625" style="1689"/>
    <col min="3074" max="3074" width="9.42578125" style="1689" customWidth="1"/>
    <col min="3075" max="3075" width="1.7109375" style="1689" customWidth="1"/>
    <col min="3076" max="3076" width="3.140625" style="1689" customWidth="1"/>
    <col min="3077" max="3077" width="8.85546875" style="1689" customWidth="1"/>
    <col min="3078" max="3078" width="10.5703125" style="1689" customWidth="1"/>
    <col min="3079" max="3079" width="10.42578125" style="1689" customWidth="1"/>
    <col min="3080" max="3080" width="19.140625" style="1689" customWidth="1"/>
    <col min="3081" max="3081" width="20.42578125" style="1689" customWidth="1"/>
    <col min="3082" max="3082" width="14.42578125" style="1689" customWidth="1"/>
    <col min="3083" max="3083" width="14" style="1689" customWidth="1"/>
    <col min="3084" max="3084" width="16.85546875" style="1689" customWidth="1"/>
    <col min="3085" max="3085" width="12.7109375" style="1689" customWidth="1"/>
    <col min="3086" max="3086" width="13.7109375" style="1689" customWidth="1"/>
    <col min="3087" max="3087" width="14.85546875" style="1689" customWidth="1"/>
    <col min="3088" max="3088" width="11" style="1689" customWidth="1"/>
    <col min="3089" max="3089" width="12.7109375" style="1689" customWidth="1"/>
    <col min="3090" max="3090" width="9.140625" style="1689"/>
    <col min="3091" max="3091" width="11.85546875" style="1689" bestFit="1" customWidth="1"/>
    <col min="3092" max="3092" width="11.7109375" style="1689" bestFit="1" customWidth="1"/>
    <col min="3093" max="3329" width="9.140625" style="1689"/>
    <col min="3330" max="3330" width="9.42578125" style="1689" customWidth="1"/>
    <col min="3331" max="3331" width="1.7109375" style="1689" customWidth="1"/>
    <col min="3332" max="3332" width="3.140625" style="1689" customWidth="1"/>
    <col min="3333" max="3333" width="8.85546875" style="1689" customWidth="1"/>
    <col min="3334" max="3334" width="10.5703125" style="1689" customWidth="1"/>
    <col min="3335" max="3335" width="10.42578125" style="1689" customWidth="1"/>
    <col min="3336" max="3336" width="19.140625" style="1689" customWidth="1"/>
    <col min="3337" max="3337" width="20.42578125" style="1689" customWidth="1"/>
    <col min="3338" max="3338" width="14.42578125" style="1689" customWidth="1"/>
    <col min="3339" max="3339" width="14" style="1689" customWidth="1"/>
    <col min="3340" max="3340" width="16.85546875" style="1689" customWidth="1"/>
    <col min="3341" max="3341" width="12.7109375" style="1689" customWidth="1"/>
    <col min="3342" max="3342" width="13.7109375" style="1689" customWidth="1"/>
    <col min="3343" max="3343" width="14.85546875" style="1689" customWidth="1"/>
    <col min="3344" max="3344" width="11" style="1689" customWidth="1"/>
    <col min="3345" max="3345" width="12.7109375" style="1689" customWidth="1"/>
    <col min="3346" max="3346" width="9.140625" style="1689"/>
    <col min="3347" max="3347" width="11.85546875" style="1689" bestFit="1" customWidth="1"/>
    <col min="3348" max="3348" width="11.7109375" style="1689" bestFit="1" customWidth="1"/>
    <col min="3349" max="3585" width="9.140625" style="1689"/>
    <col min="3586" max="3586" width="9.42578125" style="1689" customWidth="1"/>
    <col min="3587" max="3587" width="1.7109375" style="1689" customWidth="1"/>
    <col min="3588" max="3588" width="3.140625" style="1689" customWidth="1"/>
    <col min="3589" max="3589" width="8.85546875" style="1689" customWidth="1"/>
    <col min="3590" max="3590" width="10.5703125" style="1689" customWidth="1"/>
    <col min="3591" max="3591" width="10.42578125" style="1689" customWidth="1"/>
    <col min="3592" max="3592" width="19.140625" style="1689" customWidth="1"/>
    <col min="3593" max="3593" width="20.42578125" style="1689" customWidth="1"/>
    <col min="3594" max="3594" width="14.42578125" style="1689" customWidth="1"/>
    <col min="3595" max="3595" width="14" style="1689" customWidth="1"/>
    <col min="3596" max="3596" width="16.85546875" style="1689" customWidth="1"/>
    <col min="3597" max="3597" width="12.7109375" style="1689" customWidth="1"/>
    <col min="3598" max="3598" width="13.7109375" style="1689" customWidth="1"/>
    <col min="3599" max="3599" width="14.85546875" style="1689" customWidth="1"/>
    <col min="3600" max="3600" width="11" style="1689" customWidth="1"/>
    <col min="3601" max="3601" width="12.7109375" style="1689" customWidth="1"/>
    <col min="3602" max="3602" width="9.140625" style="1689"/>
    <col min="3603" max="3603" width="11.85546875" style="1689" bestFit="1" customWidth="1"/>
    <col min="3604" max="3604" width="11.7109375" style="1689" bestFit="1" customWidth="1"/>
    <col min="3605" max="3841" width="9.140625" style="1689"/>
    <col min="3842" max="3842" width="9.42578125" style="1689" customWidth="1"/>
    <col min="3843" max="3843" width="1.7109375" style="1689" customWidth="1"/>
    <col min="3844" max="3844" width="3.140625" style="1689" customWidth="1"/>
    <col min="3845" max="3845" width="8.85546875" style="1689" customWidth="1"/>
    <col min="3846" max="3846" width="10.5703125" style="1689" customWidth="1"/>
    <col min="3847" max="3847" width="10.42578125" style="1689" customWidth="1"/>
    <col min="3848" max="3848" width="19.140625" style="1689" customWidth="1"/>
    <col min="3849" max="3849" width="20.42578125" style="1689" customWidth="1"/>
    <col min="3850" max="3850" width="14.42578125" style="1689" customWidth="1"/>
    <col min="3851" max="3851" width="14" style="1689" customWidth="1"/>
    <col min="3852" max="3852" width="16.85546875" style="1689" customWidth="1"/>
    <col min="3853" max="3853" width="12.7109375" style="1689" customWidth="1"/>
    <col min="3854" max="3854" width="13.7109375" style="1689" customWidth="1"/>
    <col min="3855" max="3855" width="14.85546875" style="1689" customWidth="1"/>
    <col min="3856" max="3856" width="11" style="1689" customWidth="1"/>
    <col min="3857" max="3857" width="12.7109375" style="1689" customWidth="1"/>
    <col min="3858" max="3858" width="9.140625" style="1689"/>
    <col min="3859" max="3859" width="11.85546875" style="1689" bestFit="1" customWidth="1"/>
    <col min="3860" max="3860" width="11.7109375" style="1689" bestFit="1" customWidth="1"/>
    <col min="3861" max="4097" width="9.140625" style="1689"/>
    <col min="4098" max="4098" width="9.42578125" style="1689" customWidth="1"/>
    <col min="4099" max="4099" width="1.7109375" style="1689" customWidth="1"/>
    <col min="4100" max="4100" width="3.140625" style="1689" customWidth="1"/>
    <col min="4101" max="4101" width="8.85546875" style="1689" customWidth="1"/>
    <col min="4102" max="4102" width="10.5703125" style="1689" customWidth="1"/>
    <col min="4103" max="4103" width="10.42578125" style="1689" customWidth="1"/>
    <col min="4104" max="4104" width="19.140625" style="1689" customWidth="1"/>
    <col min="4105" max="4105" width="20.42578125" style="1689" customWidth="1"/>
    <col min="4106" max="4106" width="14.42578125" style="1689" customWidth="1"/>
    <col min="4107" max="4107" width="14" style="1689" customWidth="1"/>
    <col min="4108" max="4108" width="16.85546875" style="1689" customWidth="1"/>
    <col min="4109" max="4109" width="12.7109375" style="1689" customWidth="1"/>
    <col min="4110" max="4110" width="13.7109375" style="1689" customWidth="1"/>
    <col min="4111" max="4111" width="14.85546875" style="1689" customWidth="1"/>
    <col min="4112" max="4112" width="11" style="1689" customWidth="1"/>
    <col min="4113" max="4113" width="12.7109375" style="1689" customWidth="1"/>
    <col min="4114" max="4114" width="9.140625" style="1689"/>
    <col min="4115" max="4115" width="11.85546875" style="1689" bestFit="1" customWidth="1"/>
    <col min="4116" max="4116" width="11.7109375" style="1689" bestFit="1" customWidth="1"/>
    <col min="4117" max="4353" width="9.140625" style="1689"/>
    <col min="4354" max="4354" width="9.42578125" style="1689" customWidth="1"/>
    <col min="4355" max="4355" width="1.7109375" style="1689" customWidth="1"/>
    <col min="4356" max="4356" width="3.140625" style="1689" customWidth="1"/>
    <col min="4357" max="4357" width="8.85546875" style="1689" customWidth="1"/>
    <col min="4358" max="4358" width="10.5703125" style="1689" customWidth="1"/>
    <col min="4359" max="4359" width="10.42578125" style="1689" customWidth="1"/>
    <col min="4360" max="4360" width="19.140625" style="1689" customWidth="1"/>
    <col min="4361" max="4361" width="20.42578125" style="1689" customWidth="1"/>
    <col min="4362" max="4362" width="14.42578125" style="1689" customWidth="1"/>
    <col min="4363" max="4363" width="14" style="1689" customWidth="1"/>
    <col min="4364" max="4364" width="16.85546875" style="1689" customWidth="1"/>
    <col min="4365" max="4365" width="12.7109375" style="1689" customWidth="1"/>
    <col min="4366" max="4366" width="13.7109375" style="1689" customWidth="1"/>
    <col min="4367" max="4367" width="14.85546875" style="1689" customWidth="1"/>
    <col min="4368" max="4368" width="11" style="1689" customWidth="1"/>
    <col min="4369" max="4369" width="12.7109375" style="1689" customWidth="1"/>
    <col min="4370" max="4370" width="9.140625" style="1689"/>
    <col min="4371" max="4371" width="11.85546875" style="1689" bestFit="1" customWidth="1"/>
    <col min="4372" max="4372" width="11.7109375" style="1689" bestFit="1" customWidth="1"/>
    <col min="4373" max="4609" width="9.140625" style="1689"/>
    <col min="4610" max="4610" width="9.42578125" style="1689" customWidth="1"/>
    <col min="4611" max="4611" width="1.7109375" style="1689" customWidth="1"/>
    <col min="4612" max="4612" width="3.140625" style="1689" customWidth="1"/>
    <col min="4613" max="4613" width="8.85546875" style="1689" customWidth="1"/>
    <col min="4614" max="4614" width="10.5703125" style="1689" customWidth="1"/>
    <col min="4615" max="4615" width="10.42578125" style="1689" customWidth="1"/>
    <col min="4616" max="4616" width="19.140625" style="1689" customWidth="1"/>
    <col min="4617" max="4617" width="20.42578125" style="1689" customWidth="1"/>
    <col min="4618" max="4618" width="14.42578125" style="1689" customWidth="1"/>
    <col min="4619" max="4619" width="14" style="1689" customWidth="1"/>
    <col min="4620" max="4620" width="16.85546875" style="1689" customWidth="1"/>
    <col min="4621" max="4621" width="12.7109375" style="1689" customWidth="1"/>
    <col min="4622" max="4622" width="13.7109375" style="1689" customWidth="1"/>
    <col min="4623" max="4623" width="14.85546875" style="1689" customWidth="1"/>
    <col min="4624" max="4624" width="11" style="1689" customWidth="1"/>
    <col min="4625" max="4625" width="12.7109375" style="1689" customWidth="1"/>
    <col min="4626" max="4626" width="9.140625" style="1689"/>
    <col min="4627" max="4627" width="11.85546875" style="1689" bestFit="1" customWidth="1"/>
    <col min="4628" max="4628" width="11.7109375" style="1689" bestFit="1" customWidth="1"/>
    <col min="4629" max="4865" width="9.140625" style="1689"/>
    <col min="4866" max="4866" width="9.42578125" style="1689" customWidth="1"/>
    <col min="4867" max="4867" width="1.7109375" style="1689" customWidth="1"/>
    <col min="4868" max="4868" width="3.140625" style="1689" customWidth="1"/>
    <col min="4869" max="4869" width="8.85546875" style="1689" customWidth="1"/>
    <col min="4870" max="4870" width="10.5703125" style="1689" customWidth="1"/>
    <col min="4871" max="4871" width="10.42578125" style="1689" customWidth="1"/>
    <col min="4872" max="4872" width="19.140625" style="1689" customWidth="1"/>
    <col min="4873" max="4873" width="20.42578125" style="1689" customWidth="1"/>
    <col min="4874" max="4874" width="14.42578125" style="1689" customWidth="1"/>
    <col min="4875" max="4875" width="14" style="1689" customWidth="1"/>
    <col min="4876" max="4876" width="16.85546875" style="1689" customWidth="1"/>
    <col min="4877" max="4877" width="12.7109375" style="1689" customWidth="1"/>
    <col min="4878" max="4878" width="13.7109375" style="1689" customWidth="1"/>
    <col min="4879" max="4879" width="14.85546875" style="1689" customWidth="1"/>
    <col min="4880" max="4880" width="11" style="1689" customWidth="1"/>
    <col min="4881" max="4881" width="12.7109375" style="1689" customWidth="1"/>
    <col min="4882" max="4882" width="9.140625" style="1689"/>
    <col min="4883" max="4883" width="11.85546875" style="1689" bestFit="1" customWidth="1"/>
    <col min="4884" max="4884" width="11.7109375" style="1689" bestFit="1" customWidth="1"/>
    <col min="4885" max="5121" width="9.140625" style="1689"/>
    <col min="5122" max="5122" width="9.42578125" style="1689" customWidth="1"/>
    <col min="5123" max="5123" width="1.7109375" style="1689" customWidth="1"/>
    <col min="5124" max="5124" width="3.140625" style="1689" customWidth="1"/>
    <col min="5125" max="5125" width="8.85546875" style="1689" customWidth="1"/>
    <col min="5126" max="5126" width="10.5703125" style="1689" customWidth="1"/>
    <col min="5127" max="5127" width="10.42578125" style="1689" customWidth="1"/>
    <col min="5128" max="5128" width="19.140625" style="1689" customWidth="1"/>
    <col min="5129" max="5129" width="20.42578125" style="1689" customWidth="1"/>
    <col min="5130" max="5130" width="14.42578125" style="1689" customWidth="1"/>
    <col min="5131" max="5131" width="14" style="1689" customWidth="1"/>
    <col min="5132" max="5132" width="16.85546875" style="1689" customWidth="1"/>
    <col min="5133" max="5133" width="12.7109375" style="1689" customWidth="1"/>
    <col min="5134" max="5134" width="13.7109375" style="1689" customWidth="1"/>
    <col min="5135" max="5135" width="14.85546875" style="1689" customWidth="1"/>
    <col min="5136" max="5136" width="11" style="1689" customWidth="1"/>
    <col min="5137" max="5137" width="12.7109375" style="1689" customWidth="1"/>
    <col min="5138" max="5138" width="9.140625" style="1689"/>
    <col min="5139" max="5139" width="11.85546875" style="1689" bestFit="1" customWidth="1"/>
    <col min="5140" max="5140" width="11.7109375" style="1689" bestFit="1" customWidth="1"/>
    <col min="5141" max="5377" width="9.140625" style="1689"/>
    <col min="5378" max="5378" width="9.42578125" style="1689" customWidth="1"/>
    <col min="5379" max="5379" width="1.7109375" style="1689" customWidth="1"/>
    <col min="5380" max="5380" width="3.140625" style="1689" customWidth="1"/>
    <col min="5381" max="5381" width="8.85546875" style="1689" customWidth="1"/>
    <col min="5382" max="5382" width="10.5703125" style="1689" customWidth="1"/>
    <col min="5383" max="5383" width="10.42578125" style="1689" customWidth="1"/>
    <col min="5384" max="5384" width="19.140625" style="1689" customWidth="1"/>
    <col min="5385" max="5385" width="20.42578125" style="1689" customWidth="1"/>
    <col min="5386" max="5386" width="14.42578125" style="1689" customWidth="1"/>
    <col min="5387" max="5387" width="14" style="1689" customWidth="1"/>
    <col min="5388" max="5388" width="16.85546875" style="1689" customWidth="1"/>
    <col min="5389" max="5389" width="12.7109375" style="1689" customWidth="1"/>
    <col min="5390" max="5390" width="13.7109375" style="1689" customWidth="1"/>
    <col min="5391" max="5391" width="14.85546875" style="1689" customWidth="1"/>
    <col min="5392" max="5392" width="11" style="1689" customWidth="1"/>
    <col min="5393" max="5393" width="12.7109375" style="1689" customWidth="1"/>
    <col min="5394" max="5394" width="9.140625" style="1689"/>
    <col min="5395" max="5395" width="11.85546875" style="1689" bestFit="1" customWidth="1"/>
    <col min="5396" max="5396" width="11.7109375" style="1689" bestFit="1" customWidth="1"/>
    <col min="5397" max="5633" width="9.140625" style="1689"/>
    <col min="5634" max="5634" width="9.42578125" style="1689" customWidth="1"/>
    <col min="5635" max="5635" width="1.7109375" style="1689" customWidth="1"/>
    <col min="5636" max="5636" width="3.140625" style="1689" customWidth="1"/>
    <col min="5637" max="5637" width="8.85546875" style="1689" customWidth="1"/>
    <col min="5638" max="5638" width="10.5703125" style="1689" customWidth="1"/>
    <col min="5639" max="5639" width="10.42578125" style="1689" customWidth="1"/>
    <col min="5640" max="5640" width="19.140625" style="1689" customWidth="1"/>
    <col min="5641" max="5641" width="20.42578125" style="1689" customWidth="1"/>
    <col min="5642" max="5642" width="14.42578125" style="1689" customWidth="1"/>
    <col min="5643" max="5643" width="14" style="1689" customWidth="1"/>
    <col min="5644" max="5644" width="16.85546875" style="1689" customWidth="1"/>
    <col min="5645" max="5645" width="12.7109375" style="1689" customWidth="1"/>
    <col min="5646" max="5646" width="13.7109375" style="1689" customWidth="1"/>
    <col min="5647" max="5647" width="14.85546875" style="1689" customWidth="1"/>
    <col min="5648" max="5648" width="11" style="1689" customWidth="1"/>
    <col min="5649" max="5649" width="12.7109375" style="1689" customWidth="1"/>
    <col min="5650" max="5650" width="9.140625" style="1689"/>
    <col min="5651" max="5651" width="11.85546875" style="1689" bestFit="1" customWidth="1"/>
    <col min="5652" max="5652" width="11.7109375" style="1689" bestFit="1" customWidth="1"/>
    <col min="5653" max="5889" width="9.140625" style="1689"/>
    <col min="5890" max="5890" width="9.42578125" style="1689" customWidth="1"/>
    <col min="5891" max="5891" width="1.7109375" style="1689" customWidth="1"/>
    <col min="5892" max="5892" width="3.140625" style="1689" customWidth="1"/>
    <col min="5893" max="5893" width="8.85546875" style="1689" customWidth="1"/>
    <col min="5894" max="5894" width="10.5703125" style="1689" customWidth="1"/>
    <col min="5895" max="5895" width="10.42578125" style="1689" customWidth="1"/>
    <col min="5896" max="5896" width="19.140625" style="1689" customWidth="1"/>
    <col min="5897" max="5897" width="20.42578125" style="1689" customWidth="1"/>
    <col min="5898" max="5898" width="14.42578125" style="1689" customWidth="1"/>
    <col min="5899" max="5899" width="14" style="1689" customWidth="1"/>
    <col min="5900" max="5900" width="16.85546875" style="1689" customWidth="1"/>
    <col min="5901" max="5901" width="12.7109375" style="1689" customWidth="1"/>
    <col min="5902" max="5902" width="13.7109375" style="1689" customWidth="1"/>
    <col min="5903" max="5903" width="14.85546875" style="1689" customWidth="1"/>
    <col min="5904" max="5904" width="11" style="1689" customWidth="1"/>
    <col min="5905" max="5905" width="12.7109375" style="1689" customWidth="1"/>
    <col min="5906" max="5906" width="9.140625" style="1689"/>
    <col min="5907" max="5907" width="11.85546875" style="1689" bestFit="1" customWidth="1"/>
    <col min="5908" max="5908" width="11.7109375" style="1689" bestFit="1" customWidth="1"/>
    <col min="5909" max="6145" width="9.140625" style="1689"/>
    <col min="6146" max="6146" width="9.42578125" style="1689" customWidth="1"/>
    <col min="6147" max="6147" width="1.7109375" style="1689" customWidth="1"/>
    <col min="6148" max="6148" width="3.140625" style="1689" customWidth="1"/>
    <col min="6149" max="6149" width="8.85546875" style="1689" customWidth="1"/>
    <col min="6150" max="6150" width="10.5703125" style="1689" customWidth="1"/>
    <col min="6151" max="6151" width="10.42578125" style="1689" customWidth="1"/>
    <col min="6152" max="6152" width="19.140625" style="1689" customWidth="1"/>
    <col min="6153" max="6153" width="20.42578125" style="1689" customWidth="1"/>
    <col min="6154" max="6154" width="14.42578125" style="1689" customWidth="1"/>
    <col min="6155" max="6155" width="14" style="1689" customWidth="1"/>
    <col min="6156" max="6156" width="16.85546875" style="1689" customWidth="1"/>
    <col min="6157" max="6157" width="12.7109375" style="1689" customWidth="1"/>
    <col min="6158" max="6158" width="13.7109375" style="1689" customWidth="1"/>
    <col min="6159" max="6159" width="14.85546875" style="1689" customWidth="1"/>
    <col min="6160" max="6160" width="11" style="1689" customWidth="1"/>
    <col min="6161" max="6161" width="12.7109375" style="1689" customWidth="1"/>
    <col min="6162" max="6162" width="9.140625" style="1689"/>
    <col min="6163" max="6163" width="11.85546875" style="1689" bestFit="1" customWidth="1"/>
    <col min="6164" max="6164" width="11.7109375" style="1689" bestFit="1" customWidth="1"/>
    <col min="6165" max="6401" width="9.140625" style="1689"/>
    <col min="6402" max="6402" width="9.42578125" style="1689" customWidth="1"/>
    <col min="6403" max="6403" width="1.7109375" style="1689" customWidth="1"/>
    <col min="6404" max="6404" width="3.140625" style="1689" customWidth="1"/>
    <col min="6405" max="6405" width="8.85546875" style="1689" customWidth="1"/>
    <col min="6406" max="6406" width="10.5703125" style="1689" customWidth="1"/>
    <col min="6407" max="6407" width="10.42578125" style="1689" customWidth="1"/>
    <col min="6408" max="6408" width="19.140625" style="1689" customWidth="1"/>
    <col min="6409" max="6409" width="20.42578125" style="1689" customWidth="1"/>
    <col min="6410" max="6410" width="14.42578125" style="1689" customWidth="1"/>
    <col min="6411" max="6411" width="14" style="1689" customWidth="1"/>
    <col min="6412" max="6412" width="16.85546875" style="1689" customWidth="1"/>
    <col min="6413" max="6413" width="12.7109375" style="1689" customWidth="1"/>
    <col min="6414" max="6414" width="13.7109375" style="1689" customWidth="1"/>
    <col min="6415" max="6415" width="14.85546875" style="1689" customWidth="1"/>
    <col min="6416" max="6416" width="11" style="1689" customWidth="1"/>
    <col min="6417" max="6417" width="12.7109375" style="1689" customWidth="1"/>
    <col min="6418" max="6418" width="9.140625" style="1689"/>
    <col min="6419" max="6419" width="11.85546875" style="1689" bestFit="1" customWidth="1"/>
    <col min="6420" max="6420" width="11.7109375" style="1689" bestFit="1" customWidth="1"/>
    <col min="6421" max="6657" width="9.140625" style="1689"/>
    <col min="6658" max="6658" width="9.42578125" style="1689" customWidth="1"/>
    <col min="6659" max="6659" width="1.7109375" style="1689" customWidth="1"/>
    <col min="6660" max="6660" width="3.140625" style="1689" customWidth="1"/>
    <col min="6661" max="6661" width="8.85546875" style="1689" customWidth="1"/>
    <col min="6662" max="6662" width="10.5703125" style="1689" customWidth="1"/>
    <col min="6663" max="6663" width="10.42578125" style="1689" customWidth="1"/>
    <col min="6664" max="6664" width="19.140625" style="1689" customWidth="1"/>
    <col min="6665" max="6665" width="20.42578125" style="1689" customWidth="1"/>
    <col min="6666" max="6666" width="14.42578125" style="1689" customWidth="1"/>
    <col min="6667" max="6667" width="14" style="1689" customWidth="1"/>
    <col min="6668" max="6668" width="16.85546875" style="1689" customWidth="1"/>
    <col min="6669" max="6669" width="12.7109375" style="1689" customWidth="1"/>
    <col min="6670" max="6670" width="13.7109375" style="1689" customWidth="1"/>
    <col min="6671" max="6671" width="14.85546875" style="1689" customWidth="1"/>
    <col min="6672" max="6672" width="11" style="1689" customWidth="1"/>
    <col min="6673" max="6673" width="12.7109375" style="1689" customWidth="1"/>
    <col min="6674" max="6674" width="9.140625" style="1689"/>
    <col min="6675" max="6675" width="11.85546875" style="1689" bestFit="1" customWidth="1"/>
    <col min="6676" max="6676" width="11.7109375" style="1689" bestFit="1" customWidth="1"/>
    <col min="6677" max="6913" width="9.140625" style="1689"/>
    <col min="6914" max="6914" width="9.42578125" style="1689" customWidth="1"/>
    <col min="6915" max="6915" width="1.7109375" style="1689" customWidth="1"/>
    <col min="6916" max="6916" width="3.140625" style="1689" customWidth="1"/>
    <col min="6917" max="6917" width="8.85546875" style="1689" customWidth="1"/>
    <col min="6918" max="6918" width="10.5703125" style="1689" customWidth="1"/>
    <col min="6919" max="6919" width="10.42578125" style="1689" customWidth="1"/>
    <col min="6920" max="6920" width="19.140625" style="1689" customWidth="1"/>
    <col min="6921" max="6921" width="20.42578125" style="1689" customWidth="1"/>
    <col min="6922" max="6922" width="14.42578125" style="1689" customWidth="1"/>
    <col min="6923" max="6923" width="14" style="1689" customWidth="1"/>
    <col min="6924" max="6924" width="16.85546875" style="1689" customWidth="1"/>
    <col min="6925" max="6925" width="12.7109375" style="1689" customWidth="1"/>
    <col min="6926" max="6926" width="13.7109375" style="1689" customWidth="1"/>
    <col min="6927" max="6927" width="14.85546875" style="1689" customWidth="1"/>
    <col min="6928" max="6928" width="11" style="1689" customWidth="1"/>
    <col min="6929" max="6929" width="12.7109375" style="1689" customWidth="1"/>
    <col min="6930" max="6930" width="9.140625" style="1689"/>
    <col min="6931" max="6931" width="11.85546875" style="1689" bestFit="1" customWidth="1"/>
    <col min="6932" max="6932" width="11.7109375" style="1689" bestFit="1" customWidth="1"/>
    <col min="6933" max="7169" width="9.140625" style="1689"/>
    <col min="7170" max="7170" width="9.42578125" style="1689" customWidth="1"/>
    <col min="7171" max="7171" width="1.7109375" style="1689" customWidth="1"/>
    <col min="7172" max="7172" width="3.140625" style="1689" customWidth="1"/>
    <col min="7173" max="7173" width="8.85546875" style="1689" customWidth="1"/>
    <col min="7174" max="7174" width="10.5703125" style="1689" customWidth="1"/>
    <col min="7175" max="7175" width="10.42578125" style="1689" customWidth="1"/>
    <col min="7176" max="7176" width="19.140625" style="1689" customWidth="1"/>
    <col min="7177" max="7177" width="20.42578125" style="1689" customWidth="1"/>
    <col min="7178" max="7178" width="14.42578125" style="1689" customWidth="1"/>
    <col min="7179" max="7179" width="14" style="1689" customWidth="1"/>
    <col min="7180" max="7180" width="16.85546875" style="1689" customWidth="1"/>
    <col min="7181" max="7181" width="12.7109375" style="1689" customWidth="1"/>
    <col min="7182" max="7182" width="13.7109375" style="1689" customWidth="1"/>
    <col min="7183" max="7183" width="14.85546875" style="1689" customWidth="1"/>
    <col min="7184" max="7184" width="11" style="1689" customWidth="1"/>
    <col min="7185" max="7185" width="12.7109375" style="1689" customWidth="1"/>
    <col min="7186" max="7186" width="9.140625" style="1689"/>
    <col min="7187" max="7187" width="11.85546875" style="1689" bestFit="1" customWidth="1"/>
    <col min="7188" max="7188" width="11.7109375" style="1689" bestFit="1" customWidth="1"/>
    <col min="7189" max="7425" width="9.140625" style="1689"/>
    <col min="7426" max="7426" width="9.42578125" style="1689" customWidth="1"/>
    <col min="7427" max="7427" width="1.7109375" style="1689" customWidth="1"/>
    <col min="7428" max="7428" width="3.140625" style="1689" customWidth="1"/>
    <col min="7429" max="7429" width="8.85546875" style="1689" customWidth="1"/>
    <col min="7430" max="7430" width="10.5703125" style="1689" customWidth="1"/>
    <col min="7431" max="7431" width="10.42578125" style="1689" customWidth="1"/>
    <col min="7432" max="7432" width="19.140625" style="1689" customWidth="1"/>
    <col min="7433" max="7433" width="20.42578125" style="1689" customWidth="1"/>
    <col min="7434" max="7434" width="14.42578125" style="1689" customWidth="1"/>
    <col min="7435" max="7435" width="14" style="1689" customWidth="1"/>
    <col min="7436" max="7436" width="16.85546875" style="1689" customWidth="1"/>
    <col min="7437" max="7437" width="12.7109375" style="1689" customWidth="1"/>
    <col min="7438" max="7438" width="13.7109375" style="1689" customWidth="1"/>
    <col min="7439" max="7439" width="14.85546875" style="1689" customWidth="1"/>
    <col min="7440" max="7440" width="11" style="1689" customWidth="1"/>
    <col min="7441" max="7441" width="12.7109375" style="1689" customWidth="1"/>
    <col min="7442" max="7442" width="9.140625" style="1689"/>
    <col min="7443" max="7443" width="11.85546875" style="1689" bestFit="1" customWidth="1"/>
    <col min="7444" max="7444" width="11.7109375" style="1689" bestFit="1" customWidth="1"/>
    <col min="7445" max="7681" width="9.140625" style="1689"/>
    <col min="7682" max="7682" width="9.42578125" style="1689" customWidth="1"/>
    <col min="7683" max="7683" width="1.7109375" style="1689" customWidth="1"/>
    <col min="7684" max="7684" width="3.140625" style="1689" customWidth="1"/>
    <col min="7685" max="7685" width="8.85546875" style="1689" customWidth="1"/>
    <col min="7686" max="7686" width="10.5703125" style="1689" customWidth="1"/>
    <col min="7687" max="7687" width="10.42578125" style="1689" customWidth="1"/>
    <col min="7688" max="7688" width="19.140625" style="1689" customWidth="1"/>
    <col min="7689" max="7689" width="20.42578125" style="1689" customWidth="1"/>
    <col min="7690" max="7690" width="14.42578125" style="1689" customWidth="1"/>
    <col min="7691" max="7691" width="14" style="1689" customWidth="1"/>
    <col min="7692" max="7692" width="16.85546875" style="1689" customWidth="1"/>
    <col min="7693" max="7693" width="12.7109375" style="1689" customWidth="1"/>
    <col min="7694" max="7694" width="13.7109375" style="1689" customWidth="1"/>
    <col min="7695" max="7695" width="14.85546875" style="1689" customWidth="1"/>
    <col min="7696" max="7696" width="11" style="1689" customWidth="1"/>
    <col min="7697" max="7697" width="12.7109375" style="1689" customWidth="1"/>
    <col min="7698" max="7698" width="9.140625" style="1689"/>
    <col min="7699" max="7699" width="11.85546875" style="1689" bestFit="1" customWidth="1"/>
    <col min="7700" max="7700" width="11.7109375" style="1689" bestFit="1" customWidth="1"/>
    <col min="7701" max="7937" width="9.140625" style="1689"/>
    <col min="7938" max="7938" width="9.42578125" style="1689" customWidth="1"/>
    <col min="7939" max="7939" width="1.7109375" style="1689" customWidth="1"/>
    <col min="7940" max="7940" width="3.140625" style="1689" customWidth="1"/>
    <col min="7941" max="7941" width="8.85546875" style="1689" customWidth="1"/>
    <col min="7942" max="7942" width="10.5703125" style="1689" customWidth="1"/>
    <col min="7943" max="7943" width="10.42578125" style="1689" customWidth="1"/>
    <col min="7944" max="7944" width="19.140625" style="1689" customWidth="1"/>
    <col min="7945" max="7945" width="20.42578125" style="1689" customWidth="1"/>
    <col min="7946" max="7946" width="14.42578125" style="1689" customWidth="1"/>
    <col min="7947" max="7947" width="14" style="1689" customWidth="1"/>
    <col min="7948" max="7948" width="16.85546875" style="1689" customWidth="1"/>
    <col min="7949" max="7949" width="12.7109375" style="1689" customWidth="1"/>
    <col min="7950" max="7950" width="13.7109375" style="1689" customWidth="1"/>
    <col min="7951" max="7951" width="14.85546875" style="1689" customWidth="1"/>
    <col min="7952" max="7952" width="11" style="1689" customWidth="1"/>
    <col min="7953" max="7953" width="12.7109375" style="1689" customWidth="1"/>
    <col min="7954" max="7954" width="9.140625" style="1689"/>
    <col min="7955" max="7955" width="11.85546875" style="1689" bestFit="1" customWidth="1"/>
    <col min="7956" max="7956" width="11.7109375" style="1689" bestFit="1" customWidth="1"/>
    <col min="7957" max="8193" width="9.140625" style="1689"/>
    <col min="8194" max="8194" width="9.42578125" style="1689" customWidth="1"/>
    <col min="8195" max="8195" width="1.7109375" style="1689" customWidth="1"/>
    <col min="8196" max="8196" width="3.140625" style="1689" customWidth="1"/>
    <col min="8197" max="8197" width="8.85546875" style="1689" customWidth="1"/>
    <col min="8198" max="8198" width="10.5703125" style="1689" customWidth="1"/>
    <col min="8199" max="8199" width="10.42578125" style="1689" customWidth="1"/>
    <col min="8200" max="8200" width="19.140625" style="1689" customWidth="1"/>
    <col min="8201" max="8201" width="20.42578125" style="1689" customWidth="1"/>
    <col min="8202" max="8202" width="14.42578125" style="1689" customWidth="1"/>
    <col min="8203" max="8203" width="14" style="1689" customWidth="1"/>
    <col min="8204" max="8204" width="16.85546875" style="1689" customWidth="1"/>
    <col min="8205" max="8205" width="12.7109375" style="1689" customWidth="1"/>
    <col min="8206" max="8206" width="13.7109375" style="1689" customWidth="1"/>
    <col min="8207" max="8207" width="14.85546875" style="1689" customWidth="1"/>
    <col min="8208" max="8208" width="11" style="1689" customWidth="1"/>
    <col min="8209" max="8209" width="12.7109375" style="1689" customWidth="1"/>
    <col min="8210" max="8210" width="9.140625" style="1689"/>
    <col min="8211" max="8211" width="11.85546875" style="1689" bestFit="1" customWidth="1"/>
    <col min="8212" max="8212" width="11.7109375" style="1689" bestFit="1" customWidth="1"/>
    <col min="8213" max="8449" width="9.140625" style="1689"/>
    <col min="8450" max="8450" width="9.42578125" style="1689" customWidth="1"/>
    <col min="8451" max="8451" width="1.7109375" style="1689" customWidth="1"/>
    <col min="8452" max="8452" width="3.140625" style="1689" customWidth="1"/>
    <col min="8453" max="8453" width="8.85546875" style="1689" customWidth="1"/>
    <col min="8454" max="8454" width="10.5703125" style="1689" customWidth="1"/>
    <col min="8455" max="8455" width="10.42578125" style="1689" customWidth="1"/>
    <col min="8456" max="8456" width="19.140625" style="1689" customWidth="1"/>
    <col min="8457" max="8457" width="20.42578125" style="1689" customWidth="1"/>
    <col min="8458" max="8458" width="14.42578125" style="1689" customWidth="1"/>
    <col min="8459" max="8459" width="14" style="1689" customWidth="1"/>
    <col min="8460" max="8460" width="16.85546875" style="1689" customWidth="1"/>
    <col min="8461" max="8461" width="12.7109375" style="1689" customWidth="1"/>
    <col min="8462" max="8462" width="13.7109375" style="1689" customWidth="1"/>
    <col min="8463" max="8463" width="14.85546875" style="1689" customWidth="1"/>
    <col min="8464" max="8464" width="11" style="1689" customWidth="1"/>
    <col min="8465" max="8465" width="12.7109375" style="1689" customWidth="1"/>
    <col min="8466" max="8466" width="9.140625" style="1689"/>
    <col min="8467" max="8467" width="11.85546875" style="1689" bestFit="1" customWidth="1"/>
    <col min="8468" max="8468" width="11.7109375" style="1689" bestFit="1" customWidth="1"/>
    <col min="8469" max="8705" width="9.140625" style="1689"/>
    <col min="8706" max="8706" width="9.42578125" style="1689" customWidth="1"/>
    <col min="8707" max="8707" width="1.7109375" style="1689" customWidth="1"/>
    <col min="8708" max="8708" width="3.140625" style="1689" customWidth="1"/>
    <col min="8709" max="8709" width="8.85546875" style="1689" customWidth="1"/>
    <col min="8710" max="8710" width="10.5703125" style="1689" customWidth="1"/>
    <col min="8711" max="8711" width="10.42578125" style="1689" customWidth="1"/>
    <col min="8712" max="8712" width="19.140625" style="1689" customWidth="1"/>
    <col min="8713" max="8713" width="20.42578125" style="1689" customWidth="1"/>
    <col min="8714" max="8714" width="14.42578125" style="1689" customWidth="1"/>
    <col min="8715" max="8715" width="14" style="1689" customWidth="1"/>
    <col min="8716" max="8716" width="16.85546875" style="1689" customWidth="1"/>
    <col min="8717" max="8717" width="12.7109375" style="1689" customWidth="1"/>
    <col min="8718" max="8718" width="13.7109375" style="1689" customWidth="1"/>
    <col min="8719" max="8719" width="14.85546875" style="1689" customWidth="1"/>
    <col min="8720" max="8720" width="11" style="1689" customWidth="1"/>
    <col min="8721" max="8721" width="12.7109375" style="1689" customWidth="1"/>
    <col min="8722" max="8722" width="9.140625" style="1689"/>
    <col min="8723" max="8723" width="11.85546875" style="1689" bestFit="1" customWidth="1"/>
    <col min="8724" max="8724" width="11.7109375" style="1689" bestFit="1" customWidth="1"/>
    <col min="8725" max="8961" width="9.140625" style="1689"/>
    <col min="8962" max="8962" width="9.42578125" style="1689" customWidth="1"/>
    <col min="8963" max="8963" width="1.7109375" style="1689" customWidth="1"/>
    <col min="8964" max="8964" width="3.140625" style="1689" customWidth="1"/>
    <col min="8965" max="8965" width="8.85546875" style="1689" customWidth="1"/>
    <col min="8966" max="8966" width="10.5703125" style="1689" customWidth="1"/>
    <col min="8967" max="8967" width="10.42578125" style="1689" customWidth="1"/>
    <col min="8968" max="8968" width="19.140625" style="1689" customWidth="1"/>
    <col min="8969" max="8969" width="20.42578125" style="1689" customWidth="1"/>
    <col min="8970" max="8970" width="14.42578125" style="1689" customWidth="1"/>
    <col min="8971" max="8971" width="14" style="1689" customWidth="1"/>
    <col min="8972" max="8972" width="16.85546875" style="1689" customWidth="1"/>
    <col min="8973" max="8973" width="12.7109375" style="1689" customWidth="1"/>
    <col min="8974" max="8974" width="13.7109375" style="1689" customWidth="1"/>
    <col min="8975" max="8975" width="14.85546875" style="1689" customWidth="1"/>
    <col min="8976" max="8976" width="11" style="1689" customWidth="1"/>
    <col min="8977" max="8977" width="12.7109375" style="1689" customWidth="1"/>
    <col min="8978" max="8978" width="9.140625" style="1689"/>
    <col min="8979" max="8979" width="11.85546875" style="1689" bestFit="1" customWidth="1"/>
    <col min="8980" max="8980" width="11.7109375" style="1689" bestFit="1" customWidth="1"/>
    <col min="8981" max="9217" width="9.140625" style="1689"/>
    <col min="9218" max="9218" width="9.42578125" style="1689" customWidth="1"/>
    <col min="9219" max="9219" width="1.7109375" style="1689" customWidth="1"/>
    <col min="9220" max="9220" width="3.140625" style="1689" customWidth="1"/>
    <col min="9221" max="9221" width="8.85546875" style="1689" customWidth="1"/>
    <col min="9222" max="9222" width="10.5703125" style="1689" customWidth="1"/>
    <col min="9223" max="9223" width="10.42578125" style="1689" customWidth="1"/>
    <col min="9224" max="9224" width="19.140625" style="1689" customWidth="1"/>
    <col min="9225" max="9225" width="20.42578125" style="1689" customWidth="1"/>
    <col min="9226" max="9226" width="14.42578125" style="1689" customWidth="1"/>
    <col min="9227" max="9227" width="14" style="1689" customWidth="1"/>
    <col min="9228" max="9228" width="16.85546875" style="1689" customWidth="1"/>
    <col min="9229" max="9229" width="12.7109375" style="1689" customWidth="1"/>
    <col min="9230" max="9230" width="13.7109375" style="1689" customWidth="1"/>
    <col min="9231" max="9231" width="14.85546875" style="1689" customWidth="1"/>
    <col min="9232" max="9232" width="11" style="1689" customWidth="1"/>
    <col min="9233" max="9233" width="12.7109375" style="1689" customWidth="1"/>
    <col min="9234" max="9234" width="9.140625" style="1689"/>
    <col min="9235" max="9235" width="11.85546875" style="1689" bestFit="1" customWidth="1"/>
    <col min="9236" max="9236" width="11.7109375" style="1689" bestFit="1" customWidth="1"/>
    <col min="9237" max="9473" width="9.140625" style="1689"/>
    <col min="9474" max="9474" width="9.42578125" style="1689" customWidth="1"/>
    <col min="9475" max="9475" width="1.7109375" style="1689" customWidth="1"/>
    <col min="9476" max="9476" width="3.140625" style="1689" customWidth="1"/>
    <col min="9477" max="9477" width="8.85546875" style="1689" customWidth="1"/>
    <col min="9478" max="9478" width="10.5703125" style="1689" customWidth="1"/>
    <col min="9479" max="9479" width="10.42578125" style="1689" customWidth="1"/>
    <col min="9480" max="9480" width="19.140625" style="1689" customWidth="1"/>
    <col min="9481" max="9481" width="20.42578125" style="1689" customWidth="1"/>
    <col min="9482" max="9482" width="14.42578125" style="1689" customWidth="1"/>
    <col min="9483" max="9483" width="14" style="1689" customWidth="1"/>
    <col min="9484" max="9484" width="16.85546875" style="1689" customWidth="1"/>
    <col min="9485" max="9485" width="12.7109375" style="1689" customWidth="1"/>
    <col min="9486" max="9486" width="13.7109375" style="1689" customWidth="1"/>
    <col min="9487" max="9487" width="14.85546875" style="1689" customWidth="1"/>
    <col min="9488" max="9488" width="11" style="1689" customWidth="1"/>
    <col min="9489" max="9489" width="12.7109375" style="1689" customWidth="1"/>
    <col min="9490" max="9490" width="9.140625" style="1689"/>
    <col min="9491" max="9491" width="11.85546875" style="1689" bestFit="1" customWidth="1"/>
    <col min="9492" max="9492" width="11.7109375" style="1689" bestFit="1" customWidth="1"/>
    <col min="9493" max="9729" width="9.140625" style="1689"/>
    <col min="9730" max="9730" width="9.42578125" style="1689" customWidth="1"/>
    <col min="9731" max="9731" width="1.7109375" style="1689" customWidth="1"/>
    <col min="9732" max="9732" width="3.140625" style="1689" customWidth="1"/>
    <col min="9733" max="9733" width="8.85546875" style="1689" customWidth="1"/>
    <col min="9734" max="9734" width="10.5703125" style="1689" customWidth="1"/>
    <col min="9735" max="9735" width="10.42578125" style="1689" customWidth="1"/>
    <col min="9736" max="9736" width="19.140625" style="1689" customWidth="1"/>
    <col min="9737" max="9737" width="20.42578125" style="1689" customWidth="1"/>
    <col min="9738" max="9738" width="14.42578125" style="1689" customWidth="1"/>
    <col min="9739" max="9739" width="14" style="1689" customWidth="1"/>
    <col min="9740" max="9740" width="16.85546875" style="1689" customWidth="1"/>
    <col min="9741" max="9741" width="12.7109375" style="1689" customWidth="1"/>
    <col min="9742" max="9742" width="13.7109375" style="1689" customWidth="1"/>
    <col min="9743" max="9743" width="14.85546875" style="1689" customWidth="1"/>
    <col min="9744" max="9744" width="11" style="1689" customWidth="1"/>
    <col min="9745" max="9745" width="12.7109375" style="1689" customWidth="1"/>
    <col min="9746" max="9746" width="9.140625" style="1689"/>
    <col min="9747" max="9747" width="11.85546875" style="1689" bestFit="1" customWidth="1"/>
    <col min="9748" max="9748" width="11.7109375" style="1689" bestFit="1" customWidth="1"/>
    <col min="9749" max="9985" width="9.140625" style="1689"/>
    <col min="9986" max="9986" width="9.42578125" style="1689" customWidth="1"/>
    <col min="9987" max="9987" width="1.7109375" style="1689" customWidth="1"/>
    <col min="9988" max="9988" width="3.140625" style="1689" customWidth="1"/>
    <col min="9989" max="9989" width="8.85546875" style="1689" customWidth="1"/>
    <col min="9990" max="9990" width="10.5703125" style="1689" customWidth="1"/>
    <col min="9991" max="9991" width="10.42578125" style="1689" customWidth="1"/>
    <col min="9992" max="9992" width="19.140625" style="1689" customWidth="1"/>
    <col min="9993" max="9993" width="20.42578125" style="1689" customWidth="1"/>
    <col min="9994" max="9994" width="14.42578125" style="1689" customWidth="1"/>
    <col min="9995" max="9995" width="14" style="1689" customWidth="1"/>
    <col min="9996" max="9996" width="16.85546875" style="1689" customWidth="1"/>
    <col min="9997" max="9997" width="12.7109375" style="1689" customWidth="1"/>
    <col min="9998" max="9998" width="13.7109375" style="1689" customWidth="1"/>
    <col min="9999" max="9999" width="14.85546875" style="1689" customWidth="1"/>
    <col min="10000" max="10000" width="11" style="1689" customWidth="1"/>
    <col min="10001" max="10001" width="12.7109375" style="1689" customWidth="1"/>
    <col min="10002" max="10002" width="9.140625" style="1689"/>
    <col min="10003" max="10003" width="11.85546875" style="1689" bestFit="1" customWidth="1"/>
    <col min="10004" max="10004" width="11.7109375" style="1689" bestFit="1" customWidth="1"/>
    <col min="10005" max="10241" width="9.140625" style="1689"/>
    <col min="10242" max="10242" width="9.42578125" style="1689" customWidth="1"/>
    <col min="10243" max="10243" width="1.7109375" style="1689" customWidth="1"/>
    <col min="10244" max="10244" width="3.140625" style="1689" customWidth="1"/>
    <col min="10245" max="10245" width="8.85546875" style="1689" customWidth="1"/>
    <col min="10246" max="10246" width="10.5703125" style="1689" customWidth="1"/>
    <col min="10247" max="10247" width="10.42578125" style="1689" customWidth="1"/>
    <col min="10248" max="10248" width="19.140625" style="1689" customWidth="1"/>
    <col min="10249" max="10249" width="20.42578125" style="1689" customWidth="1"/>
    <col min="10250" max="10250" width="14.42578125" style="1689" customWidth="1"/>
    <col min="10251" max="10251" width="14" style="1689" customWidth="1"/>
    <col min="10252" max="10252" width="16.85546875" style="1689" customWidth="1"/>
    <col min="10253" max="10253" width="12.7109375" style="1689" customWidth="1"/>
    <col min="10254" max="10254" width="13.7109375" style="1689" customWidth="1"/>
    <col min="10255" max="10255" width="14.85546875" style="1689" customWidth="1"/>
    <col min="10256" max="10256" width="11" style="1689" customWidth="1"/>
    <col min="10257" max="10257" width="12.7109375" style="1689" customWidth="1"/>
    <col min="10258" max="10258" width="9.140625" style="1689"/>
    <col min="10259" max="10259" width="11.85546875" style="1689" bestFit="1" customWidth="1"/>
    <col min="10260" max="10260" width="11.7109375" style="1689" bestFit="1" customWidth="1"/>
    <col min="10261" max="10497" width="9.140625" style="1689"/>
    <col min="10498" max="10498" width="9.42578125" style="1689" customWidth="1"/>
    <col min="10499" max="10499" width="1.7109375" style="1689" customWidth="1"/>
    <col min="10500" max="10500" width="3.140625" style="1689" customWidth="1"/>
    <col min="10501" max="10501" width="8.85546875" style="1689" customWidth="1"/>
    <col min="10502" max="10502" width="10.5703125" style="1689" customWidth="1"/>
    <col min="10503" max="10503" width="10.42578125" style="1689" customWidth="1"/>
    <col min="10504" max="10504" width="19.140625" style="1689" customWidth="1"/>
    <col min="10505" max="10505" width="20.42578125" style="1689" customWidth="1"/>
    <col min="10506" max="10506" width="14.42578125" style="1689" customWidth="1"/>
    <col min="10507" max="10507" width="14" style="1689" customWidth="1"/>
    <col min="10508" max="10508" width="16.85546875" style="1689" customWidth="1"/>
    <col min="10509" max="10509" width="12.7109375" style="1689" customWidth="1"/>
    <col min="10510" max="10510" width="13.7109375" style="1689" customWidth="1"/>
    <col min="10511" max="10511" width="14.85546875" style="1689" customWidth="1"/>
    <col min="10512" max="10512" width="11" style="1689" customWidth="1"/>
    <col min="10513" max="10513" width="12.7109375" style="1689" customWidth="1"/>
    <col min="10514" max="10514" width="9.140625" style="1689"/>
    <col min="10515" max="10515" width="11.85546875" style="1689" bestFit="1" customWidth="1"/>
    <col min="10516" max="10516" width="11.7109375" style="1689" bestFit="1" customWidth="1"/>
    <col min="10517" max="10753" width="9.140625" style="1689"/>
    <col min="10754" max="10754" width="9.42578125" style="1689" customWidth="1"/>
    <col min="10755" max="10755" width="1.7109375" style="1689" customWidth="1"/>
    <col min="10756" max="10756" width="3.140625" style="1689" customWidth="1"/>
    <col min="10757" max="10757" width="8.85546875" style="1689" customWidth="1"/>
    <col min="10758" max="10758" width="10.5703125" style="1689" customWidth="1"/>
    <col min="10759" max="10759" width="10.42578125" style="1689" customWidth="1"/>
    <col min="10760" max="10760" width="19.140625" style="1689" customWidth="1"/>
    <col min="10761" max="10761" width="20.42578125" style="1689" customWidth="1"/>
    <col min="10762" max="10762" width="14.42578125" style="1689" customWidth="1"/>
    <col min="10763" max="10763" width="14" style="1689" customWidth="1"/>
    <col min="10764" max="10764" width="16.85546875" style="1689" customWidth="1"/>
    <col min="10765" max="10765" width="12.7109375" style="1689" customWidth="1"/>
    <col min="10766" max="10766" width="13.7109375" style="1689" customWidth="1"/>
    <col min="10767" max="10767" width="14.85546875" style="1689" customWidth="1"/>
    <col min="10768" max="10768" width="11" style="1689" customWidth="1"/>
    <col min="10769" max="10769" width="12.7109375" style="1689" customWidth="1"/>
    <col min="10770" max="10770" width="9.140625" style="1689"/>
    <col min="10771" max="10771" width="11.85546875" style="1689" bestFit="1" customWidth="1"/>
    <col min="10772" max="10772" width="11.7109375" style="1689" bestFit="1" customWidth="1"/>
    <col min="10773" max="11009" width="9.140625" style="1689"/>
    <col min="11010" max="11010" width="9.42578125" style="1689" customWidth="1"/>
    <col min="11011" max="11011" width="1.7109375" style="1689" customWidth="1"/>
    <col min="11012" max="11012" width="3.140625" style="1689" customWidth="1"/>
    <col min="11013" max="11013" width="8.85546875" style="1689" customWidth="1"/>
    <col min="11014" max="11014" width="10.5703125" style="1689" customWidth="1"/>
    <col min="11015" max="11015" width="10.42578125" style="1689" customWidth="1"/>
    <col min="11016" max="11016" width="19.140625" style="1689" customWidth="1"/>
    <col min="11017" max="11017" width="20.42578125" style="1689" customWidth="1"/>
    <col min="11018" max="11018" width="14.42578125" style="1689" customWidth="1"/>
    <col min="11019" max="11019" width="14" style="1689" customWidth="1"/>
    <col min="11020" max="11020" width="16.85546875" style="1689" customWidth="1"/>
    <col min="11021" max="11021" width="12.7109375" style="1689" customWidth="1"/>
    <col min="11022" max="11022" width="13.7109375" style="1689" customWidth="1"/>
    <col min="11023" max="11023" width="14.85546875" style="1689" customWidth="1"/>
    <col min="11024" max="11024" width="11" style="1689" customWidth="1"/>
    <col min="11025" max="11025" width="12.7109375" style="1689" customWidth="1"/>
    <col min="11026" max="11026" width="9.140625" style="1689"/>
    <col min="11027" max="11027" width="11.85546875" style="1689" bestFit="1" customWidth="1"/>
    <col min="11028" max="11028" width="11.7109375" style="1689" bestFit="1" customWidth="1"/>
    <col min="11029" max="11265" width="9.140625" style="1689"/>
    <col min="11266" max="11266" width="9.42578125" style="1689" customWidth="1"/>
    <col min="11267" max="11267" width="1.7109375" style="1689" customWidth="1"/>
    <col min="11268" max="11268" width="3.140625" style="1689" customWidth="1"/>
    <col min="11269" max="11269" width="8.85546875" style="1689" customWidth="1"/>
    <col min="11270" max="11270" width="10.5703125" style="1689" customWidth="1"/>
    <col min="11271" max="11271" width="10.42578125" style="1689" customWidth="1"/>
    <col min="11272" max="11272" width="19.140625" style="1689" customWidth="1"/>
    <col min="11273" max="11273" width="20.42578125" style="1689" customWidth="1"/>
    <col min="11274" max="11274" width="14.42578125" style="1689" customWidth="1"/>
    <col min="11275" max="11275" width="14" style="1689" customWidth="1"/>
    <col min="11276" max="11276" width="16.85546875" style="1689" customWidth="1"/>
    <col min="11277" max="11277" width="12.7109375" style="1689" customWidth="1"/>
    <col min="11278" max="11278" width="13.7109375" style="1689" customWidth="1"/>
    <col min="11279" max="11279" width="14.85546875" style="1689" customWidth="1"/>
    <col min="11280" max="11280" width="11" style="1689" customWidth="1"/>
    <col min="11281" max="11281" width="12.7109375" style="1689" customWidth="1"/>
    <col min="11282" max="11282" width="9.140625" style="1689"/>
    <col min="11283" max="11283" width="11.85546875" style="1689" bestFit="1" customWidth="1"/>
    <col min="11284" max="11284" width="11.7109375" style="1689" bestFit="1" customWidth="1"/>
    <col min="11285" max="11521" width="9.140625" style="1689"/>
    <col min="11522" max="11522" width="9.42578125" style="1689" customWidth="1"/>
    <col min="11523" max="11523" width="1.7109375" style="1689" customWidth="1"/>
    <col min="11524" max="11524" width="3.140625" style="1689" customWidth="1"/>
    <col min="11525" max="11525" width="8.85546875" style="1689" customWidth="1"/>
    <col min="11526" max="11526" width="10.5703125" style="1689" customWidth="1"/>
    <col min="11527" max="11527" width="10.42578125" style="1689" customWidth="1"/>
    <col min="11528" max="11528" width="19.140625" style="1689" customWidth="1"/>
    <col min="11529" max="11529" width="20.42578125" style="1689" customWidth="1"/>
    <col min="11530" max="11530" width="14.42578125" style="1689" customWidth="1"/>
    <col min="11531" max="11531" width="14" style="1689" customWidth="1"/>
    <col min="11532" max="11532" width="16.85546875" style="1689" customWidth="1"/>
    <col min="11533" max="11533" width="12.7109375" style="1689" customWidth="1"/>
    <col min="11534" max="11534" width="13.7109375" style="1689" customWidth="1"/>
    <col min="11535" max="11535" width="14.85546875" style="1689" customWidth="1"/>
    <col min="11536" max="11536" width="11" style="1689" customWidth="1"/>
    <col min="11537" max="11537" width="12.7109375" style="1689" customWidth="1"/>
    <col min="11538" max="11538" width="9.140625" style="1689"/>
    <col min="11539" max="11539" width="11.85546875" style="1689" bestFit="1" customWidth="1"/>
    <col min="11540" max="11540" width="11.7109375" style="1689" bestFit="1" customWidth="1"/>
    <col min="11541" max="11777" width="9.140625" style="1689"/>
    <col min="11778" max="11778" width="9.42578125" style="1689" customWidth="1"/>
    <col min="11779" max="11779" width="1.7109375" style="1689" customWidth="1"/>
    <col min="11780" max="11780" width="3.140625" style="1689" customWidth="1"/>
    <col min="11781" max="11781" width="8.85546875" style="1689" customWidth="1"/>
    <col min="11782" max="11782" width="10.5703125" style="1689" customWidth="1"/>
    <col min="11783" max="11783" width="10.42578125" style="1689" customWidth="1"/>
    <col min="11784" max="11784" width="19.140625" style="1689" customWidth="1"/>
    <col min="11785" max="11785" width="20.42578125" style="1689" customWidth="1"/>
    <col min="11786" max="11786" width="14.42578125" style="1689" customWidth="1"/>
    <col min="11787" max="11787" width="14" style="1689" customWidth="1"/>
    <col min="11788" max="11788" width="16.85546875" style="1689" customWidth="1"/>
    <col min="11789" max="11789" width="12.7109375" style="1689" customWidth="1"/>
    <col min="11790" max="11790" width="13.7109375" style="1689" customWidth="1"/>
    <col min="11791" max="11791" width="14.85546875" style="1689" customWidth="1"/>
    <col min="11792" max="11792" width="11" style="1689" customWidth="1"/>
    <col min="11793" max="11793" width="12.7109375" style="1689" customWidth="1"/>
    <col min="11794" max="11794" width="9.140625" style="1689"/>
    <col min="11795" max="11795" width="11.85546875" style="1689" bestFit="1" customWidth="1"/>
    <col min="11796" max="11796" width="11.7109375" style="1689" bestFit="1" customWidth="1"/>
    <col min="11797" max="12033" width="9.140625" style="1689"/>
    <col min="12034" max="12034" width="9.42578125" style="1689" customWidth="1"/>
    <col min="12035" max="12035" width="1.7109375" style="1689" customWidth="1"/>
    <col min="12036" max="12036" width="3.140625" style="1689" customWidth="1"/>
    <col min="12037" max="12037" width="8.85546875" style="1689" customWidth="1"/>
    <col min="12038" max="12038" width="10.5703125" style="1689" customWidth="1"/>
    <col min="12039" max="12039" width="10.42578125" style="1689" customWidth="1"/>
    <col min="12040" max="12040" width="19.140625" style="1689" customWidth="1"/>
    <col min="12041" max="12041" width="20.42578125" style="1689" customWidth="1"/>
    <col min="12042" max="12042" width="14.42578125" style="1689" customWidth="1"/>
    <col min="12043" max="12043" width="14" style="1689" customWidth="1"/>
    <col min="12044" max="12044" width="16.85546875" style="1689" customWidth="1"/>
    <col min="12045" max="12045" width="12.7109375" style="1689" customWidth="1"/>
    <col min="12046" max="12046" width="13.7109375" style="1689" customWidth="1"/>
    <col min="12047" max="12047" width="14.85546875" style="1689" customWidth="1"/>
    <col min="12048" max="12048" width="11" style="1689" customWidth="1"/>
    <col min="12049" max="12049" width="12.7109375" style="1689" customWidth="1"/>
    <col min="12050" max="12050" width="9.140625" style="1689"/>
    <col min="12051" max="12051" width="11.85546875" style="1689" bestFit="1" customWidth="1"/>
    <col min="12052" max="12052" width="11.7109375" style="1689" bestFit="1" customWidth="1"/>
    <col min="12053" max="12289" width="9.140625" style="1689"/>
    <col min="12290" max="12290" width="9.42578125" style="1689" customWidth="1"/>
    <col min="12291" max="12291" width="1.7109375" style="1689" customWidth="1"/>
    <col min="12292" max="12292" width="3.140625" style="1689" customWidth="1"/>
    <col min="12293" max="12293" width="8.85546875" style="1689" customWidth="1"/>
    <col min="12294" max="12294" width="10.5703125" style="1689" customWidth="1"/>
    <col min="12295" max="12295" width="10.42578125" style="1689" customWidth="1"/>
    <col min="12296" max="12296" width="19.140625" style="1689" customWidth="1"/>
    <col min="12297" max="12297" width="20.42578125" style="1689" customWidth="1"/>
    <col min="12298" max="12298" width="14.42578125" style="1689" customWidth="1"/>
    <col min="12299" max="12299" width="14" style="1689" customWidth="1"/>
    <col min="12300" max="12300" width="16.85546875" style="1689" customWidth="1"/>
    <col min="12301" max="12301" width="12.7109375" style="1689" customWidth="1"/>
    <col min="12302" max="12302" width="13.7109375" style="1689" customWidth="1"/>
    <col min="12303" max="12303" width="14.85546875" style="1689" customWidth="1"/>
    <col min="12304" max="12304" width="11" style="1689" customWidth="1"/>
    <col min="12305" max="12305" width="12.7109375" style="1689" customWidth="1"/>
    <col min="12306" max="12306" width="9.140625" style="1689"/>
    <col min="12307" max="12307" width="11.85546875" style="1689" bestFit="1" customWidth="1"/>
    <col min="12308" max="12308" width="11.7109375" style="1689" bestFit="1" customWidth="1"/>
    <col min="12309" max="12545" width="9.140625" style="1689"/>
    <col min="12546" max="12546" width="9.42578125" style="1689" customWidth="1"/>
    <col min="12547" max="12547" width="1.7109375" style="1689" customWidth="1"/>
    <col min="12548" max="12548" width="3.140625" style="1689" customWidth="1"/>
    <col min="12549" max="12549" width="8.85546875" style="1689" customWidth="1"/>
    <col min="12550" max="12550" width="10.5703125" style="1689" customWidth="1"/>
    <col min="12551" max="12551" width="10.42578125" style="1689" customWidth="1"/>
    <col min="12552" max="12552" width="19.140625" style="1689" customWidth="1"/>
    <col min="12553" max="12553" width="20.42578125" style="1689" customWidth="1"/>
    <col min="12554" max="12554" width="14.42578125" style="1689" customWidth="1"/>
    <col min="12555" max="12555" width="14" style="1689" customWidth="1"/>
    <col min="12556" max="12556" width="16.85546875" style="1689" customWidth="1"/>
    <col min="12557" max="12557" width="12.7109375" style="1689" customWidth="1"/>
    <col min="12558" max="12558" width="13.7109375" style="1689" customWidth="1"/>
    <col min="12559" max="12559" width="14.85546875" style="1689" customWidth="1"/>
    <col min="12560" max="12560" width="11" style="1689" customWidth="1"/>
    <col min="12561" max="12561" width="12.7109375" style="1689" customWidth="1"/>
    <col min="12562" max="12562" width="9.140625" style="1689"/>
    <col min="12563" max="12563" width="11.85546875" style="1689" bestFit="1" customWidth="1"/>
    <col min="12564" max="12564" width="11.7109375" style="1689" bestFit="1" customWidth="1"/>
    <col min="12565" max="12801" width="9.140625" style="1689"/>
    <col min="12802" max="12802" width="9.42578125" style="1689" customWidth="1"/>
    <col min="12803" max="12803" width="1.7109375" style="1689" customWidth="1"/>
    <col min="12804" max="12804" width="3.140625" style="1689" customWidth="1"/>
    <col min="12805" max="12805" width="8.85546875" style="1689" customWidth="1"/>
    <col min="12806" max="12806" width="10.5703125" style="1689" customWidth="1"/>
    <col min="12807" max="12807" width="10.42578125" style="1689" customWidth="1"/>
    <col min="12808" max="12808" width="19.140625" style="1689" customWidth="1"/>
    <col min="12809" max="12809" width="20.42578125" style="1689" customWidth="1"/>
    <col min="12810" max="12810" width="14.42578125" style="1689" customWidth="1"/>
    <col min="12811" max="12811" width="14" style="1689" customWidth="1"/>
    <col min="12812" max="12812" width="16.85546875" style="1689" customWidth="1"/>
    <col min="12813" max="12813" width="12.7109375" style="1689" customWidth="1"/>
    <col min="12814" max="12814" width="13.7109375" style="1689" customWidth="1"/>
    <col min="12815" max="12815" width="14.85546875" style="1689" customWidth="1"/>
    <col min="12816" max="12816" width="11" style="1689" customWidth="1"/>
    <col min="12817" max="12817" width="12.7109375" style="1689" customWidth="1"/>
    <col min="12818" max="12818" width="9.140625" style="1689"/>
    <col min="12819" max="12819" width="11.85546875" style="1689" bestFit="1" customWidth="1"/>
    <col min="12820" max="12820" width="11.7109375" style="1689" bestFit="1" customWidth="1"/>
    <col min="12821" max="13057" width="9.140625" style="1689"/>
    <col min="13058" max="13058" width="9.42578125" style="1689" customWidth="1"/>
    <col min="13059" max="13059" width="1.7109375" style="1689" customWidth="1"/>
    <col min="13060" max="13060" width="3.140625" style="1689" customWidth="1"/>
    <col min="13061" max="13061" width="8.85546875" style="1689" customWidth="1"/>
    <col min="13062" max="13062" width="10.5703125" style="1689" customWidth="1"/>
    <col min="13063" max="13063" width="10.42578125" style="1689" customWidth="1"/>
    <col min="13064" max="13064" width="19.140625" style="1689" customWidth="1"/>
    <col min="13065" max="13065" width="20.42578125" style="1689" customWidth="1"/>
    <col min="13066" max="13066" width="14.42578125" style="1689" customWidth="1"/>
    <col min="13067" max="13067" width="14" style="1689" customWidth="1"/>
    <col min="13068" max="13068" width="16.85546875" style="1689" customWidth="1"/>
    <col min="13069" max="13069" width="12.7109375" style="1689" customWidth="1"/>
    <col min="13070" max="13070" width="13.7109375" style="1689" customWidth="1"/>
    <col min="13071" max="13071" width="14.85546875" style="1689" customWidth="1"/>
    <col min="13072" max="13072" width="11" style="1689" customWidth="1"/>
    <col min="13073" max="13073" width="12.7109375" style="1689" customWidth="1"/>
    <col min="13074" max="13074" width="9.140625" style="1689"/>
    <col min="13075" max="13075" width="11.85546875" style="1689" bestFit="1" customWidth="1"/>
    <col min="13076" max="13076" width="11.7109375" style="1689" bestFit="1" customWidth="1"/>
    <col min="13077" max="13313" width="9.140625" style="1689"/>
    <col min="13314" max="13314" width="9.42578125" style="1689" customWidth="1"/>
    <col min="13315" max="13315" width="1.7109375" style="1689" customWidth="1"/>
    <col min="13316" max="13316" width="3.140625" style="1689" customWidth="1"/>
    <col min="13317" max="13317" width="8.85546875" style="1689" customWidth="1"/>
    <col min="13318" max="13318" width="10.5703125" style="1689" customWidth="1"/>
    <col min="13319" max="13319" width="10.42578125" style="1689" customWidth="1"/>
    <col min="13320" max="13320" width="19.140625" style="1689" customWidth="1"/>
    <col min="13321" max="13321" width="20.42578125" style="1689" customWidth="1"/>
    <col min="13322" max="13322" width="14.42578125" style="1689" customWidth="1"/>
    <col min="13323" max="13323" width="14" style="1689" customWidth="1"/>
    <col min="13324" max="13324" width="16.85546875" style="1689" customWidth="1"/>
    <col min="13325" max="13325" width="12.7109375" style="1689" customWidth="1"/>
    <col min="13326" max="13326" width="13.7109375" style="1689" customWidth="1"/>
    <col min="13327" max="13327" width="14.85546875" style="1689" customWidth="1"/>
    <col min="13328" max="13328" width="11" style="1689" customWidth="1"/>
    <col min="13329" max="13329" width="12.7109375" style="1689" customWidth="1"/>
    <col min="13330" max="13330" width="9.140625" style="1689"/>
    <col min="13331" max="13331" width="11.85546875" style="1689" bestFit="1" customWidth="1"/>
    <col min="13332" max="13332" width="11.7109375" style="1689" bestFit="1" customWidth="1"/>
    <col min="13333" max="13569" width="9.140625" style="1689"/>
    <col min="13570" max="13570" width="9.42578125" style="1689" customWidth="1"/>
    <col min="13571" max="13571" width="1.7109375" style="1689" customWidth="1"/>
    <col min="13572" max="13572" width="3.140625" style="1689" customWidth="1"/>
    <col min="13573" max="13573" width="8.85546875" style="1689" customWidth="1"/>
    <col min="13574" max="13574" width="10.5703125" style="1689" customWidth="1"/>
    <col min="13575" max="13575" width="10.42578125" style="1689" customWidth="1"/>
    <col min="13576" max="13576" width="19.140625" style="1689" customWidth="1"/>
    <col min="13577" max="13577" width="20.42578125" style="1689" customWidth="1"/>
    <col min="13578" max="13578" width="14.42578125" style="1689" customWidth="1"/>
    <col min="13579" max="13579" width="14" style="1689" customWidth="1"/>
    <col min="13580" max="13580" width="16.85546875" style="1689" customWidth="1"/>
    <col min="13581" max="13581" width="12.7109375" style="1689" customWidth="1"/>
    <col min="13582" max="13582" width="13.7109375" style="1689" customWidth="1"/>
    <col min="13583" max="13583" width="14.85546875" style="1689" customWidth="1"/>
    <col min="13584" max="13584" width="11" style="1689" customWidth="1"/>
    <col min="13585" max="13585" width="12.7109375" style="1689" customWidth="1"/>
    <col min="13586" max="13586" width="9.140625" style="1689"/>
    <col min="13587" max="13587" width="11.85546875" style="1689" bestFit="1" customWidth="1"/>
    <col min="13588" max="13588" width="11.7109375" style="1689" bestFit="1" customWidth="1"/>
    <col min="13589" max="13825" width="9.140625" style="1689"/>
    <col min="13826" max="13826" width="9.42578125" style="1689" customWidth="1"/>
    <col min="13827" max="13827" width="1.7109375" style="1689" customWidth="1"/>
    <col min="13828" max="13828" width="3.140625" style="1689" customWidth="1"/>
    <col min="13829" max="13829" width="8.85546875" style="1689" customWidth="1"/>
    <col min="13830" max="13830" width="10.5703125" style="1689" customWidth="1"/>
    <col min="13831" max="13831" width="10.42578125" style="1689" customWidth="1"/>
    <col min="13832" max="13832" width="19.140625" style="1689" customWidth="1"/>
    <col min="13833" max="13833" width="20.42578125" style="1689" customWidth="1"/>
    <col min="13834" max="13834" width="14.42578125" style="1689" customWidth="1"/>
    <col min="13835" max="13835" width="14" style="1689" customWidth="1"/>
    <col min="13836" max="13836" width="16.85546875" style="1689" customWidth="1"/>
    <col min="13837" max="13837" width="12.7109375" style="1689" customWidth="1"/>
    <col min="13838" max="13838" width="13.7109375" style="1689" customWidth="1"/>
    <col min="13839" max="13839" width="14.85546875" style="1689" customWidth="1"/>
    <col min="13840" max="13840" width="11" style="1689" customWidth="1"/>
    <col min="13841" max="13841" width="12.7109375" style="1689" customWidth="1"/>
    <col min="13842" max="13842" width="9.140625" style="1689"/>
    <col min="13843" max="13843" width="11.85546875" style="1689" bestFit="1" customWidth="1"/>
    <col min="13844" max="13844" width="11.7109375" style="1689" bestFit="1" customWidth="1"/>
    <col min="13845" max="14081" width="9.140625" style="1689"/>
    <col min="14082" max="14082" width="9.42578125" style="1689" customWidth="1"/>
    <col min="14083" max="14083" width="1.7109375" style="1689" customWidth="1"/>
    <col min="14084" max="14084" width="3.140625" style="1689" customWidth="1"/>
    <col min="14085" max="14085" width="8.85546875" style="1689" customWidth="1"/>
    <col min="14086" max="14086" width="10.5703125" style="1689" customWidth="1"/>
    <col min="14087" max="14087" width="10.42578125" style="1689" customWidth="1"/>
    <col min="14088" max="14088" width="19.140625" style="1689" customWidth="1"/>
    <col min="14089" max="14089" width="20.42578125" style="1689" customWidth="1"/>
    <col min="14090" max="14090" width="14.42578125" style="1689" customWidth="1"/>
    <col min="14091" max="14091" width="14" style="1689" customWidth="1"/>
    <col min="14092" max="14092" width="16.85546875" style="1689" customWidth="1"/>
    <col min="14093" max="14093" width="12.7109375" style="1689" customWidth="1"/>
    <col min="14094" max="14094" width="13.7109375" style="1689" customWidth="1"/>
    <col min="14095" max="14095" width="14.85546875" style="1689" customWidth="1"/>
    <col min="14096" max="14096" width="11" style="1689" customWidth="1"/>
    <col min="14097" max="14097" width="12.7109375" style="1689" customWidth="1"/>
    <col min="14098" max="14098" width="9.140625" style="1689"/>
    <col min="14099" max="14099" width="11.85546875" style="1689" bestFit="1" customWidth="1"/>
    <col min="14100" max="14100" width="11.7109375" style="1689" bestFit="1" customWidth="1"/>
    <col min="14101" max="14337" width="9.140625" style="1689"/>
    <col min="14338" max="14338" width="9.42578125" style="1689" customWidth="1"/>
    <col min="14339" max="14339" width="1.7109375" style="1689" customWidth="1"/>
    <col min="14340" max="14340" width="3.140625" style="1689" customWidth="1"/>
    <col min="14341" max="14341" width="8.85546875" style="1689" customWidth="1"/>
    <col min="14342" max="14342" width="10.5703125" style="1689" customWidth="1"/>
    <col min="14343" max="14343" width="10.42578125" style="1689" customWidth="1"/>
    <col min="14344" max="14344" width="19.140625" style="1689" customWidth="1"/>
    <col min="14345" max="14345" width="20.42578125" style="1689" customWidth="1"/>
    <col min="14346" max="14346" width="14.42578125" style="1689" customWidth="1"/>
    <col min="14347" max="14347" width="14" style="1689" customWidth="1"/>
    <col min="14348" max="14348" width="16.85546875" style="1689" customWidth="1"/>
    <col min="14349" max="14349" width="12.7109375" style="1689" customWidth="1"/>
    <col min="14350" max="14350" width="13.7109375" style="1689" customWidth="1"/>
    <col min="14351" max="14351" width="14.85546875" style="1689" customWidth="1"/>
    <col min="14352" max="14352" width="11" style="1689" customWidth="1"/>
    <col min="14353" max="14353" width="12.7109375" style="1689" customWidth="1"/>
    <col min="14354" max="14354" width="9.140625" style="1689"/>
    <col min="14355" max="14355" width="11.85546875" style="1689" bestFit="1" customWidth="1"/>
    <col min="14356" max="14356" width="11.7109375" style="1689" bestFit="1" customWidth="1"/>
    <col min="14357" max="14593" width="9.140625" style="1689"/>
    <col min="14594" max="14594" width="9.42578125" style="1689" customWidth="1"/>
    <col min="14595" max="14595" width="1.7109375" style="1689" customWidth="1"/>
    <col min="14596" max="14596" width="3.140625" style="1689" customWidth="1"/>
    <col min="14597" max="14597" width="8.85546875" style="1689" customWidth="1"/>
    <col min="14598" max="14598" width="10.5703125" style="1689" customWidth="1"/>
    <col min="14599" max="14599" width="10.42578125" style="1689" customWidth="1"/>
    <col min="14600" max="14600" width="19.140625" style="1689" customWidth="1"/>
    <col min="14601" max="14601" width="20.42578125" style="1689" customWidth="1"/>
    <col min="14602" max="14602" width="14.42578125" style="1689" customWidth="1"/>
    <col min="14603" max="14603" width="14" style="1689" customWidth="1"/>
    <col min="14604" max="14604" width="16.85546875" style="1689" customWidth="1"/>
    <col min="14605" max="14605" width="12.7109375" style="1689" customWidth="1"/>
    <col min="14606" max="14606" width="13.7109375" style="1689" customWidth="1"/>
    <col min="14607" max="14607" width="14.85546875" style="1689" customWidth="1"/>
    <col min="14608" max="14608" width="11" style="1689" customWidth="1"/>
    <col min="14609" max="14609" width="12.7109375" style="1689" customWidth="1"/>
    <col min="14610" max="14610" width="9.140625" style="1689"/>
    <col min="14611" max="14611" width="11.85546875" style="1689" bestFit="1" customWidth="1"/>
    <col min="14612" max="14612" width="11.7109375" style="1689" bestFit="1" customWidth="1"/>
    <col min="14613" max="14849" width="9.140625" style="1689"/>
    <col min="14850" max="14850" width="9.42578125" style="1689" customWidth="1"/>
    <col min="14851" max="14851" width="1.7109375" style="1689" customWidth="1"/>
    <col min="14852" max="14852" width="3.140625" style="1689" customWidth="1"/>
    <col min="14853" max="14853" width="8.85546875" style="1689" customWidth="1"/>
    <col min="14854" max="14854" width="10.5703125" style="1689" customWidth="1"/>
    <col min="14855" max="14855" width="10.42578125" style="1689" customWidth="1"/>
    <col min="14856" max="14856" width="19.140625" style="1689" customWidth="1"/>
    <col min="14857" max="14857" width="20.42578125" style="1689" customWidth="1"/>
    <col min="14858" max="14858" width="14.42578125" style="1689" customWidth="1"/>
    <col min="14859" max="14859" width="14" style="1689" customWidth="1"/>
    <col min="14860" max="14860" width="16.85546875" style="1689" customWidth="1"/>
    <col min="14861" max="14861" width="12.7109375" style="1689" customWidth="1"/>
    <col min="14862" max="14862" width="13.7109375" style="1689" customWidth="1"/>
    <col min="14863" max="14863" width="14.85546875" style="1689" customWidth="1"/>
    <col min="14864" max="14864" width="11" style="1689" customWidth="1"/>
    <col min="14865" max="14865" width="12.7109375" style="1689" customWidth="1"/>
    <col min="14866" max="14866" width="9.140625" style="1689"/>
    <col min="14867" max="14867" width="11.85546875" style="1689" bestFit="1" customWidth="1"/>
    <col min="14868" max="14868" width="11.7109375" style="1689" bestFit="1" customWidth="1"/>
    <col min="14869" max="15105" width="9.140625" style="1689"/>
    <col min="15106" max="15106" width="9.42578125" style="1689" customWidth="1"/>
    <col min="15107" max="15107" width="1.7109375" style="1689" customWidth="1"/>
    <col min="15108" max="15108" width="3.140625" style="1689" customWidth="1"/>
    <col min="15109" max="15109" width="8.85546875" style="1689" customWidth="1"/>
    <col min="15110" max="15110" width="10.5703125" style="1689" customWidth="1"/>
    <col min="15111" max="15111" width="10.42578125" style="1689" customWidth="1"/>
    <col min="15112" max="15112" width="19.140625" style="1689" customWidth="1"/>
    <col min="15113" max="15113" width="20.42578125" style="1689" customWidth="1"/>
    <col min="15114" max="15114" width="14.42578125" style="1689" customWidth="1"/>
    <col min="15115" max="15115" width="14" style="1689" customWidth="1"/>
    <col min="15116" max="15116" width="16.85546875" style="1689" customWidth="1"/>
    <col min="15117" max="15117" width="12.7109375" style="1689" customWidth="1"/>
    <col min="15118" max="15118" width="13.7109375" style="1689" customWidth="1"/>
    <col min="15119" max="15119" width="14.85546875" style="1689" customWidth="1"/>
    <col min="15120" max="15120" width="11" style="1689" customWidth="1"/>
    <col min="15121" max="15121" width="12.7109375" style="1689" customWidth="1"/>
    <col min="15122" max="15122" width="9.140625" style="1689"/>
    <col min="15123" max="15123" width="11.85546875" style="1689" bestFit="1" customWidth="1"/>
    <col min="15124" max="15124" width="11.7109375" style="1689" bestFit="1" customWidth="1"/>
    <col min="15125" max="15361" width="9.140625" style="1689"/>
    <col min="15362" max="15362" width="9.42578125" style="1689" customWidth="1"/>
    <col min="15363" max="15363" width="1.7109375" style="1689" customWidth="1"/>
    <col min="15364" max="15364" width="3.140625" style="1689" customWidth="1"/>
    <col min="15365" max="15365" width="8.85546875" style="1689" customWidth="1"/>
    <col min="15366" max="15366" width="10.5703125" style="1689" customWidth="1"/>
    <col min="15367" max="15367" width="10.42578125" style="1689" customWidth="1"/>
    <col min="15368" max="15368" width="19.140625" style="1689" customWidth="1"/>
    <col min="15369" max="15369" width="20.42578125" style="1689" customWidth="1"/>
    <col min="15370" max="15370" width="14.42578125" style="1689" customWidth="1"/>
    <col min="15371" max="15371" width="14" style="1689" customWidth="1"/>
    <col min="15372" max="15372" width="16.85546875" style="1689" customWidth="1"/>
    <col min="15373" max="15373" width="12.7109375" style="1689" customWidth="1"/>
    <col min="15374" max="15374" width="13.7109375" style="1689" customWidth="1"/>
    <col min="15375" max="15375" width="14.85546875" style="1689" customWidth="1"/>
    <col min="15376" max="15376" width="11" style="1689" customWidth="1"/>
    <col min="15377" max="15377" width="12.7109375" style="1689" customWidth="1"/>
    <col min="15378" max="15378" width="9.140625" style="1689"/>
    <col min="15379" max="15379" width="11.85546875" style="1689" bestFit="1" customWidth="1"/>
    <col min="15380" max="15380" width="11.7109375" style="1689" bestFit="1" customWidth="1"/>
    <col min="15381" max="15617" width="9.140625" style="1689"/>
    <col min="15618" max="15618" width="9.42578125" style="1689" customWidth="1"/>
    <col min="15619" max="15619" width="1.7109375" style="1689" customWidth="1"/>
    <col min="15620" max="15620" width="3.140625" style="1689" customWidth="1"/>
    <col min="15621" max="15621" width="8.85546875" style="1689" customWidth="1"/>
    <col min="15622" max="15622" width="10.5703125" style="1689" customWidth="1"/>
    <col min="15623" max="15623" width="10.42578125" style="1689" customWidth="1"/>
    <col min="15624" max="15624" width="19.140625" style="1689" customWidth="1"/>
    <col min="15625" max="15625" width="20.42578125" style="1689" customWidth="1"/>
    <col min="15626" max="15626" width="14.42578125" style="1689" customWidth="1"/>
    <col min="15627" max="15627" width="14" style="1689" customWidth="1"/>
    <col min="15628" max="15628" width="16.85546875" style="1689" customWidth="1"/>
    <col min="15629" max="15629" width="12.7109375" style="1689" customWidth="1"/>
    <col min="15630" max="15630" width="13.7109375" style="1689" customWidth="1"/>
    <col min="15631" max="15631" width="14.85546875" style="1689" customWidth="1"/>
    <col min="15632" max="15632" width="11" style="1689" customWidth="1"/>
    <col min="15633" max="15633" width="12.7109375" style="1689" customWidth="1"/>
    <col min="15634" max="15634" width="9.140625" style="1689"/>
    <col min="15635" max="15635" width="11.85546875" style="1689" bestFit="1" customWidth="1"/>
    <col min="15636" max="15636" width="11.7109375" style="1689" bestFit="1" customWidth="1"/>
    <col min="15637" max="15873" width="9.140625" style="1689"/>
    <col min="15874" max="15874" width="9.42578125" style="1689" customWidth="1"/>
    <col min="15875" max="15875" width="1.7109375" style="1689" customWidth="1"/>
    <col min="15876" max="15876" width="3.140625" style="1689" customWidth="1"/>
    <col min="15877" max="15877" width="8.85546875" style="1689" customWidth="1"/>
    <col min="15878" max="15878" width="10.5703125" style="1689" customWidth="1"/>
    <col min="15879" max="15879" width="10.42578125" style="1689" customWidth="1"/>
    <col min="15880" max="15880" width="19.140625" style="1689" customWidth="1"/>
    <col min="15881" max="15881" width="20.42578125" style="1689" customWidth="1"/>
    <col min="15882" max="15882" width="14.42578125" style="1689" customWidth="1"/>
    <col min="15883" max="15883" width="14" style="1689" customWidth="1"/>
    <col min="15884" max="15884" width="16.85546875" style="1689" customWidth="1"/>
    <col min="15885" max="15885" width="12.7109375" style="1689" customWidth="1"/>
    <col min="15886" max="15886" width="13.7109375" style="1689" customWidth="1"/>
    <col min="15887" max="15887" width="14.85546875" style="1689" customWidth="1"/>
    <col min="15888" max="15888" width="11" style="1689" customWidth="1"/>
    <col min="15889" max="15889" width="12.7109375" style="1689" customWidth="1"/>
    <col min="15890" max="15890" width="9.140625" style="1689"/>
    <col min="15891" max="15891" width="11.85546875" style="1689" bestFit="1" customWidth="1"/>
    <col min="15892" max="15892" width="11.7109375" style="1689" bestFit="1" customWidth="1"/>
    <col min="15893" max="16129" width="9.140625" style="1689"/>
    <col min="16130" max="16130" width="9.42578125" style="1689" customWidth="1"/>
    <col min="16131" max="16131" width="1.7109375" style="1689" customWidth="1"/>
    <col min="16132" max="16132" width="3.140625" style="1689" customWidth="1"/>
    <col min="16133" max="16133" width="8.85546875" style="1689" customWidth="1"/>
    <col min="16134" max="16134" width="10.5703125" style="1689" customWidth="1"/>
    <col min="16135" max="16135" width="10.42578125" style="1689" customWidth="1"/>
    <col min="16136" max="16136" width="19.140625" style="1689" customWidth="1"/>
    <col min="16137" max="16137" width="20.42578125" style="1689" customWidth="1"/>
    <col min="16138" max="16138" width="14.42578125" style="1689" customWidth="1"/>
    <col min="16139" max="16139" width="14" style="1689" customWidth="1"/>
    <col min="16140" max="16140" width="16.85546875" style="1689" customWidth="1"/>
    <col min="16141" max="16141" width="12.7109375" style="1689" customWidth="1"/>
    <col min="16142" max="16142" width="13.7109375" style="1689" customWidth="1"/>
    <col min="16143" max="16143" width="14.85546875" style="1689" customWidth="1"/>
    <col min="16144" max="16144" width="11" style="1689" customWidth="1"/>
    <col min="16145" max="16145" width="12.7109375" style="1689" customWidth="1"/>
    <col min="16146" max="16146" width="9.140625" style="1689"/>
    <col min="16147" max="16147" width="11.85546875" style="1689" bestFit="1" customWidth="1"/>
    <col min="16148" max="16148" width="11.7109375" style="1689" bestFit="1" customWidth="1"/>
    <col min="16149" max="16384" width="9.140625" style="1689"/>
  </cols>
  <sheetData>
    <row r="2" spans="2:16" ht="20.100000000000001" customHeight="1" x14ac:dyDescent="0.2">
      <c r="B2" s="3179" t="s">
        <v>1060</v>
      </c>
      <c r="C2" s="3179"/>
      <c r="D2" s="3179"/>
      <c r="E2" s="3179"/>
      <c r="F2" s="3179"/>
      <c r="G2" s="3179"/>
      <c r="H2" s="3179"/>
      <c r="I2" s="3179"/>
      <c r="J2" s="3179"/>
    </row>
    <row r="3" spans="2:16" ht="10.5" customHeight="1" x14ac:dyDescent="0.2">
      <c r="B3" s="1694"/>
      <c r="C3" s="1694"/>
      <c r="D3" s="1694"/>
      <c r="E3" s="1694"/>
      <c r="F3" s="1694"/>
      <c r="G3" s="1694"/>
      <c r="H3" s="1694"/>
      <c r="I3" s="1694"/>
      <c r="J3" s="1694"/>
    </row>
    <row r="4" spans="2:16" ht="17.100000000000001" customHeight="1" x14ac:dyDescent="0.2">
      <c r="B4" s="1695" t="str">
        <f>BAHAN!B2</f>
        <v xml:space="preserve">Pekerjaan          </v>
      </c>
      <c r="D4" s="1695" t="str">
        <f>BAHAN!D2</f>
        <v>: Renovasi Atap Gedung Paripurna DPRD Provsu</v>
      </c>
      <c r="E4" s="1694"/>
      <c r="F4" s="1694"/>
      <c r="G4" s="1694"/>
      <c r="H4" s="1694"/>
      <c r="I4" s="1694"/>
      <c r="J4" s="1694"/>
    </row>
    <row r="5" spans="2:16" ht="17.100000000000001" customHeight="1" x14ac:dyDescent="0.2">
      <c r="B5" s="1695" t="str">
        <f>BAHAN!B3</f>
        <v xml:space="preserve">Lokasi                </v>
      </c>
      <c r="C5" s="1696"/>
      <c r="D5" s="1695" t="str">
        <f>BAHAN!D3</f>
        <v>: Jalan Imam Bonjol No. 5 Medan</v>
      </c>
      <c r="E5" s="1696"/>
      <c r="F5" s="1696"/>
      <c r="G5" s="1696"/>
      <c r="H5" s="1696"/>
      <c r="I5" s="1696"/>
      <c r="J5" s="1696"/>
    </row>
    <row r="6" spans="2:16" ht="17.100000000000001" customHeight="1" x14ac:dyDescent="0.2">
      <c r="B6" s="1695" t="str">
        <f>BAHAN!B4</f>
        <v xml:space="preserve">Tahun                 </v>
      </c>
      <c r="C6" s="1697"/>
      <c r="D6" s="1695" t="str">
        <f>BAHAN!D4</f>
        <v>: 2022</v>
      </c>
      <c r="E6" s="1697"/>
      <c r="F6" s="1697"/>
      <c r="G6" s="1697"/>
      <c r="H6" s="1697"/>
      <c r="I6" s="1697"/>
      <c r="J6" s="1697"/>
    </row>
    <row r="7" spans="2:16" ht="8.25" customHeight="1" thickBot="1" x14ac:dyDescent="0.25">
      <c r="B7" s="1698"/>
      <c r="C7" s="1699"/>
      <c r="D7" s="1700"/>
      <c r="E7" s="1698"/>
      <c r="F7" s="1701"/>
      <c r="G7" s="1701"/>
      <c r="H7" s="1701"/>
      <c r="I7" s="1701"/>
      <c r="J7" s="1702"/>
    </row>
    <row r="8" spans="2:16" s="1707" customFormat="1" ht="24.95" customHeight="1" thickTop="1" x14ac:dyDescent="0.2">
      <c r="B8" s="1703" t="s">
        <v>135</v>
      </c>
      <c r="C8" s="1704"/>
      <c r="D8" s="3176" t="s">
        <v>967</v>
      </c>
      <c r="E8" s="3176"/>
      <c r="F8" s="3176"/>
      <c r="G8" s="3176"/>
      <c r="H8" s="3176"/>
      <c r="I8" s="1705" t="s">
        <v>366</v>
      </c>
      <c r="J8" s="1706" t="s">
        <v>966</v>
      </c>
      <c r="L8" s="1708"/>
      <c r="M8" s="1709"/>
      <c r="N8" s="1697"/>
      <c r="O8" s="1710"/>
      <c r="P8" s="1708"/>
    </row>
    <row r="9" spans="2:16" ht="15.75" customHeight="1" x14ac:dyDescent="0.2">
      <c r="B9" s="1711">
        <v>1</v>
      </c>
      <c r="C9" s="3177">
        <v>2</v>
      </c>
      <c r="D9" s="3178"/>
      <c r="E9" s="3178"/>
      <c r="F9" s="3178"/>
      <c r="G9" s="3178"/>
      <c r="H9" s="3178"/>
      <c r="I9" s="1712">
        <v>3</v>
      </c>
      <c r="J9" s="1713">
        <v>4</v>
      </c>
    </row>
    <row r="10" spans="2:16" s="1719" customFormat="1" ht="9.75" customHeight="1" x14ac:dyDescent="0.2">
      <c r="B10" s="1714"/>
      <c r="C10" s="1715"/>
      <c r="D10" s="1716"/>
      <c r="E10" s="1716"/>
      <c r="F10" s="1716"/>
      <c r="G10" s="1716"/>
      <c r="H10" s="1716"/>
      <c r="I10" s="1717"/>
      <c r="J10" s="1718"/>
      <c r="L10" s="1720"/>
      <c r="M10" s="1721"/>
      <c r="N10" s="1722"/>
      <c r="O10" s="1723"/>
      <c r="P10" s="1720"/>
    </row>
    <row r="11" spans="2:16" s="1719" customFormat="1" ht="13.5" x14ac:dyDescent="0.2">
      <c r="B11" s="1724"/>
      <c r="C11" s="1725"/>
      <c r="D11" s="1726" t="s">
        <v>968</v>
      </c>
      <c r="E11" s="1727"/>
      <c r="F11" s="1727"/>
      <c r="G11" s="1727"/>
      <c r="H11" s="1727"/>
      <c r="I11" s="1728"/>
      <c r="J11" s="1729"/>
      <c r="L11" s="1720"/>
      <c r="M11" s="1730"/>
      <c r="N11" s="1731"/>
      <c r="O11" s="1723"/>
      <c r="P11" s="1720"/>
    </row>
    <row r="12" spans="2:16" s="1719" customFormat="1" ht="13.5" x14ac:dyDescent="0.2">
      <c r="B12" s="1724"/>
      <c r="C12" s="1725"/>
      <c r="D12" s="1726" t="s">
        <v>969</v>
      </c>
      <c r="E12" s="1727"/>
      <c r="F12" s="1727"/>
      <c r="G12" s="1727"/>
      <c r="H12" s="1727"/>
      <c r="I12" s="1728"/>
      <c r="J12" s="1729"/>
      <c r="L12" s="1721"/>
      <c r="M12" s="1730"/>
      <c r="N12" s="1732"/>
      <c r="O12" s="1723"/>
      <c r="P12" s="1720"/>
    </row>
    <row r="13" spans="2:16" s="1719" customFormat="1" ht="13.5" x14ac:dyDescent="0.2">
      <c r="B13" s="1724">
        <v>1</v>
      </c>
      <c r="C13" s="1725"/>
      <c r="D13" s="1727" t="s">
        <v>970</v>
      </c>
      <c r="E13" s="1727"/>
      <c r="F13" s="1727"/>
      <c r="G13" s="1727"/>
      <c r="H13" s="1727"/>
      <c r="I13" s="1728" t="s">
        <v>27</v>
      </c>
      <c r="J13" s="1729">
        <v>13500</v>
      </c>
      <c r="L13" s="1720"/>
      <c r="M13" s="1730"/>
      <c r="N13" s="1732"/>
      <c r="O13" s="1723"/>
      <c r="P13" s="1720"/>
    </row>
    <row r="14" spans="2:16" s="1719" customFormat="1" ht="13.5" x14ac:dyDescent="0.2">
      <c r="B14" s="1724">
        <v>2</v>
      </c>
      <c r="C14" s="1725"/>
      <c r="D14" s="1727" t="s">
        <v>971</v>
      </c>
      <c r="E14" s="1727"/>
      <c r="F14" s="1727"/>
      <c r="G14" s="1727"/>
      <c r="H14" s="1727"/>
      <c r="I14" s="1728" t="s">
        <v>27</v>
      </c>
      <c r="J14" s="1729">
        <v>17000</v>
      </c>
      <c r="L14" s="1720"/>
      <c r="M14" s="1730"/>
      <c r="N14" s="1732"/>
      <c r="O14" s="1723"/>
      <c r="P14" s="1720"/>
    </row>
    <row r="15" spans="2:16" s="1719" customFormat="1" ht="13.5" x14ac:dyDescent="0.2">
      <c r="B15" s="1724">
        <v>3</v>
      </c>
      <c r="C15" s="1725"/>
      <c r="D15" s="1727" t="s">
        <v>972</v>
      </c>
      <c r="E15" s="1727"/>
      <c r="F15" s="1727"/>
      <c r="G15" s="1727"/>
      <c r="H15" s="1727"/>
      <c r="I15" s="1728" t="s">
        <v>27</v>
      </c>
      <c r="J15" s="1729">
        <v>26500</v>
      </c>
      <c r="L15" s="1720"/>
      <c r="M15" s="1730"/>
      <c r="N15" s="1732"/>
      <c r="O15" s="1723"/>
      <c r="P15" s="1720"/>
    </row>
    <row r="16" spans="2:16" s="1719" customFormat="1" ht="13.5" x14ac:dyDescent="0.2">
      <c r="B16" s="1724">
        <v>4</v>
      </c>
      <c r="C16" s="1725"/>
      <c r="D16" s="1727" t="s">
        <v>973</v>
      </c>
      <c r="E16" s="1727"/>
      <c r="F16" s="1727"/>
      <c r="G16" s="1727"/>
      <c r="H16" s="1727"/>
      <c r="I16" s="1728" t="s">
        <v>27</v>
      </c>
      <c r="J16" s="1729">
        <v>42000</v>
      </c>
      <c r="L16" s="1720"/>
      <c r="M16" s="1730"/>
      <c r="N16" s="1732"/>
      <c r="O16" s="1723"/>
      <c r="P16" s="1720"/>
    </row>
    <row r="17" spans="2:16" s="1719" customFormat="1" ht="13.5" x14ac:dyDescent="0.2">
      <c r="B17" s="1724">
        <v>5</v>
      </c>
      <c r="C17" s="1725"/>
      <c r="D17" s="1727" t="s">
        <v>974</v>
      </c>
      <c r="E17" s="1727"/>
      <c r="F17" s="1727"/>
      <c r="G17" s="1727"/>
      <c r="H17" s="1727"/>
      <c r="I17" s="1728" t="s">
        <v>27</v>
      </c>
      <c r="J17" s="1729">
        <v>64000</v>
      </c>
      <c r="L17" s="1720"/>
      <c r="M17" s="1730"/>
      <c r="N17" s="1732"/>
      <c r="O17" s="1723"/>
      <c r="P17" s="1720"/>
    </row>
    <row r="18" spans="2:16" s="1719" customFormat="1" ht="13.5" x14ac:dyDescent="0.2">
      <c r="B18" s="1724">
        <v>6</v>
      </c>
      <c r="C18" s="1725"/>
      <c r="D18" s="1727" t="s">
        <v>975</v>
      </c>
      <c r="E18" s="1727"/>
      <c r="F18" s="1727"/>
      <c r="G18" s="1727"/>
      <c r="H18" s="1727"/>
      <c r="I18" s="1728" t="s">
        <v>27</v>
      </c>
      <c r="J18" s="1729">
        <v>102000</v>
      </c>
      <c r="L18" s="1720"/>
      <c r="M18" s="1733"/>
      <c r="N18" s="1732"/>
      <c r="O18" s="1723"/>
      <c r="P18" s="1720"/>
    </row>
    <row r="19" spans="2:16" s="1719" customFormat="1" ht="13.5" x14ac:dyDescent="0.2">
      <c r="B19" s="1724">
        <v>7</v>
      </c>
      <c r="C19" s="1725"/>
      <c r="D19" s="1727" t="s">
        <v>976</v>
      </c>
      <c r="E19" s="1727"/>
      <c r="F19" s="1727"/>
      <c r="G19" s="1727"/>
      <c r="H19" s="1727"/>
      <c r="I19" s="1728" t="s">
        <v>27</v>
      </c>
      <c r="J19" s="1729">
        <v>171000</v>
      </c>
      <c r="L19" s="1720"/>
      <c r="M19" s="1730"/>
      <c r="N19" s="1732"/>
      <c r="O19" s="1723"/>
      <c r="P19" s="1720"/>
    </row>
    <row r="20" spans="2:16" s="1719" customFormat="1" ht="13.5" x14ac:dyDescent="0.2">
      <c r="B20" s="1724">
        <v>8</v>
      </c>
      <c r="C20" s="1725"/>
      <c r="D20" s="1727" t="s">
        <v>977</v>
      </c>
      <c r="E20" s="1727"/>
      <c r="F20" s="1727"/>
      <c r="G20" s="1727"/>
      <c r="H20" s="1727"/>
      <c r="I20" s="1728" t="s">
        <v>27</v>
      </c>
      <c r="J20" s="1729">
        <v>198000</v>
      </c>
      <c r="L20" s="1720"/>
      <c r="M20" s="1730"/>
      <c r="N20" s="1732"/>
      <c r="O20" s="1723"/>
      <c r="P20" s="1720"/>
    </row>
    <row r="21" spans="2:16" s="1719" customFormat="1" ht="13.5" x14ac:dyDescent="0.2">
      <c r="B21" s="1724">
        <v>9</v>
      </c>
      <c r="C21" s="1725"/>
      <c r="D21" s="1727" t="s">
        <v>978</v>
      </c>
      <c r="E21" s="1727"/>
      <c r="F21" s="1727"/>
      <c r="G21" s="1727"/>
      <c r="H21" s="1727"/>
      <c r="I21" s="1728" t="s">
        <v>27</v>
      </c>
      <c r="J21" s="1729">
        <v>300000</v>
      </c>
      <c r="L21" s="1720"/>
      <c r="M21" s="1730"/>
      <c r="N21" s="1732"/>
      <c r="O21" s="1723"/>
      <c r="P21" s="1720"/>
    </row>
    <row r="22" spans="2:16" s="1719" customFormat="1" ht="13.5" x14ac:dyDescent="0.2">
      <c r="B22" s="1724"/>
      <c r="C22" s="1725"/>
      <c r="D22" s="1726" t="s">
        <v>979</v>
      </c>
      <c r="E22" s="1727"/>
      <c r="F22" s="1727"/>
      <c r="G22" s="1727"/>
      <c r="H22" s="1727"/>
      <c r="I22" s="1728"/>
      <c r="J22" s="1729"/>
      <c r="L22" s="1720"/>
      <c r="M22" s="1730"/>
      <c r="N22" s="1732"/>
      <c r="O22" s="1723"/>
      <c r="P22" s="1720"/>
    </row>
    <row r="23" spans="2:16" s="1719" customFormat="1" ht="13.5" x14ac:dyDescent="0.2">
      <c r="B23" s="1724">
        <v>1</v>
      </c>
      <c r="C23" s="1725"/>
      <c r="D23" s="1727" t="s">
        <v>970</v>
      </c>
      <c r="E23" s="1727"/>
      <c r="F23" s="1727"/>
      <c r="G23" s="1727"/>
      <c r="H23" s="1727"/>
      <c r="I23" s="1728" t="s">
        <v>27</v>
      </c>
      <c r="J23" s="1729">
        <v>23000</v>
      </c>
      <c r="L23" s="1720"/>
      <c r="M23" s="1730"/>
      <c r="N23" s="1732"/>
      <c r="O23" s="1723"/>
      <c r="P23" s="1720"/>
    </row>
    <row r="24" spans="2:16" s="1719" customFormat="1" ht="13.5" x14ac:dyDescent="0.2">
      <c r="B24" s="1724">
        <v>2</v>
      </c>
      <c r="C24" s="1725"/>
      <c r="D24" s="1727" t="s">
        <v>980</v>
      </c>
      <c r="E24" s="1727"/>
      <c r="F24" s="1727"/>
      <c r="G24" s="1727"/>
      <c r="H24" s="1727"/>
      <c r="I24" s="1728" t="s">
        <v>32</v>
      </c>
      <c r="J24" s="1729">
        <v>2450000</v>
      </c>
      <c r="L24" s="1720"/>
      <c r="M24" s="1730"/>
      <c r="N24" s="1732"/>
      <c r="O24" s="1723"/>
      <c r="P24" s="1720"/>
    </row>
    <row r="25" spans="2:16" s="1719" customFormat="1" ht="13.5" x14ac:dyDescent="0.2">
      <c r="B25" s="1724"/>
      <c r="C25" s="1725"/>
      <c r="D25" s="1726" t="s">
        <v>981</v>
      </c>
      <c r="E25" s="1727"/>
      <c r="F25" s="1727"/>
      <c r="G25" s="1727"/>
      <c r="H25" s="1727"/>
      <c r="I25" s="1728"/>
      <c r="J25" s="1729"/>
      <c r="L25" s="1720"/>
      <c r="M25" s="1730"/>
      <c r="N25" s="1722"/>
      <c r="O25" s="1723"/>
      <c r="P25" s="1720"/>
    </row>
    <row r="26" spans="2:16" s="1719" customFormat="1" ht="13.5" x14ac:dyDescent="0.2">
      <c r="B26" s="1724">
        <v>1</v>
      </c>
      <c r="C26" s="1725"/>
      <c r="D26" s="1727" t="s">
        <v>982</v>
      </c>
      <c r="E26" s="1727"/>
      <c r="F26" s="1727"/>
      <c r="G26" s="1727"/>
      <c r="H26" s="1727"/>
      <c r="I26" s="1728" t="s">
        <v>32</v>
      </c>
      <c r="J26" s="1729">
        <v>7500000</v>
      </c>
      <c r="K26" s="1734"/>
      <c r="L26" s="1720"/>
      <c r="M26" s="1730"/>
      <c r="N26" s="1735"/>
      <c r="O26" s="1723"/>
      <c r="P26" s="1720"/>
    </row>
    <row r="27" spans="2:16" s="1719" customFormat="1" ht="13.5" x14ac:dyDescent="0.2">
      <c r="B27" s="1724">
        <v>2</v>
      </c>
      <c r="C27" s="1725"/>
      <c r="D27" s="1727" t="s">
        <v>925</v>
      </c>
      <c r="E27" s="1727"/>
      <c r="F27" s="1727"/>
      <c r="G27" s="1727"/>
      <c r="H27" s="1727"/>
      <c r="I27" s="1728" t="s">
        <v>9</v>
      </c>
      <c r="J27" s="1729">
        <v>85000</v>
      </c>
      <c r="L27" s="1720"/>
      <c r="M27" s="1730"/>
      <c r="N27" s="1732"/>
      <c r="O27" s="1723"/>
      <c r="P27" s="1720"/>
    </row>
    <row r="28" spans="2:16" s="1719" customFormat="1" ht="13.5" x14ac:dyDescent="0.2">
      <c r="B28" s="1724">
        <v>3</v>
      </c>
      <c r="C28" s="1725"/>
      <c r="D28" s="1727" t="s">
        <v>983</v>
      </c>
      <c r="E28" s="1727"/>
      <c r="F28" s="1727"/>
      <c r="G28" s="1727"/>
      <c r="H28" s="1727"/>
      <c r="I28" s="1728" t="s">
        <v>27</v>
      </c>
      <c r="J28" s="1729">
        <v>11500</v>
      </c>
      <c r="L28" s="1720"/>
      <c r="M28" s="1730"/>
      <c r="N28" s="1732"/>
      <c r="O28" s="1723"/>
      <c r="P28" s="1720"/>
    </row>
    <row r="29" spans="2:16" s="1719" customFormat="1" ht="13.5" x14ac:dyDescent="0.2">
      <c r="B29" s="1724">
        <v>4</v>
      </c>
      <c r="C29" s="1725"/>
      <c r="D29" s="1727" t="s">
        <v>984</v>
      </c>
      <c r="E29" s="1727"/>
      <c r="F29" s="1727"/>
      <c r="G29" s="1727"/>
      <c r="H29" s="1727"/>
      <c r="I29" s="1728" t="s">
        <v>32</v>
      </c>
      <c r="J29" s="1729">
        <v>8350000</v>
      </c>
      <c r="L29" s="1720"/>
      <c r="M29" s="1730"/>
      <c r="N29" s="1732"/>
      <c r="O29" s="1723"/>
      <c r="P29" s="1720"/>
    </row>
    <row r="30" spans="2:16" s="1719" customFormat="1" ht="13.5" x14ac:dyDescent="0.2">
      <c r="B30" s="1724">
        <v>5</v>
      </c>
      <c r="C30" s="1725"/>
      <c r="D30" s="1727" t="s">
        <v>985</v>
      </c>
      <c r="E30" s="1727"/>
      <c r="F30" s="1727"/>
      <c r="G30" s="1727"/>
      <c r="H30" s="1727"/>
      <c r="I30" s="1728" t="s">
        <v>32</v>
      </c>
      <c r="J30" s="1729">
        <v>2800000</v>
      </c>
      <c r="L30" s="1720"/>
      <c r="M30" s="1730"/>
      <c r="N30" s="1732"/>
      <c r="O30" s="1723"/>
      <c r="P30" s="1720"/>
    </row>
    <row r="31" spans="2:16" s="1719" customFormat="1" ht="13.5" x14ac:dyDescent="0.2">
      <c r="B31" s="1724">
        <v>6</v>
      </c>
      <c r="C31" s="1725"/>
      <c r="D31" s="1727" t="s">
        <v>986</v>
      </c>
      <c r="E31" s="1727"/>
      <c r="F31" s="1727"/>
      <c r="G31" s="1727"/>
      <c r="H31" s="1727"/>
      <c r="I31" s="1728" t="s">
        <v>9</v>
      </c>
      <c r="J31" s="1729">
        <v>75000</v>
      </c>
      <c r="L31" s="1720"/>
      <c r="M31" s="1730"/>
      <c r="N31" s="1732"/>
      <c r="O31" s="1723"/>
      <c r="P31" s="1720"/>
    </row>
    <row r="32" spans="2:16" s="1719" customFormat="1" ht="13.5" x14ac:dyDescent="0.2">
      <c r="B32" s="1724">
        <v>10</v>
      </c>
      <c r="C32" s="1725"/>
      <c r="D32" s="1727" t="s">
        <v>987</v>
      </c>
      <c r="E32" s="1727"/>
      <c r="F32" s="1727"/>
      <c r="G32" s="1727"/>
      <c r="H32" s="1727"/>
      <c r="I32" s="1728" t="s">
        <v>9</v>
      </c>
      <c r="J32" s="1729">
        <v>275000</v>
      </c>
      <c r="L32" s="1720"/>
      <c r="M32" s="1730"/>
      <c r="N32" s="1732"/>
      <c r="O32" s="1723"/>
      <c r="P32" s="1720"/>
    </row>
    <row r="33" spans="2:16" s="1719" customFormat="1" ht="13.5" x14ac:dyDescent="0.2">
      <c r="B33" s="1724"/>
      <c r="C33" s="1725"/>
      <c r="D33" s="1726" t="s">
        <v>988</v>
      </c>
      <c r="E33" s="1727"/>
      <c r="F33" s="1727"/>
      <c r="G33" s="1727"/>
      <c r="H33" s="1727"/>
      <c r="I33" s="1728"/>
      <c r="J33" s="1729"/>
      <c r="L33" s="1720"/>
      <c r="M33" s="1730"/>
      <c r="N33" s="1722"/>
      <c r="O33" s="1723"/>
      <c r="P33" s="1720"/>
    </row>
    <row r="34" spans="2:16" s="1719" customFormat="1" ht="13.5" x14ac:dyDescent="0.2">
      <c r="B34" s="1724">
        <v>1</v>
      </c>
      <c r="C34" s="1725"/>
      <c r="D34" s="1727" t="s">
        <v>989</v>
      </c>
      <c r="E34" s="1727"/>
      <c r="F34" s="1727"/>
      <c r="G34" s="1727"/>
      <c r="H34" s="1727"/>
      <c r="I34" s="1728" t="s">
        <v>9</v>
      </c>
      <c r="J34" s="1729">
        <v>135000</v>
      </c>
      <c r="L34" s="1720"/>
      <c r="M34" s="1730"/>
      <c r="N34" s="1722"/>
      <c r="O34" s="1723"/>
      <c r="P34" s="1720"/>
    </row>
    <row r="35" spans="2:16" s="1719" customFormat="1" ht="13.5" x14ac:dyDescent="0.2">
      <c r="B35" s="1724">
        <v>2</v>
      </c>
      <c r="C35" s="1725"/>
      <c r="D35" s="1727" t="s">
        <v>990</v>
      </c>
      <c r="E35" s="1727"/>
      <c r="F35" s="1727"/>
      <c r="G35" s="1727"/>
      <c r="H35" s="1727"/>
      <c r="I35" s="1728" t="s">
        <v>9</v>
      </c>
      <c r="J35" s="1729">
        <v>258000</v>
      </c>
      <c r="L35" s="1720"/>
      <c r="M35" s="1730"/>
      <c r="N35" s="1722"/>
      <c r="O35" s="1723"/>
      <c r="P35" s="1720"/>
    </row>
    <row r="36" spans="2:16" s="1719" customFormat="1" ht="13.5" x14ac:dyDescent="0.2">
      <c r="B36" s="1724">
        <v>3</v>
      </c>
      <c r="C36" s="1725"/>
      <c r="D36" s="1727" t="s">
        <v>991</v>
      </c>
      <c r="E36" s="1727"/>
      <c r="F36" s="1727"/>
      <c r="G36" s="1727"/>
      <c r="H36" s="1727"/>
      <c r="I36" s="1728" t="s">
        <v>9</v>
      </c>
      <c r="J36" s="1729">
        <v>365000</v>
      </c>
      <c r="L36" s="1720"/>
      <c r="M36" s="1730"/>
      <c r="N36" s="1722"/>
      <c r="O36" s="1723"/>
      <c r="P36" s="1720"/>
    </row>
    <row r="37" spans="2:16" s="1719" customFormat="1" ht="13.5" x14ac:dyDescent="0.2">
      <c r="B37" s="1724">
        <v>4</v>
      </c>
      <c r="C37" s="1725"/>
      <c r="D37" s="1727" t="s">
        <v>992</v>
      </c>
      <c r="E37" s="1727"/>
      <c r="F37" s="1727"/>
      <c r="G37" s="1727"/>
      <c r="H37" s="1727"/>
      <c r="I37" s="1728" t="s">
        <v>9</v>
      </c>
      <c r="J37" s="1729">
        <v>256000</v>
      </c>
      <c r="L37" s="1720"/>
      <c r="M37" s="1730"/>
      <c r="N37" s="1722"/>
      <c r="O37" s="1723"/>
      <c r="P37" s="1720"/>
    </row>
    <row r="38" spans="2:16" s="1719" customFormat="1" ht="13.5" x14ac:dyDescent="0.2">
      <c r="B38" s="1724">
        <v>5</v>
      </c>
      <c r="C38" s="1725"/>
      <c r="D38" s="1727" t="s">
        <v>993</v>
      </c>
      <c r="E38" s="1727"/>
      <c r="F38" s="1727"/>
      <c r="G38" s="1727"/>
      <c r="H38" s="1727"/>
      <c r="I38" s="1728" t="s">
        <v>9</v>
      </c>
      <c r="J38" s="1729">
        <v>155000</v>
      </c>
      <c r="L38" s="1720"/>
      <c r="M38" s="1730"/>
      <c r="N38" s="1722"/>
      <c r="O38" s="1723"/>
      <c r="P38" s="1720"/>
    </row>
    <row r="39" spans="2:16" s="1719" customFormat="1" ht="13.5" x14ac:dyDescent="0.2">
      <c r="B39" s="1724">
        <v>6</v>
      </c>
      <c r="C39" s="1725"/>
      <c r="D39" s="1727" t="s">
        <v>994</v>
      </c>
      <c r="E39" s="1727"/>
      <c r="F39" s="1727"/>
      <c r="G39" s="1727"/>
      <c r="H39" s="1727"/>
      <c r="I39" s="1728" t="s">
        <v>9</v>
      </c>
      <c r="J39" s="1729">
        <v>395000</v>
      </c>
      <c r="L39" s="1720"/>
      <c r="M39" s="1721"/>
      <c r="N39" s="1722"/>
      <c r="O39" s="1723"/>
      <c r="P39" s="1720"/>
    </row>
    <row r="40" spans="2:16" s="1719" customFormat="1" ht="13.5" x14ac:dyDescent="0.2">
      <c r="B40" s="1724">
        <v>7</v>
      </c>
      <c r="C40" s="1725"/>
      <c r="D40" s="1727" t="s">
        <v>995</v>
      </c>
      <c r="E40" s="1727"/>
      <c r="F40" s="1727"/>
      <c r="G40" s="1727"/>
      <c r="H40" s="1727"/>
      <c r="I40" s="1728" t="s">
        <v>9</v>
      </c>
      <c r="J40" s="1729">
        <v>410000</v>
      </c>
      <c r="L40" s="1720"/>
      <c r="M40" s="1721"/>
      <c r="N40" s="1722"/>
      <c r="O40" s="1723"/>
      <c r="P40" s="1720"/>
    </row>
    <row r="41" spans="2:16" s="1719" customFormat="1" ht="13.5" x14ac:dyDescent="0.2">
      <c r="B41" s="1724">
        <v>8</v>
      </c>
      <c r="C41" s="1725"/>
      <c r="D41" s="1727" t="s">
        <v>996</v>
      </c>
      <c r="E41" s="1727"/>
      <c r="F41" s="1727"/>
      <c r="G41" s="1727"/>
      <c r="H41" s="1727"/>
      <c r="I41" s="1728" t="s">
        <v>9</v>
      </c>
      <c r="J41" s="1729">
        <v>245000</v>
      </c>
      <c r="L41" s="1720"/>
      <c r="M41" s="1721"/>
      <c r="N41" s="1722"/>
      <c r="O41" s="1723"/>
      <c r="P41" s="1720"/>
    </row>
    <row r="42" spans="2:16" s="1719" customFormat="1" ht="13.5" x14ac:dyDescent="0.2">
      <c r="B42" s="1724">
        <v>9</v>
      </c>
      <c r="C42" s="1725"/>
      <c r="D42" s="1727" t="s">
        <v>997</v>
      </c>
      <c r="E42" s="1727"/>
      <c r="F42" s="1727"/>
      <c r="G42" s="1727"/>
      <c r="H42" s="1727"/>
      <c r="I42" s="1728" t="s">
        <v>9</v>
      </c>
      <c r="J42" s="1729">
        <v>700000</v>
      </c>
      <c r="L42" s="1720"/>
      <c r="M42" s="1721"/>
      <c r="N42" s="1722"/>
      <c r="O42" s="1723"/>
      <c r="P42" s="1720"/>
    </row>
    <row r="43" spans="2:16" s="1719" customFormat="1" ht="13.5" x14ac:dyDescent="0.2">
      <c r="B43" s="1724">
        <v>10</v>
      </c>
      <c r="C43" s="1725"/>
      <c r="D43" s="1727" t="s">
        <v>998</v>
      </c>
      <c r="E43" s="1727"/>
      <c r="F43" s="1727"/>
      <c r="G43" s="1727"/>
      <c r="H43" s="1727"/>
      <c r="I43" s="1728" t="s">
        <v>9</v>
      </c>
      <c r="J43" s="1729">
        <v>980000</v>
      </c>
      <c r="L43" s="1720"/>
      <c r="M43" s="1721"/>
      <c r="N43" s="1722"/>
      <c r="O43" s="1723"/>
      <c r="P43" s="1720"/>
    </row>
    <row r="44" spans="2:16" s="1719" customFormat="1" ht="13.5" x14ac:dyDescent="0.2">
      <c r="B44" s="1724">
        <v>11</v>
      </c>
      <c r="C44" s="1725"/>
      <c r="D44" s="1727" t="s">
        <v>999</v>
      </c>
      <c r="E44" s="1727"/>
      <c r="F44" s="1727"/>
      <c r="G44" s="1727"/>
      <c r="H44" s="1727"/>
      <c r="I44" s="1728" t="s">
        <v>9</v>
      </c>
      <c r="J44" s="1729">
        <v>1980000</v>
      </c>
      <c r="L44" s="1720"/>
      <c r="M44" s="1721"/>
      <c r="N44" s="1722"/>
      <c r="O44" s="1723"/>
      <c r="P44" s="1720"/>
    </row>
    <row r="45" spans="2:16" s="1719" customFormat="1" ht="13.5" x14ac:dyDescent="0.2">
      <c r="B45" s="1724">
        <v>12</v>
      </c>
      <c r="C45" s="1725"/>
      <c r="D45" s="1727" t="s">
        <v>1000</v>
      </c>
      <c r="E45" s="1727"/>
      <c r="F45" s="1727"/>
      <c r="G45" s="1727"/>
      <c r="H45" s="1727"/>
      <c r="I45" s="1728" t="s">
        <v>9</v>
      </c>
      <c r="J45" s="1729">
        <v>450000</v>
      </c>
      <c r="L45" s="1720"/>
      <c r="M45" s="1721"/>
      <c r="N45" s="1722"/>
      <c r="O45" s="1723"/>
      <c r="P45" s="1720"/>
    </row>
    <row r="46" spans="2:16" s="1719" customFormat="1" ht="13.5" x14ac:dyDescent="0.2">
      <c r="B46" s="1724">
        <v>13</v>
      </c>
      <c r="C46" s="1725"/>
      <c r="D46" s="1727" t="s">
        <v>1219</v>
      </c>
      <c r="E46" s="1727"/>
      <c r="F46" s="1727"/>
      <c r="G46" s="1727"/>
      <c r="H46" s="1727"/>
      <c r="I46" s="1728" t="s">
        <v>9</v>
      </c>
      <c r="J46" s="1729">
        <v>675000</v>
      </c>
      <c r="L46" s="1720"/>
      <c r="M46" s="1721"/>
      <c r="N46" s="1722"/>
      <c r="O46" s="1723"/>
      <c r="P46" s="1720"/>
    </row>
    <row r="47" spans="2:16" s="1719" customFormat="1" ht="13.5" x14ac:dyDescent="0.2">
      <c r="B47" s="1724">
        <v>13</v>
      </c>
      <c r="C47" s="1725"/>
      <c r="D47" s="1727" t="s">
        <v>1220</v>
      </c>
      <c r="E47" s="1727"/>
      <c r="F47" s="1727"/>
      <c r="G47" s="1727"/>
      <c r="H47" s="1727"/>
      <c r="I47" s="1728" t="s">
        <v>9</v>
      </c>
      <c r="J47" s="1729">
        <v>810000</v>
      </c>
      <c r="L47" s="1720"/>
      <c r="M47" s="1721"/>
      <c r="N47" s="1722"/>
      <c r="O47" s="1723"/>
      <c r="P47" s="1720"/>
    </row>
    <row r="48" spans="2:16" s="1719" customFormat="1" ht="13.5" x14ac:dyDescent="0.2">
      <c r="B48" s="1724">
        <v>13</v>
      </c>
      <c r="C48" s="1725"/>
      <c r="D48" s="1727" t="s">
        <v>1001</v>
      </c>
      <c r="E48" s="1727"/>
      <c r="F48" s="1727"/>
      <c r="G48" s="1727"/>
      <c r="H48" s="1727"/>
      <c r="I48" s="1728" t="s">
        <v>9</v>
      </c>
      <c r="J48" s="1729">
        <v>890000</v>
      </c>
      <c r="L48" s="1720"/>
      <c r="M48" s="1721"/>
      <c r="N48" s="1722"/>
      <c r="O48" s="1723"/>
      <c r="P48" s="1720"/>
    </row>
    <row r="49" spans="2:16" s="1719" customFormat="1" ht="13.5" x14ac:dyDescent="0.2">
      <c r="B49" s="1724">
        <v>15</v>
      </c>
      <c r="C49" s="1725"/>
      <c r="D49" s="1727" t="s">
        <v>1002</v>
      </c>
      <c r="E49" s="1727"/>
      <c r="F49" s="1727"/>
      <c r="G49" s="1727"/>
      <c r="H49" s="1727"/>
      <c r="I49" s="1728" t="s">
        <v>9</v>
      </c>
      <c r="J49" s="1729">
        <v>800000</v>
      </c>
      <c r="L49" s="1720"/>
      <c r="M49" s="1721"/>
      <c r="N49" s="1722"/>
      <c r="O49" s="1723"/>
      <c r="P49" s="1720"/>
    </row>
    <row r="50" spans="2:16" s="1719" customFormat="1" ht="13.5" x14ac:dyDescent="0.2">
      <c r="B50" s="1724">
        <v>16</v>
      </c>
      <c r="C50" s="1725"/>
      <c r="D50" s="1727" t="s">
        <v>1003</v>
      </c>
      <c r="E50" s="1727"/>
      <c r="F50" s="1727"/>
      <c r="G50" s="1727"/>
      <c r="H50" s="1727"/>
      <c r="I50" s="1728" t="s">
        <v>9</v>
      </c>
      <c r="J50" s="1729">
        <v>25000</v>
      </c>
      <c r="L50" s="1720"/>
      <c r="M50" s="1721"/>
      <c r="N50" s="1722"/>
      <c r="O50" s="1723"/>
      <c r="P50" s="1720"/>
    </row>
    <row r="51" spans="2:16" s="1719" customFormat="1" ht="13.5" x14ac:dyDescent="0.2">
      <c r="B51" s="1724">
        <v>17</v>
      </c>
      <c r="C51" s="1725"/>
      <c r="D51" s="1727" t="s">
        <v>1004</v>
      </c>
      <c r="E51" s="1727"/>
      <c r="F51" s="1727"/>
      <c r="G51" s="1727"/>
      <c r="H51" s="1727"/>
      <c r="I51" s="1728" t="s">
        <v>9</v>
      </c>
      <c r="J51" s="1729">
        <v>650000</v>
      </c>
      <c r="L51" s="1720"/>
      <c r="M51" s="1721"/>
      <c r="N51" s="1722"/>
      <c r="O51" s="1723"/>
      <c r="P51" s="1720"/>
    </row>
    <row r="52" spans="2:16" s="1719" customFormat="1" ht="13.5" x14ac:dyDescent="0.2">
      <c r="B52" s="1724">
        <v>18</v>
      </c>
      <c r="C52" s="1725"/>
      <c r="D52" s="1727" t="s">
        <v>1005</v>
      </c>
      <c r="E52" s="1727"/>
      <c r="F52" s="1727"/>
      <c r="G52" s="1727"/>
      <c r="H52" s="1727"/>
      <c r="I52" s="1728" t="s">
        <v>9</v>
      </c>
      <c r="J52" s="1729">
        <v>450000</v>
      </c>
      <c r="L52" s="1720"/>
      <c r="M52" s="1721"/>
      <c r="N52" s="1722"/>
      <c r="O52" s="1723"/>
      <c r="P52" s="1720"/>
    </row>
    <row r="53" spans="2:16" s="1719" customFormat="1" ht="13.5" x14ac:dyDescent="0.2">
      <c r="B53" s="1724"/>
      <c r="C53" s="1725"/>
      <c r="D53" s="1726" t="s">
        <v>1006</v>
      </c>
      <c r="E53" s="1727"/>
      <c r="F53" s="1727"/>
      <c r="G53" s="1727"/>
      <c r="H53" s="1727"/>
      <c r="I53" s="1728"/>
      <c r="J53" s="1729"/>
      <c r="L53" s="1720"/>
      <c r="M53" s="1721"/>
      <c r="N53" s="1722"/>
      <c r="O53" s="1723"/>
      <c r="P53" s="1720"/>
    </row>
    <row r="54" spans="2:16" s="1719" customFormat="1" ht="13.5" x14ac:dyDescent="0.2">
      <c r="B54" s="1724">
        <v>1</v>
      </c>
      <c r="C54" s="1725"/>
      <c r="D54" s="1727" t="s">
        <v>1007</v>
      </c>
      <c r="E54" s="1727"/>
      <c r="F54" s="1727"/>
      <c r="G54" s="1727"/>
      <c r="H54" s="1727"/>
      <c r="I54" s="1728" t="s">
        <v>27</v>
      </c>
      <c r="J54" s="1729">
        <v>26500</v>
      </c>
      <c r="L54" s="1720"/>
      <c r="M54" s="1721"/>
      <c r="N54" s="1731"/>
      <c r="O54" s="1723"/>
      <c r="P54" s="1720"/>
    </row>
    <row r="55" spans="2:16" s="1719" customFormat="1" ht="13.5" x14ac:dyDescent="0.2">
      <c r="B55" s="1724">
        <v>2</v>
      </c>
      <c r="C55" s="1725"/>
      <c r="D55" s="1727" t="s">
        <v>1008</v>
      </c>
      <c r="E55" s="1727"/>
      <c r="F55" s="1727"/>
      <c r="G55" s="1727"/>
      <c r="H55" s="1727"/>
      <c r="I55" s="1728" t="s">
        <v>27</v>
      </c>
      <c r="J55" s="1729">
        <v>33500</v>
      </c>
      <c r="L55" s="1720"/>
      <c r="M55" s="1721"/>
      <c r="N55" s="1731"/>
      <c r="O55" s="1723"/>
      <c r="P55" s="1720"/>
    </row>
    <row r="56" spans="2:16" s="1719" customFormat="1" ht="13.5" x14ac:dyDescent="0.2">
      <c r="B56" s="1724">
        <v>3</v>
      </c>
      <c r="C56" s="1725"/>
      <c r="D56" s="1727" t="s">
        <v>1009</v>
      </c>
      <c r="E56" s="1727"/>
      <c r="F56" s="1727"/>
      <c r="G56" s="1727"/>
      <c r="H56" s="1727"/>
      <c r="I56" s="1728" t="s">
        <v>27</v>
      </c>
      <c r="J56" s="1729">
        <v>67000</v>
      </c>
      <c r="L56" s="1720"/>
      <c r="M56" s="1721"/>
      <c r="N56" s="1731"/>
      <c r="O56" s="1723"/>
      <c r="P56" s="1720"/>
    </row>
    <row r="57" spans="2:16" s="1719" customFormat="1" ht="13.5" x14ac:dyDescent="0.2">
      <c r="B57" s="1724">
        <v>4</v>
      </c>
      <c r="C57" s="1725"/>
      <c r="D57" s="1727" t="s">
        <v>1010</v>
      </c>
      <c r="E57" s="1727"/>
      <c r="F57" s="1727"/>
      <c r="G57" s="1727"/>
      <c r="H57" s="1727"/>
      <c r="I57" s="1728" t="s">
        <v>27</v>
      </c>
      <c r="J57" s="1729">
        <v>112000</v>
      </c>
      <c r="L57" s="1720"/>
      <c r="M57" s="1721"/>
      <c r="N57" s="1731"/>
      <c r="O57" s="1723"/>
      <c r="P57" s="1720"/>
    </row>
    <row r="58" spans="2:16" s="1719" customFormat="1" ht="13.5" x14ac:dyDescent="0.2">
      <c r="B58" s="1724">
        <v>5</v>
      </c>
      <c r="C58" s="1725"/>
      <c r="D58" s="1727" t="s">
        <v>1011</v>
      </c>
      <c r="E58" s="1727"/>
      <c r="F58" s="1727"/>
      <c r="G58" s="1727"/>
      <c r="H58" s="1727"/>
      <c r="I58" s="1728" t="s">
        <v>27</v>
      </c>
      <c r="J58" s="1729">
        <v>250000</v>
      </c>
      <c r="L58" s="1720"/>
      <c r="M58" s="1721"/>
      <c r="N58" s="1731"/>
      <c r="O58" s="1723"/>
      <c r="P58" s="1720"/>
    </row>
    <row r="59" spans="2:16" s="1719" customFormat="1" ht="13.5" hidden="1" x14ac:dyDescent="0.2">
      <c r="B59" s="1724">
        <v>6</v>
      </c>
      <c r="C59" s="1725"/>
      <c r="D59" s="1727" t="s">
        <v>1012</v>
      </c>
      <c r="E59" s="1727"/>
      <c r="F59" s="1727"/>
      <c r="G59" s="1727"/>
      <c r="H59" s="1727"/>
      <c r="I59" s="1728" t="s">
        <v>27</v>
      </c>
      <c r="J59" s="1729">
        <v>45000</v>
      </c>
      <c r="L59" s="1720"/>
      <c r="M59" s="1721"/>
      <c r="N59" s="1731"/>
      <c r="O59" s="1723"/>
      <c r="P59" s="1720"/>
    </row>
    <row r="60" spans="2:16" s="1719" customFormat="1" ht="13.5" hidden="1" x14ac:dyDescent="0.2">
      <c r="B60" s="1724">
        <v>7</v>
      </c>
      <c r="C60" s="1725"/>
      <c r="D60" s="1727" t="s">
        <v>1013</v>
      </c>
      <c r="E60" s="1727"/>
      <c r="F60" s="1727"/>
      <c r="G60" s="1727"/>
      <c r="H60" s="1727"/>
      <c r="I60" s="1728" t="s">
        <v>27</v>
      </c>
      <c r="J60" s="1729">
        <v>91500</v>
      </c>
      <c r="L60" s="1720"/>
      <c r="M60" s="1721"/>
      <c r="N60" s="1731"/>
      <c r="O60" s="1723"/>
      <c r="P60" s="1720"/>
    </row>
    <row r="61" spans="2:16" s="1719" customFormat="1" ht="13.5" hidden="1" x14ac:dyDescent="0.2">
      <c r="B61" s="1724">
        <v>8</v>
      </c>
      <c r="C61" s="1725"/>
      <c r="D61" s="1727" t="s">
        <v>1014</v>
      </c>
      <c r="E61" s="1727"/>
      <c r="F61" s="1727"/>
      <c r="G61" s="1727"/>
      <c r="H61" s="1727"/>
      <c r="I61" s="1728" t="s">
        <v>27</v>
      </c>
      <c r="J61" s="1729">
        <v>15500</v>
      </c>
      <c r="L61" s="1720"/>
      <c r="M61" s="1721"/>
      <c r="N61" s="1731"/>
      <c r="O61" s="1723"/>
      <c r="P61" s="1720"/>
    </row>
    <row r="62" spans="2:16" s="1719" customFormat="1" ht="13.5" x14ac:dyDescent="0.2">
      <c r="B62" s="1724"/>
      <c r="C62" s="1736"/>
      <c r="D62" s="1727"/>
      <c r="E62" s="1727"/>
      <c r="F62" s="1727"/>
      <c r="G62" s="1727"/>
      <c r="H62" s="1727"/>
      <c r="I62" s="1728"/>
      <c r="J62" s="1729"/>
      <c r="L62" s="1720"/>
      <c r="M62" s="1721"/>
      <c r="N62" s="1731"/>
      <c r="O62" s="1723"/>
      <c r="P62" s="1720"/>
    </row>
    <row r="63" spans="2:16" s="1719" customFormat="1" ht="13.5" x14ac:dyDescent="0.2">
      <c r="B63" s="1724"/>
      <c r="C63" s="1736"/>
      <c r="D63" s="1737" t="s">
        <v>1015</v>
      </c>
      <c r="E63" s="1727"/>
      <c r="F63" s="1727"/>
      <c r="G63" s="1727"/>
      <c r="H63" s="1727"/>
      <c r="I63" s="1728"/>
      <c r="J63" s="1729"/>
      <c r="L63" s="1720"/>
      <c r="M63" s="1721"/>
      <c r="N63" s="1722"/>
      <c r="O63" s="1723"/>
      <c r="P63" s="1720"/>
    </row>
    <row r="64" spans="2:16" s="1719" customFormat="1" ht="13.5" x14ac:dyDescent="0.2">
      <c r="B64" s="1724"/>
      <c r="C64" s="1736"/>
      <c r="D64" s="1737" t="s">
        <v>1016</v>
      </c>
      <c r="E64" s="1727"/>
      <c r="F64" s="1727"/>
      <c r="G64" s="1727"/>
      <c r="H64" s="1727"/>
      <c r="I64" s="1728"/>
      <c r="J64" s="1729"/>
      <c r="L64" s="1720"/>
      <c r="M64" s="1721"/>
      <c r="N64" s="1722"/>
      <c r="O64" s="1723"/>
      <c r="P64" s="1720"/>
    </row>
    <row r="65" spans="2:16" s="1719" customFormat="1" ht="13.5" x14ac:dyDescent="0.2">
      <c r="B65" s="1724">
        <v>1</v>
      </c>
      <c r="C65" s="1736"/>
      <c r="D65" s="1738" t="s">
        <v>1017</v>
      </c>
      <c r="E65" s="1727"/>
      <c r="F65" s="1727"/>
      <c r="G65" s="1727"/>
      <c r="H65" s="1727"/>
      <c r="I65" s="1728" t="s">
        <v>9</v>
      </c>
      <c r="J65" s="1729">
        <v>28000</v>
      </c>
      <c r="L65" s="1720"/>
      <c r="M65" s="1721"/>
      <c r="N65" s="1732"/>
      <c r="O65" s="1723"/>
      <c r="P65" s="1720"/>
    </row>
    <row r="66" spans="2:16" s="1719" customFormat="1" ht="13.5" x14ac:dyDescent="0.2">
      <c r="B66" s="1724">
        <f>B65+1</f>
        <v>2</v>
      </c>
      <c r="C66" s="1736"/>
      <c r="D66" s="1738" t="s">
        <v>1018</v>
      </c>
      <c r="E66" s="1727"/>
      <c r="F66" s="1727"/>
      <c r="G66" s="1727"/>
      <c r="H66" s="1727"/>
      <c r="I66" s="1728" t="s">
        <v>9</v>
      </c>
      <c r="J66" s="1729">
        <v>75000</v>
      </c>
      <c r="L66" s="1720"/>
      <c r="M66" s="1721"/>
      <c r="N66" s="1732"/>
      <c r="O66" s="1723"/>
      <c r="P66" s="1720"/>
    </row>
    <row r="67" spans="2:16" s="1719" customFormat="1" ht="13.5" x14ac:dyDescent="0.2">
      <c r="B67" s="1724">
        <f t="shared" ref="B67:B93" si="0">B66+1</f>
        <v>3</v>
      </c>
      <c r="C67" s="1736"/>
      <c r="D67" s="1738" t="s">
        <v>1019</v>
      </c>
      <c r="E67" s="1727"/>
      <c r="F67" s="1727"/>
      <c r="G67" s="1727"/>
      <c r="H67" s="1727"/>
      <c r="I67" s="1728" t="s">
        <v>9</v>
      </c>
      <c r="J67" s="1729">
        <v>127500</v>
      </c>
      <c r="L67" s="1720"/>
      <c r="M67" s="1721"/>
      <c r="N67" s="1732"/>
      <c r="O67" s="1723"/>
      <c r="P67" s="1720"/>
    </row>
    <row r="68" spans="2:16" s="1719" customFormat="1" ht="13.5" x14ac:dyDescent="0.2">
      <c r="B68" s="1724">
        <f t="shared" si="0"/>
        <v>4</v>
      </c>
      <c r="C68" s="1736"/>
      <c r="D68" s="1727" t="s">
        <v>959</v>
      </c>
      <c r="E68" s="1727"/>
      <c r="F68" s="1727"/>
      <c r="G68" s="1727"/>
      <c r="H68" s="1727"/>
      <c r="I68" s="1728" t="s">
        <v>9</v>
      </c>
      <c r="J68" s="1729">
        <v>12000</v>
      </c>
      <c r="L68" s="1720"/>
      <c r="M68" s="1721"/>
      <c r="N68" s="1732"/>
      <c r="O68" s="1723"/>
      <c r="P68" s="1720"/>
    </row>
    <row r="69" spans="2:16" s="1719" customFormat="1" ht="13.5" x14ac:dyDescent="0.2">
      <c r="B69" s="1724">
        <f t="shared" si="0"/>
        <v>5</v>
      </c>
      <c r="C69" s="1736"/>
      <c r="D69" s="1727" t="s">
        <v>1249</v>
      </c>
      <c r="E69" s="1727"/>
      <c r="F69" s="1727"/>
      <c r="G69" s="1727"/>
      <c r="H69" s="1727"/>
      <c r="I69" s="1728" t="s">
        <v>32</v>
      </c>
      <c r="J69" s="1729">
        <v>1000000</v>
      </c>
      <c r="L69" s="1720"/>
      <c r="M69" s="1721"/>
      <c r="N69" s="1732"/>
      <c r="O69" s="1723"/>
      <c r="P69" s="1720"/>
    </row>
    <row r="70" spans="2:16" s="1719" customFormat="1" ht="13.5" x14ac:dyDescent="0.2">
      <c r="B70" s="1724">
        <f t="shared" si="0"/>
        <v>6</v>
      </c>
      <c r="C70" s="1736"/>
      <c r="D70" s="1727" t="s">
        <v>1270</v>
      </c>
      <c r="E70" s="1727"/>
      <c r="F70" s="1727"/>
      <c r="G70" s="1727"/>
      <c r="H70" s="1727"/>
      <c r="I70" s="1728" t="s">
        <v>32</v>
      </c>
      <c r="J70" s="1729">
        <v>850000</v>
      </c>
      <c r="L70" s="1720"/>
      <c r="M70" s="1721"/>
      <c r="N70" s="1732"/>
      <c r="O70" s="1723"/>
      <c r="P70" s="1720"/>
    </row>
    <row r="71" spans="2:16" s="1719" customFormat="1" ht="13.5" x14ac:dyDescent="0.2">
      <c r="B71" s="1724">
        <f t="shared" si="0"/>
        <v>7</v>
      </c>
      <c r="C71" s="1736"/>
      <c r="D71" s="1727" t="s">
        <v>1281</v>
      </c>
      <c r="E71" s="1727"/>
      <c r="F71" s="1727"/>
      <c r="G71" s="1727"/>
      <c r="H71" s="1727"/>
      <c r="I71" s="1728" t="s">
        <v>32</v>
      </c>
      <c r="J71" s="1729">
        <v>750000</v>
      </c>
      <c r="L71" s="1720"/>
      <c r="M71" s="1721"/>
      <c r="N71" s="1732"/>
      <c r="O71" s="1723"/>
      <c r="P71" s="1720"/>
    </row>
    <row r="72" spans="2:16" s="1719" customFormat="1" ht="13.5" x14ac:dyDescent="0.2">
      <c r="B72" s="1724">
        <f t="shared" si="0"/>
        <v>8</v>
      </c>
      <c r="C72" s="1736"/>
      <c r="D72" s="1727" t="s">
        <v>1250</v>
      </c>
      <c r="E72" s="1727"/>
      <c r="F72" s="1727"/>
      <c r="G72" s="1727"/>
      <c r="H72" s="1727"/>
      <c r="I72" s="1728" t="s">
        <v>9</v>
      </c>
      <c r="J72" s="1729">
        <v>750000</v>
      </c>
      <c r="L72" s="1720"/>
      <c r="M72" s="1721"/>
      <c r="N72" s="1732"/>
      <c r="O72" s="1723"/>
      <c r="P72" s="1720"/>
    </row>
    <row r="73" spans="2:16" s="1719" customFormat="1" ht="13.5" x14ac:dyDescent="0.2">
      <c r="B73" s="1724">
        <f t="shared" si="0"/>
        <v>9</v>
      </c>
      <c r="C73" s="1736"/>
      <c r="D73" s="1727" t="s">
        <v>1251</v>
      </c>
      <c r="E73" s="1727"/>
      <c r="F73" s="1727"/>
      <c r="G73" s="1727"/>
      <c r="H73" s="1727"/>
      <c r="I73" s="1728" t="s">
        <v>9</v>
      </c>
      <c r="J73" s="1729">
        <v>650000</v>
      </c>
      <c r="L73" s="1720"/>
      <c r="M73" s="1721"/>
      <c r="N73" s="1732"/>
      <c r="O73" s="1723"/>
      <c r="P73" s="1720"/>
    </row>
    <row r="74" spans="2:16" s="1719" customFormat="1" ht="13.5" x14ac:dyDescent="0.2">
      <c r="B74" s="1724">
        <f t="shared" si="0"/>
        <v>10</v>
      </c>
      <c r="C74" s="1736"/>
      <c r="D74" s="1727" t="s">
        <v>1252</v>
      </c>
      <c r="E74" s="1727"/>
      <c r="F74" s="1727"/>
      <c r="G74" s="1727"/>
      <c r="H74" s="1727"/>
      <c r="I74" s="1728" t="s">
        <v>9</v>
      </c>
      <c r="J74" s="1729">
        <v>650000</v>
      </c>
      <c r="L74" s="1720"/>
      <c r="M74" s="1721"/>
      <c r="N74" s="1732"/>
      <c r="O74" s="1723"/>
      <c r="P74" s="1720"/>
    </row>
    <row r="75" spans="2:16" s="1719" customFormat="1" ht="13.5" x14ac:dyDescent="0.2">
      <c r="B75" s="1724">
        <f t="shared" si="0"/>
        <v>11</v>
      </c>
      <c r="C75" s="1736"/>
      <c r="D75" s="1727" t="s">
        <v>1253</v>
      </c>
      <c r="E75" s="1727"/>
      <c r="F75" s="1727"/>
      <c r="G75" s="1727"/>
      <c r="H75" s="1727"/>
      <c r="I75" s="1728" t="s">
        <v>9</v>
      </c>
      <c r="J75" s="1729">
        <v>650000</v>
      </c>
      <c r="L75" s="1720"/>
      <c r="M75" s="1721"/>
      <c r="N75" s="1732"/>
      <c r="O75" s="1723"/>
      <c r="P75" s="1720"/>
    </row>
    <row r="76" spans="2:16" s="1719" customFormat="1" ht="13.5" x14ac:dyDescent="0.2">
      <c r="B76" s="1724">
        <f t="shared" si="0"/>
        <v>12</v>
      </c>
      <c r="C76" s="1736"/>
      <c r="D76" s="1727" t="s">
        <v>1254</v>
      </c>
      <c r="E76" s="1727"/>
      <c r="F76" s="1727"/>
      <c r="G76" s="1727"/>
      <c r="H76" s="1727"/>
      <c r="I76" s="1728" t="s">
        <v>9</v>
      </c>
      <c r="J76" s="1729">
        <v>62500</v>
      </c>
      <c r="L76" s="1720"/>
      <c r="M76" s="1721"/>
      <c r="N76" s="1732"/>
      <c r="O76" s="1723"/>
      <c r="P76" s="1720"/>
    </row>
    <row r="77" spans="2:16" s="1719" customFormat="1" ht="13.5" x14ac:dyDescent="0.2">
      <c r="B77" s="1724">
        <f t="shared" si="0"/>
        <v>13</v>
      </c>
      <c r="C77" s="1736"/>
      <c r="D77" s="1727" t="s">
        <v>1271</v>
      </c>
      <c r="E77" s="1727"/>
      <c r="F77" s="1727"/>
      <c r="G77" s="1727"/>
      <c r="H77" s="1727"/>
      <c r="I77" s="1728" t="s">
        <v>9</v>
      </c>
      <c r="J77" s="1729">
        <v>62500</v>
      </c>
      <c r="L77" s="1720"/>
      <c r="M77" s="1721"/>
      <c r="N77" s="1732"/>
      <c r="O77" s="1723"/>
      <c r="P77" s="1720"/>
    </row>
    <row r="78" spans="2:16" s="1719" customFormat="1" ht="13.5" x14ac:dyDescent="0.2">
      <c r="B78" s="1724">
        <f t="shared" si="0"/>
        <v>14</v>
      </c>
      <c r="C78" s="1736"/>
      <c r="D78" s="1727" t="s">
        <v>1255</v>
      </c>
      <c r="E78" s="1727"/>
      <c r="F78" s="1727"/>
      <c r="G78" s="1727"/>
      <c r="H78" s="1727"/>
      <c r="I78" s="1728" t="s">
        <v>9</v>
      </c>
      <c r="J78" s="1729">
        <v>1800000</v>
      </c>
      <c r="L78" s="1720"/>
      <c r="M78" s="1721"/>
      <c r="N78" s="1732"/>
      <c r="O78" s="1723"/>
      <c r="P78" s="1720"/>
    </row>
    <row r="79" spans="2:16" s="1719" customFormat="1" ht="13.5" x14ac:dyDescent="0.2">
      <c r="B79" s="1724">
        <f t="shared" si="0"/>
        <v>15</v>
      </c>
      <c r="C79" s="1736"/>
      <c r="D79" s="1727" t="s">
        <v>1256</v>
      </c>
      <c r="E79" s="1727"/>
      <c r="F79" s="1727"/>
      <c r="G79" s="1727"/>
      <c r="H79" s="1727"/>
      <c r="I79" s="1728" t="s">
        <v>9</v>
      </c>
      <c r="J79" s="1729">
        <v>250000</v>
      </c>
      <c r="L79" s="1720"/>
      <c r="M79" s="1721"/>
      <c r="N79" s="1732"/>
      <c r="O79" s="1723"/>
      <c r="P79" s="1720"/>
    </row>
    <row r="80" spans="2:16" s="1719" customFormat="1" ht="13.5" x14ac:dyDescent="0.2">
      <c r="B80" s="1724">
        <f t="shared" si="0"/>
        <v>16</v>
      </c>
      <c r="C80" s="1736"/>
      <c r="D80" s="1727" t="s">
        <v>1239</v>
      </c>
      <c r="E80" s="1727"/>
      <c r="F80" s="1727"/>
      <c r="G80" s="1727"/>
      <c r="H80" s="1727"/>
      <c r="I80" s="1728" t="s">
        <v>9</v>
      </c>
      <c r="J80" s="1729">
        <v>89000</v>
      </c>
      <c r="L80" s="1720"/>
      <c r="M80" s="1721"/>
      <c r="N80" s="1732"/>
      <c r="O80" s="1723"/>
      <c r="P80" s="1720"/>
    </row>
    <row r="81" spans="2:16" s="1719" customFormat="1" ht="13.5" x14ac:dyDescent="0.2">
      <c r="B81" s="1724">
        <f t="shared" si="0"/>
        <v>17</v>
      </c>
      <c r="C81" s="1736"/>
      <c r="D81" s="1727" t="s">
        <v>1257</v>
      </c>
      <c r="E81" s="1727"/>
      <c r="F81" s="1727"/>
      <c r="G81" s="1727"/>
      <c r="H81" s="1727"/>
      <c r="I81" s="1728" t="s">
        <v>30</v>
      </c>
      <c r="J81" s="1729">
        <v>60000</v>
      </c>
      <c r="L81" s="1720"/>
      <c r="M81" s="1721"/>
      <c r="N81" s="1732"/>
      <c r="O81" s="1723"/>
      <c r="P81" s="1720"/>
    </row>
    <row r="82" spans="2:16" s="1719" customFormat="1" ht="13.5" x14ac:dyDescent="0.2">
      <c r="B82" s="1724">
        <f t="shared" si="0"/>
        <v>18</v>
      </c>
      <c r="C82" s="1736"/>
      <c r="D82" s="1727" t="s">
        <v>1258</v>
      </c>
      <c r="E82" s="1727"/>
      <c r="F82" s="1727"/>
      <c r="G82" s="1727"/>
      <c r="H82" s="1727"/>
      <c r="I82" s="1728" t="s">
        <v>30</v>
      </c>
      <c r="J82" s="1729">
        <v>75000</v>
      </c>
      <c r="L82" s="1720"/>
      <c r="M82" s="1721"/>
      <c r="N82" s="1732"/>
      <c r="O82" s="1723"/>
      <c r="P82" s="1720"/>
    </row>
    <row r="83" spans="2:16" s="1719" customFormat="1" ht="13.5" x14ac:dyDescent="0.2">
      <c r="B83" s="1724">
        <f t="shared" si="0"/>
        <v>19</v>
      </c>
      <c r="C83" s="1736"/>
      <c r="D83" s="1727" t="s">
        <v>1259</v>
      </c>
      <c r="E83" s="1727"/>
      <c r="F83" s="1727"/>
      <c r="G83" s="1727"/>
      <c r="H83" s="1727"/>
      <c r="I83" s="1728" t="s">
        <v>30</v>
      </c>
      <c r="J83" s="1729">
        <v>20000</v>
      </c>
      <c r="L83" s="1720"/>
      <c r="M83" s="1721"/>
      <c r="N83" s="1732"/>
      <c r="O83" s="1723"/>
      <c r="P83" s="1720"/>
    </row>
    <row r="84" spans="2:16" s="1719" customFormat="1" ht="13.5" x14ac:dyDescent="0.2">
      <c r="B84" s="1724">
        <f t="shared" si="0"/>
        <v>20</v>
      </c>
      <c r="C84" s="1736"/>
      <c r="D84" s="1727" t="s">
        <v>1260</v>
      </c>
      <c r="E84" s="1727"/>
      <c r="F84" s="1727"/>
      <c r="G84" s="1727"/>
      <c r="H84" s="1727"/>
      <c r="I84" s="1728" t="s">
        <v>9</v>
      </c>
      <c r="J84" s="1729">
        <v>7500</v>
      </c>
      <c r="L84" s="1720"/>
      <c r="M84" s="1721"/>
      <c r="N84" s="1732"/>
      <c r="O84" s="1723"/>
      <c r="P84" s="1720"/>
    </row>
    <row r="85" spans="2:16" s="1719" customFormat="1" ht="13.5" x14ac:dyDescent="0.2">
      <c r="B85" s="1724">
        <f t="shared" si="0"/>
        <v>21</v>
      </c>
      <c r="C85" s="1736"/>
      <c r="D85" s="1727" t="s">
        <v>1261</v>
      </c>
      <c r="E85" s="1727"/>
      <c r="F85" s="1727"/>
      <c r="G85" s="1727"/>
      <c r="H85" s="1727"/>
      <c r="I85" s="1728" t="s">
        <v>9</v>
      </c>
      <c r="J85" s="1729">
        <v>35000</v>
      </c>
      <c r="L85" s="1720"/>
      <c r="M85" s="1721"/>
      <c r="N85" s="1732"/>
      <c r="O85" s="1723"/>
      <c r="P85" s="1720"/>
    </row>
    <row r="86" spans="2:16" s="1719" customFormat="1" ht="13.5" x14ac:dyDescent="0.2">
      <c r="B86" s="1724">
        <f t="shared" si="0"/>
        <v>22</v>
      </c>
      <c r="C86" s="1736"/>
      <c r="D86" s="1727" t="s">
        <v>1262</v>
      </c>
      <c r="E86" s="1727"/>
      <c r="F86" s="1727"/>
      <c r="G86" s="1727"/>
      <c r="H86" s="1727"/>
      <c r="I86" s="1728" t="s">
        <v>9</v>
      </c>
      <c r="J86" s="1729">
        <v>800000</v>
      </c>
      <c r="L86" s="1720"/>
      <c r="M86" s="1721"/>
      <c r="N86" s="1732"/>
      <c r="O86" s="1723"/>
      <c r="P86" s="1720"/>
    </row>
    <row r="87" spans="2:16" s="1719" customFormat="1" ht="13.5" x14ac:dyDescent="0.2">
      <c r="B87" s="1724">
        <f t="shared" si="0"/>
        <v>23</v>
      </c>
      <c r="C87" s="1736"/>
      <c r="D87" s="1727" t="s">
        <v>1263</v>
      </c>
      <c r="E87" s="1727"/>
      <c r="F87" s="1727"/>
      <c r="G87" s="1727"/>
      <c r="H87" s="1727"/>
      <c r="I87" s="1728" t="s">
        <v>9</v>
      </c>
      <c r="J87" s="1729">
        <v>125000</v>
      </c>
      <c r="L87" s="1720"/>
      <c r="M87" s="1721"/>
      <c r="N87" s="1732"/>
      <c r="O87" s="1723"/>
      <c r="P87" s="1720"/>
    </row>
    <row r="88" spans="2:16" s="1719" customFormat="1" ht="13.5" x14ac:dyDescent="0.2">
      <c r="B88" s="1724">
        <f t="shared" si="0"/>
        <v>24</v>
      </c>
      <c r="C88" s="1736"/>
      <c r="D88" s="1727" t="s">
        <v>1264</v>
      </c>
      <c r="E88" s="1727"/>
      <c r="F88" s="1727"/>
      <c r="G88" s="1727"/>
      <c r="H88" s="1727"/>
      <c r="I88" s="1728" t="s">
        <v>1247</v>
      </c>
      <c r="J88" s="1729">
        <v>70000</v>
      </c>
      <c r="L88" s="1720"/>
      <c r="M88" s="1721"/>
      <c r="N88" s="1732"/>
      <c r="O88" s="1723"/>
      <c r="P88" s="1720"/>
    </row>
    <row r="89" spans="2:16" s="1719" customFormat="1" ht="13.5" x14ac:dyDescent="0.2">
      <c r="B89" s="1724">
        <f t="shared" si="0"/>
        <v>25</v>
      </c>
      <c r="C89" s="1736"/>
      <c r="D89" s="1727" t="s">
        <v>1283</v>
      </c>
      <c r="E89" s="1727"/>
      <c r="F89" s="1727"/>
      <c r="G89" s="1727"/>
      <c r="H89" s="1727"/>
      <c r="I89" s="1728" t="s">
        <v>9</v>
      </c>
      <c r="J89" s="1729">
        <v>905000</v>
      </c>
      <c r="L89" s="1720"/>
      <c r="M89" s="1721"/>
      <c r="N89" s="1732"/>
      <c r="O89" s="1723"/>
      <c r="P89" s="1720"/>
    </row>
    <row r="90" spans="2:16" s="1719" customFormat="1" ht="13.5" x14ac:dyDescent="0.2">
      <c r="B90" s="1724">
        <f t="shared" si="0"/>
        <v>26</v>
      </c>
      <c r="C90" s="1736"/>
      <c r="D90" s="1727" t="s">
        <v>1284</v>
      </c>
      <c r="E90" s="1727"/>
      <c r="F90" s="1727"/>
      <c r="G90" s="1727"/>
      <c r="H90" s="1727"/>
      <c r="I90" s="1728" t="s">
        <v>9</v>
      </c>
      <c r="J90" s="1729">
        <v>450000</v>
      </c>
      <c r="L90" s="1720"/>
      <c r="M90" s="1721"/>
      <c r="N90" s="1732"/>
      <c r="O90" s="1723"/>
      <c r="P90" s="1720"/>
    </row>
    <row r="91" spans="2:16" s="1719" customFormat="1" ht="13.5" x14ac:dyDescent="0.2">
      <c r="B91" s="1724">
        <f t="shared" si="0"/>
        <v>27</v>
      </c>
      <c r="C91" s="1736"/>
      <c r="D91" s="1727" t="s">
        <v>1285</v>
      </c>
      <c r="E91" s="1727"/>
      <c r="F91" s="1727"/>
      <c r="G91" s="1727"/>
      <c r="H91" s="1727"/>
      <c r="I91" s="1728" t="s">
        <v>9</v>
      </c>
      <c r="J91" s="1729">
        <v>900000</v>
      </c>
      <c r="L91" s="1720"/>
      <c r="M91" s="1721"/>
      <c r="N91" s="1732"/>
      <c r="O91" s="1723"/>
      <c r="P91" s="1720"/>
    </row>
    <row r="92" spans="2:16" s="1719" customFormat="1" ht="13.5" x14ac:dyDescent="0.2">
      <c r="B92" s="1724">
        <f t="shared" si="0"/>
        <v>28</v>
      </c>
      <c r="C92" s="1736"/>
      <c r="D92" s="1727" t="s">
        <v>843</v>
      </c>
      <c r="E92" s="1727"/>
      <c r="F92" s="1727"/>
      <c r="G92" s="1727"/>
      <c r="H92" s="1727"/>
      <c r="I92" s="1728" t="s">
        <v>115</v>
      </c>
      <c r="J92" s="1729">
        <v>2500000</v>
      </c>
      <c r="L92" s="1720"/>
      <c r="M92" s="1721"/>
      <c r="N92" s="1732"/>
      <c r="O92" s="1723"/>
      <c r="P92" s="1720"/>
    </row>
    <row r="93" spans="2:16" s="1719" customFormat="1" ht="13.5" x14ac:dyDescent="0.2">
      <c r="B93" s="1724">
        <f t="shared" si="0"/>
        <v>29</v>
      </c>
      <c r="C93" s="1736"/>
      <c r="D93" s="1727" t="s">
        <v>1287</v>
      </c>
      <c r="E93" s="1727"/>
      <c r="F93" s="1727"/>
      <c r="G93" s="1727"/>
      <c r="H93" s="1727"/>
      <c r="I93" s="1728" t="s">
        <v>9</v>
      </c>
      <c r="J93" s="1729">
        <v>850000</v>
      </c>
      <c r="L93" s="1720"/>
      <c r="M93" s="1721"/>
      <c r="N93" s="1732"/>
      <c r="O93" s="1723"/>
      <c r="P93" s="1720"/>
    </row>
    <row r="94" spans="2:16" s="1719" customFormat="1" ht="13.5" x14ac:dyDescent="0.2">
      <c r="B94" s="1724"/>
      <c r="C94" s="1736"/>
      <c r="D94" s="1727"/>
      <c r="E94" s="1727"/>
      <c r="F94" s="1727"/>
      <c r="G94" s="1727"/>
      <c r="H94" s="1727"/>
      <c r="I94" s="1728"/>
      <c r="J94" s="1729"/>
      <c r="L94" s="1720"/>
      <c r="M94" s="1721"/>
      <c r="N94" s="1732"/>
      <c r="O94" s="1723"/>
      <c r="P94" s="1720"/>
    </row>
    <row r="95" spans="2:16" s="1719" customFormat="1" ht="13.5" x14ac:dyDescent="0.2">
      <c r="B95" s="1724"/>
      <c r="C95" s="1736"/>
      <c r="D95" s="1726" t="s">
        <v>1020</v>
      </c>
      <c r="E95" s="1727"/>
      <c r="F95" s="1727"/>
      <c r="G95" s="1727"/>
      <c r="H95" s="1727"/>
      <c r="I95" s="1728"/>
      <c r="J95" s="1729"/>
      <c r="L95" s="1720"/>
      <c r="M95" s="1721"/>
      <c r="N95" s="1722"/>
      <c r="O95" s="1723"/>
      <c r="P95" s="1720"/>
    </row>
    <row r="96" spans="2:16" s="1719" customFormat="1" ht="13.5" x14ac:dyDescent="0.2">
      <c r="B96" s="1724">
        <v>1</v>
      </c>
      <c r="C96" s="1736"/>
      <c r="D96" s="1738" t="s">
        <v>1021</v>
      </c>
      <c r="E96" s="1727"/>
      <c r="F96" s="1727"/>
      <c r="G96" s="1727"/>
      <c r="H96" s="1727"/>
      <c r="I96" s="1739" t="s">
        <v>27</v>
      </c>
      <c r="J96" s="1729">
        <v>4500</v>
      </c>
      <c r="L96" s="1720"/>
      <c r="M96" s="1721"/>
      <c r="N96" s="1722"/>
      <c r="O96" s="1723"/>
      <c r="P96" s="1720"/>
    </row>
    <row r="97" spans="2:16" s="1719" customFormat="1" ht="13.5" x14ac:dyDescent="0.2">
      <c r="B97" s="1724">
        <f>B96+1</f>
        <v>2</v>
      </c>
      <c r="C97" s="1736"/>
      <c r="D97" s="1738" t="s">
        <v>1022</v>
      </c>
      <c r="E97" s="1727"/>
      <c r="F97" s="1727"/>
      <c r="G97" s="1727"/>
      <c r="H97" s="1727"/>
      <c r="I97" s="1739" t="s">
        <v>27</v>
      </c>
      <c r="J97" s="1729">
        <v>6500</v>
      </c>
      <c r="L97" s="1720"/>
      <c r="M97" s="1721"/>
      <c r="N97" s="1722"/>
      <c r="O97" s="1723"/>
      <c r="P97" s="1720"/>
    </row>
    <row r="98" spans="2:16" s="1719" customFormat="1" ht="13.5" x14ac:dyDescent="0.2">
      <c r="B98" s="1724">
        <f t="shared" ref="B98:B138" si="1">B97+1</f>
        <v>3</v>
      </c>
      <c r="C98" s="1736"/>
      <c r="D98" s="1738" t="s">
        <v>1023</v>
      </c>
      <c r="E98" s="1727"/>
      <c r="F98" s="1727"/>
      <c r="G98" s="1727"/>
      <c r="H98" s="1727"/>
      <c r="I98" s="1739" t="s">
        <v>27</v>
      </c>
      <c r="J98" s="1729">
        <v>10000</v>
      </c>
      <c r="L98" s="1720"/>
      <c r="M98" s="1721"/>
      <c r="N98" s="1722"/>
      <c r="O98" s="1723"/>
      <c r="P98" s="1720"/>
    </row>
    <row r="99" spans="2:16" s="1719" customFormat="1" ht="13.5" x14ac:dyDescent="0.2">
      <c r="B99" s="1724">
        <f t="shared" si="1"/>
        <v>4</v>
      </c>
      <c r="C99" s="1736"/>
      <c r="D99" s="1738" t="s">
        <v>1024</v>
      </c>
      <c r="E99" s="1727"/>
      <c r="F99" s="1727"/>
      <c r="G99" s="1727"/>
      <c r="H99" s="1727"/>
      <c r="I99" s="1739" t="s">
        <v>27</v>
      </c>
      <c r="J99" s="1729">
        <v>13000</v>
      </c>
      <c r="L99" s="1720"/>
      <c r="M99" s="1721"/>
      <c r="N99" s="1722"/>
      <c r="O99" s="1723"/>
      <c r="P99" s="1720"/>
    </row>
    <row r="100" spans="2:16" s="1719" customFormat="1" ht="13.5" x14ac:dyDescent="0.2">
      <c r="B100" s="1724">
        <f t="shared" si="1"/>
        <v>5</v>
      </c>
      <c r="C100" s="1736"/>
      <c r="D100" s="1738" t="s">
        <v>1025</v>
      </c>
      <c r="E100" s="1727"/>
      <c r="F100" s="1727"/>
      <c r="G100" s="1727"/>
      <c r="H100" s="1727"/>
      <c r="I100" s="1739" t="s">
        <v>27</v>
      </c>
      <c r="J100" s="1729">
        <v>13000</v>
      </c>
      <c r="L100" s="1720"/>
      <c r="M100" s="1721"/>
      <c r="N100" s="1722"/>
      <c r="O100" s="1723"/>
      <c r="P100" s="1720"/>
    </row>
    <row r="101" spans="2:16" s="1719" customFormat="1" ht="13.5" x14ac:dyDescent="0.2">
      <c r="B101" s="1724">
        <f t="shared" si="1"/>
        <v>6</v>
      </c>
      <c r="C101" s="1736"/>
      <c r="D101" s="1738" t="s">
        <v>928</v>
      </c>
      <c r="E101" s="1727"/>
      <c r="F101" s="1727"/>
      <c r="G101" s="1727"/>
      <c r="H101" s="1727"/>
      <c r="I101" s="1739" t="s">
        <v>27</v>
      </c>
      <c r="J101" s="1729">
        <v>15500</v>
      </c>
      <c r="L101" s="1720"/>
      <c r="M101" s="1721"/>
      <c r="N101" s="1722"/>
      <c r="O101" s="1723"/>
      <c r="P101" s="1720"/>
    </row>
    <row r="102" spans="2:16" s="1719" customFormat="1" ht="13.5" x14ac:dyDescent="0.2">
      <c r="B102" s="1724">
        <f t="shared" si="1"/>
        <v>7</v>
      </c>
      <c r="C102" s="1736"/>
      <c r="D102" s="1738" t="s">
        <v>1026</v>
      </c>
      <c r="E102" s="1727"/>
      <c r="F102" s="1727"/>
      <c r="G102" s="1727"/>
      <c r="H102" s="1727"/>
      <c r="I102" s="1739" t="s">
        <v>27</v>
      </c>
      <c r="J102" s="1729">
        <v>28000</v>
      </c>
      <c r="L102" s="1720"/>
      <c r="M102" s="1721"/>
      <c r="N102" s="1722"/>
      <c r="O102" s="1723"/>
      <c r="P102" s="1720"/>
    </row>
    <row r="103" spans="2:16" s="1719" customFormat="1" ht="13.5" x14ac:dyDescent="0.2">
      <c r="B103" s="1724">
        <f t="shared" si="1"/>
        <v>8</v>
      </c>
      <c r="C103" s="1736"/>
      <c r="D103" s="1738" t="s">
        <v>1027</v>
      </c>
      <c r="E103" s="1727"/>
      <c r="F103" s="1727"/>
      <c r="G103" s="1727"/>
      <c r="H103" s="1727"/>
      <c r="I103" s="1739" t="s">
        <v>27</v>
      </c>
      <c r="J103" s="1729">
        <v>24000</v>
      </c>
      <c r="L103" s="1720"/>
      <c r="M103" s="1721"/>
      <c r="N103" s="1722"/>
      <c r="O103" s="1723"/>
      <c r="P103" s="1720"/>
    </row>
    <row r="104" spans="2:16" s="1719" customFormat="1" ht="13.5" x14ac:dyDescent="0.2">
      <c r="B104" s="1724">
        <f t="shared" si="1"/>
        <v>9</v>
      </c>
      <c r="C104" s="1736"/>
      <c r="D104" s="1738" t="s">
        <v>1028</v>
      </c>
      <c r="E104" s="1727"/>
      <c r="F104" s="1727"/>
      <c r="G104" s="1727"/>
      <c r="H104" s="1727"/>
      <c r="I104" s="1739" t="s">
        <v>27</v>
      </c>
      <c r="J104" s="1729">
        <v>38000</v>
      </c>
      <c r="L104" s="1720"/>
      <c r="M104" s="1721"/>
      <c r="N104" s="1722"/>
      <c r="O104" s="1723"/>
      <c r="P104" s="1720"/>
    </row>
    <row r="105" spans="2:16" s="1719" customFormat="1" ht="13.5" x14ac:dyDescent="0.2">
      <c r="B105" s="1724">
        <f t="shared" si="1"/>
        <v>10</v>
      </c>
      <c r="C105" s="1736"/>
      <c r="D105" s="1738" t="s">
        <v>1029</v>
      </c>
      <c r="E105" s="1727"/>
      <c r="F105" s="1727"/>
      <c r="G105" s="1727"/>
      <c r="H105" s="1727"/>
      <c r="I105" s="1739" t="s">
        <v>27</v>
      </c>
      <c r="J105" s="1729">
        <v>59000</v>
      </c>
      <c r="L105" s="1720"/>
      <c r="M105" s="1721"/>
      <c r="N105" s="1722"/>
      <c r="O105" s="1723"/>
      <c r="P105" s="1720"/>
    </row>
    <row r="106" spans="2:16" s="1719" customFormat="1" ht="13.5" x14ac:dyDescent="0.2">
      <c r="B106" s="1724">
        <f t="shared" si="1"/>
        <v>11</v>
      </c>
      <c r="C106" s="1736"/>
      <c r="D106" s="1738" t="s">
        <v>1030</v>
      </c>
      <c r="E106" s="1727"/>
      <c r="F106" s="1727"/>
      <c r="G106" s="1727"/>
      <c r="H106" s="1727"/>
      <c r="I106" s="1739" t="s">
        <v>27</v>
      </c>
      <c r="J106" s="1729">
        <v>269000</v>
      </c>
      <c r="L106" s="1720"/>
      <c r="M106" s="1721"/>
      <c r="N106" s="1722"/>
      <c r="O106" s="1723"/>
      <c r="P106" s="1720"/>
    </row>
    <row r="107" spans="2:16" s="1719" customFormat="1" ht="13.5" x14ac:dyDescent="0.2">
      <c r="B107" s="1724">
        <f t="shared" si="1"/>
        <v>12</v>
      </c>
      <c r="C107" s="1736"/>
      <c r="D107" s="1738" t="s">
        <v>1031</v>
      </c>
      <c r="E107" s="1727"/>
      <c r="F107" s="1727"/>
      <c r="G107" s="1727"/>
      <c r="H107" s="1727"/>
      <c r="I107" s="1739" t="s">
        <v>27</v>
      </c>
      <c r="J107" s="1729">
        <v>197500</v>
      </c>
      <c r="L107" s="1720"/>
      <c r="M107" s="1721"/>
      <c r="N107" s="1722"/>
      <c r="O107" s="1723"/>
      <c r="P107" s="1720"/>
    </row>
    <row r="108" spans="2:16" s="1719" customFormat="1" ht="13.5" x14ac:dyDescent="0.2">
      <c r="B108" s="1724">
        <f t="shared" si="1"/>
        <v>13</v>
      </c>
      <c r="C108" s="1736"/>
      <c r="D108" s="1738" t="s">
        <v>1032</v>
      </c>
      <c r="E108" s="1727"/>
      <c r="F108" s="1727"/>
      <c r="G108" s="1727"/>
      <c r="H108" s="1727"/>
      <c r="I108" s="1739" t="s">
        <v>27</v>
      </c>
      <c r="J108" s="1729">
        <v>128000</v>
      </c>
      <c r="L108" s="1720"/>
      <c r="M108" s="1721"/>
      <c r="N108" s="1722"/>
      <c r="O108" s="1723"/>
      <c r="P108" s="1720"/>
    </row>
    <row r="109" spans="2:16" s="1719" customFormat="1" ht="13.5" x14ac:dyDescent="0.2">
      <c r="B109" s="1724">
        <f t="shared" si="1"/>
        <v>14</v>
      </c>
      <c r="C109" s="1736"/>
      <c r="D109" s="1738" t="s">
        <v>1033</v>
      </c>
      <c r="E109" s="1727"/>
      <c r="F109" s="1727"/>
      <c r="G109" s="1727"/>
      <c r="H109" s="1727"/>
      <c r="I109" s="1739" t="s">
        <v>27</v>
      </c>
      <c r="J109" s="1729">
        <v>88500</v>
      </c>
      <c r="L109" s="1720"/>
      <c r="M109" s="1721"/>
      <c r="N109" s="1722"/>
      <c r="O109" s="1723"/>
      <c r="P109" s="1720"/>
    </row>
    <row r="110" spans="2:16" s="1719" customFormat="1" ht="13.5" x14ac:dyDescent="0.2">
      <c r="B110" s="1724">
        <f t="shared" si="1"/>
        <v>15</v>
      </c>
      <c r="C110" s="1736"/>
      <c r="D110" s="1738" t="s">
        <v>1034</v>
      </c>
      <c r="E110" s="1727"/>
      <c r="F110" s="1727"/>
      <c r="G110" s="1727"/>
      <c r="H110" s="1727"/>
      <c r="I110" s="1739" t="s">
        <v>27</v>
      </c>
      <c r="J110" s="1729">
        <v>59000</v>
      </c>
      <c r="L110" s="1720"/>
      <c r="M110" s="1721"/>
      <c r="N110" s="1722"/>
      <c r="O110" s="1723"/>
      <c r="P110" s="1720"/>
    </row>
    <row r="111" spans="2:16" s="1719" customFormat="1" ht="13.5" x14ac:dyDescent="0.2">
      <c r="B111" s="1724">
        <f t="shared" si="1"/>
        <v>16</v>
      </c>
      <c r="C111" s="1736"/>
      <c r="D111" s="1738" t="s">
        <v>1035</v>
      </c>
      <c r="E111" s="1727"/>
      <c r="F111" s="1727"/>
      <c r="G111" s="1727"/>
      <c r="H111" s="1727"/>
      <c r="I111" s="1739" t="s">
        <v>27</v>
      </c>
      <c r="J111" s="1729">
        <v>42000</v>
      </c>
      <c r="L111" s="1720"/>
      <c r="M111" s="1721"/>
      <c r="N111" s="1722"/>
      <c r="O111" s="1723"/>
      <c r="P111" s="1720"/>
    </row>
    <row r="112" spans="2:16" s="1719" customFormat="1" ht="13.5" x14ac:dyDescent="0.2">
      <c r="B112" s="1724">
        <f t="shared" si="1"/>
        <v>17</v>
      </c>
      <c r="C112" s="1736"/>
      <c r="D112" s="1738" t="s">
        <v>1036</v>
      </c>
      <c r="E112" s="1727"/>
      <c r="F112" s="1727"/>
      <c r="G112" s="1727"/>
      <c r="H112" s="1727"/>
      <c r="I112" s="1739" t="s">
        <v>27</v>
      </c>
      <c r="J112" s="1729">
        <v>35000</v>
      </c>
      <c r="L112" s="1720"/>
      <c r="M112" s="1721"/>
      <c r="N112" s="1722"/>
      <c r="O112" s="1723"/>
      <c r="P112" s="1720"/>
    </row>
    <row r="113" spans="2:16" s="1719" customFormat="1" ht="13.5" x14ac:dyDescent="0.2">
      <c r="B113" s="1724">
        <f t="shared" si="1"/>
        <v>18</v>
      </c>
      <c r="C113" s="1736"/>
      <c r="D113" s="1738" t="s">
        <v>1037</v>
      </c>
      <c r="E113" s="1727"/>
      <c r="F113" s="1727"/>
      <c r="G113" s="1727"/>
      <c r="H113" s="1727"/>
      <c r="I113" s="1739" t="s">
        <v>27</v>
      </c>
      <c r="J113" s="1729">
        <v>22000</v>
      </c>
      <c r="L113" s="1720"/>
      <c r="M113" s="1721"/>
      <c r="N113" s="1722"/>
      <c r="O113" s="1723"/>
      <c r="P113" s="1720"/>
    </row>
    <row r="114" spans="2:16" s="1719" customFormat="1" ht="13.5" x14ac:dyDescent="0.2">
      <c r="B114" s="1724">
        <f t="shared" si="1"/>
        <v>19</v>
      </c>
      <c r="C114" s="1736"/>
      <c r="D114" s="1738" t="s">
        <v>1038</v>
      </c>
      <c r="E114" s="1727"/>
      <c r="F114" s="1727"/>
      <c r="G114" s="1727"/>
      <c r="H114" s="1727"/>
      <c r="I114" s="1739" t="s">
        <v>27</v>
      </c>
      <c r="J114" s="1729">
        <v>11500</v>
      </c>
      <c r="L114" s="1720"/>
      <c r="M114" s="1721"/>
      <c r="N114" s="1722"/>
      <c r="O114" s="1723"/>
      <c r="P114" s="1720"/>
    </row>
    <row r="115" spans="2:16" s="1719" customFormat="1" ht="13.5" x14ac:dyDescent="0.2">
      <c r="B115" s="1724">
        <f t="shared" si="1"/>
        <v>20</v>
      </c>
      <c r="C115" s="1736"/>
      <c r="D115" s="1738" t="s">
        <v>1027</v>
      </c>
      <c r="E115" s="1727"/>
      <c r="F115" s="1727"/>
      <c r="G115" s="1727"/>
      <c r="H115" s="1727"/>
      <c r="I115" s="1739" t="s">
        <v>27</v>
      </c>
      <c r="J115" s="1729">
        <v>24000</v>
      </c>
      <c r="L115" s="1720"/>
      <c r="M115" s="1721"/>
      <c r="N115" s="1722"/>
      <c r="O115" s="1723"/>
      <c r="P115" s="1720"/>
    </row>
    <row r="116" spans="2:16" s="1719" customFormat="1" ht="13.5" x14ac:dyDescent="0.2">
      <c r="B116" s="1724">
        <f t="shared" si="1"/>
        <v>21</v>
      </c>
      <c r="C116" s="1736"/>
      <c r="D116" s="1738" t="s">
        <v>1265</v>
      </c>
      <c r="E116" s="1727"/>
      <c r="F116" s="1727"/>
      <c r="G116" s="1727"/>
      <c r="H116" s="1727"/>
      <c r="I116" s="1739" t="s">
        <v>1266</v>
      </c>
      <c r="J116" s="1729">
        <v>220000</v>
      </c>
      <c r="L116" s="1720"/>
      <c r="M116" s="1721"/>
      <c r="N116" s="1722"/>
      <c r="O116" s="1723"/>
      <c r="P116" s="1720"/>
    </row>
    <row r="117" spans="2:16" s="1719" customFormat="1" ht="13.5" x14ac:dyDescent="0.2">
      <c r="B117" s="1724">
        <f t="shared" si="1"/>
        <v>22</v>
      </c>
      <c r="C117" s="1736"/>
      <c r="D117" s="1738" t="s">
        <v>1267</v>
      </c>
      <c r="E117" s="1727"/>
      <c r="F117" s="1727"/>
      <c r="G117" s="1727"/>
      <c r="H117" s="1727"/>
      <c r="I117" s="1739" t="s">
        <v>27</v>
      </c>
      <c r="J117" s="1729">
        <v>9000</v>
      </c>
      <c r="L117" s="1720"/>
      <c r="M117" s="1721"/>
      <c r="N117" s="1722"/>
      <c r="O117" s="1723"/>
      <c r="P117" s="1720"/>
    </row>
    <row r="118" spans="2:16" s="1719" customFormat="1" ht="13.5" x14ac:dyDescent="0.2">
      <c r="B118" s="1724">
        <f t="shared" si="1"/>
        <v>23</v>
      </c>
      <c r="C118" s="1736"/>
      <c r="D118" s="1738" t="s">
        <v>1039</v>
      </c>
      <c r="E118" s="1727"/>
      <c r="F118" s="1727"/>
      <c r="G118" s="1727"/>
      <c r="H118" s="1727"/>
      <c r="I118" s="1739" t="s">
        <v>27</v>
      </c>
      <c r="J118" s="1729">
        <v>55000</v>
      </c>
      <c r="L118" s="1720"/>
      <c r="M118" s="1721"/>
      <c r="N118" s="1722"/>
      <c r="O118" s="1723"/>
      <c r="P118" s="1720"/>
    </row>
    <row r="119" spans="2:16" s="1719" customFormat="1" ht="13.5" x14ac:dyDescent="0.2">
      <c r="B119" s="1724">
        <f t="shared" si="1"/>
        <v>24</v>
      </c>
      <c r="C119" s="1736"/>
      <c r="D119" s="1738" t="s">
        <v>1040</v>
      </c>
      <c r="E119" s="1727"/>
      <c r="F119" s="1727"/>
      <c r="G119" s="1727"/>
      <c r="H119" s="1727"/>
      <c r="I119" s="1739" t="s">
        <v>27</v>
      </c>
      <c r="J119" s="1729">
        <v>35000</v>
      </c>
      <c r="L119" s="1720"/>
      <c r="M119" s="1721"/>
      <c r="N119" s="1722"/>
      <c r="O119" s="1723"/>
      <c r="P119" s="1720"/>
    </row>
    <row r="120" spans="2:16" s="1719" customFormat="1" ht="13.5" x14ac:dyDescent="0.2">
      <c r="B120" s="1724">
        <f t="shared" si="1"/>
        <v>25</v>
      </c>
      <c r="C120" s="1736"/>
      <c r="D120" s="1738" t="s">
        <v>1041</v>
      </c>
      <c r="E120" s="1727"/>
      <c r="F120" s="1727"/>
      <c r="G120" s="1727"/>
      <c r="H120" s="1727"/>
      <c r="I120" s="1739" t="s">
        <v>27</v>
      </c>
      <c r="J120" s="1729">
        <v>25000</v>
      </c>
      <c r="L120" s="1720"/>
      <c r="M120" s="1721"/>
      <c r="N120" s="1722"/>
      <c r="O120" s="1723"/>
      <c r="P120" s="1720"/>
    </row>
    <row r="121" spans="2:16" s="1719" customFormat="1" ht="13.5" x14ac:dyDescent="0.2">
      <c r="B121" s="1724">
        <f>B120+1</f>
        <v>26</v>
      </c>
      <c r="C121" s="1736"/>
      <c r="D121" s="1738" t="s">
        <v>1042</v>
      </c>
      <c r="E121" s="1727"/>
      <c r="F121" s="1727"/>
      <c r="G121" s="1727"/>
      <c r="H121" s="1727"/>
      <c r="I121" s="1739" t="s">
        <v>27</v>
      </c>
      <c r="J121" s="1729">
        <v>9000</v>
      </c>
      <c r="L121" s="1720"/>
      <c r="M121" s="1721"/>
      <c r="N121" s="1722"/>
      <c r="O121" s="1723"/>
      <c r="P121" s="1720"/>
    </row>
    <row r="122" spans="2:16" s="1719" customFormat="1" ht="13.5" x14ac:dyDescent="0.2">
      <c r="B122" s="1724">
        <f t="shared" si="1"/>
        <v>27</v>
      </c>
      <c r="C122" s="1736"/>
      <c r="D122" s="1738" t="s">
        <v>1043</v>
      </c>
      <c r="E122" s="1727"/>
      <c r="F122" s="1727"/>
      <c r="G122" s="1727"/>
      <c r="H122" s="1727"/>
      <c r="I122" s="1739" t="s">
        <v>27</v>
      </c>
      <c r="J122" s="1729">
        <v>7500</v>
      </c>
      <c r="L122" s="1720"/>
      <c r="M122" s="1721"/>
      <c r="N122" s="1722"/>
      <c r="O122" s="1723"/>
      <c r="P122" s="1720"/>
    </row>
    <row r="123" spans="2:16" s="1719" customFormat="1" ht="13.5" x14ac:dyDescent="0.2">
      <c r="B123" s="1724">
        <f t="shared" si="1"/>
        <v>28</v>
      </c>
      <c r="C123" s="1736"/>
      <c r="D123" s="1738" t="s">
        <v>1224</v>
      </c>
      <c r="E123" s="1727"/>
      <c r="F123" s="1727"/>
      <c r="G123" s="1727"/>
      <c r="H123" s="1727"/>
      <c r="I123" s="1739" t="s">
        <v>837</v>
      </c>
      <c r="J123" s="1729">
        <v>1250000</v>
      </c>
      <c r="L123" s="1720"/>
      <c r="M123" s="1721"/>
      <c r="N123" s="1722"/>
      <c r="O123" s="1723"/>
      <c r="P123" s="1720"/>
    </row>
    <row r="124" spans="2:16" s="1719" customFormat="1" ht="13.5" x14ac:dyDescent="0.2">
      <c r="B124" s="1724">
        <f t="shared" si="1"/>
        <v>29</v>
      </c>
      <c r="C124" s="1736"/>
      <c r="D124" s="1738" t="s">
        <v>925</v>
      </c>
      <c r="E124" s="1727"/>
      <c r="F124" s="1727"/>
      <c r="G124" s="1727"/>
      <c r="H124" s="1727"/>
      <c r="I124" s="1739" t="s">
        <v>9</v>
      </c>
      <c r="J124" s="1729">
        <v>95000</v>
      </c>
      <c r="L124" s="1720"/>
      <c r="M124" s="1721"/>
      <c r="N124" s="1722"/>
      <c r="O124" s="1723"/>
      <c r="P124" s="1720"/>
    </row>
    <row r="125" spans="2:16" s="1719" customFormat="1" ht="13.5" x14ac:dyDescent="0.2">
      <c r="B125" s="1724">
        <f t="shared" si="1"/>
        <v>30</v>
      </c>
      <c r="C125" s="1736"/>
      <c r="D125" s="1738" t="s">
        <v>772</v>
      </c>
      <c r="E125" s="1727"/>
      <c r="F125" s="1727"/>
      <c r="G125" s="1727"/>
      <c r="H125" s="1727"/>
      <c r="I125" s="1739" t="s">
        <v>9</v>
      </c>
      <c r="J125" s="1729">
        <v>550000</v>
      </c>
      <c r="L125" s="1720"/>
      <c r="M125" s="1721"/>
      <c r="N125" s="1722"/>
      <c r="O125" s="1723"/>
      <c r="P125" s="1720"/>
    </row>
    <row r="126" spans="2:16" s="1719" customFormat="1" ht="13.5" x14ac:dyDescent="0.2">
      <c r="B126" s="1724">
        <f t="shared" si="1"/>
        <v>31</v>
      </c>
      <c r="C126" s="1736"/>
      <c r="D126" s="1738" t="s">
        <v>874</v>
      </c>
      <c r="E126" s="1727"/>
      <c r="F126" s="1727"/>
      <c r="G126" s="1727"/>
      <c r="H126" s="1727"/>
      <c r="I126" s="1728" t="s">
        <v>30</v>
      </c>
      <c r="J126" s="1729">
        <v>13000</v>
      </c>
      <c r="L126" s="1720"/>
      <c r="M126" s="1721"/>
      <c r="N126" s="1722"/>
      <c r="O126" s="1723"/>
      <c r="P126" s="1720"/>
    </row>
    <row r="127" spans="2:16" s="1719" customFormat="1" ht="13.5" x14ac:dyDescent="0.2">
      <c r="B127" s="1724">
        <f t="shared" si="1"/>
        <v>32</v>
      </c>
      <c r="C127" s="1736"/>
      <c r="D127" s="1740" t="s">
        <v>1044</v>
      </c>
      <c r="E127" s="1741"/>
      <c r="F127" s="1741"/>
      <c r="G127" s="1741"/>
      <c r="H127" s="1727"/>
      <c r="I127" s="1739" t="s">
        <v>9</v>
      </c>
      <c r="J127" s="1729">
        <v>15000</v>
      </c>
      <c r="L127" s="1720"/>
      <c r="M127" s="1721"/>
      <c r="N127" s="1722"/>
      <c r="O127" s="1723"/>
      <c r="P127" s="1720"/>
    </row>
    <row r="128" spans="2:16" s="1719" customFormat="1" ht="13.5" x14ac:dyDescent="0.2">
      <c r="B128" s="1724">
        <f t="shared" si="1"/>
        <v>33</v>
      </c>
      <c r="C128" s="1736"/>
      <c r="D128" s="1740" t="s">
        <v>1045</v>
      </c>
      <c r="E128" s="1741"/>
      <c r="F128" s="1741"/>
      <c r="G128" s="1741"/>
      <c r="H128" s="1727"/>
      <c r="I128" s="1739" t="s">
        <v>9</v>
      </c>
      <c r="J128" s="1729">
        <v>75000</v>
      </c>
      <c r="L128" s="1720"/>
      <c r="M128" s="1721"/>
      <c r="N128" s="1722"/>
      <c r="O128" s="1723"/>
      <c r="P128" s="1720"/>
    </row>
    <row r="129" spans="2:16" s="1719" customFormat="1" ht="13.5" x14ac:dyDescent="0.2">
      <c r="B129" s="1724">
        <f t="shared" si="1"/>
        <v>34</v>
      </c>
      <c r="C129" s="1736"/>
      <c r="D129" s="1740" t="s">
        <v>937</v>
      </c>
      <c r="E129" s="1741"/>
      <c r="F129" s="1741"/>
      <c r="G129" s="1741"/>
      <c r="H129" s="1727"/>
      <c r="I129" s="1739" t="s">
        <v>9</v>
      </c>
      <c r="J129" s="1729">
        <v>42500</v>
      </c>
      <c r="L129" s="1720"/>
      <c r="M129" s="1721"/>
      <c r="N129" s="1722"/>
      <c r="O129" s="1723"/>
      <c r="P129" s="1720"/>
    </row>
    <row r="130" spans="2:16" s="1719" customFormat="1" ht="13.5" x14ac:dyDescent="0.2">
      <c r="B130" s="1724">
        <f>B129+1</f>
        <v>35</v>
      </c>
      <c r="C130" s="1736"/>
      <c r="D130" s="1727" t="s">
        <v>1046</v>
      </c>
      <c r="E130" s="1727"/>
      <c r="F130" s="1727"/>
      <c r="G130" s="1727"/>
      <c r="H130" s="1727"/>
      <c r="I130" s="1739" t="s">
        <v>9</v>
      </c>
      <c r="J130" s="1729">
        <v>19500</v>
      </c>
      <c r="L130" s="1720"/>
      <c r="M130" s="1721"/>
      <c r="N130" s="1722"/>
      <c r="O130" s="1723"/>
      <c r="P130" s="1720"/>
    </row>
    <row r="131" spans="2:16" s="1719" customFormat="1" ht="13.5" x14ac:dyDescent="0.2">
      <c r="B131" s="1724">
        <f t="shared" si="1"/>
        <v>36</v>
      </c>
      <c r="C131" s="1736"/>
      <c r="D131" s="1727" t="s">
        <v>1047</v>
      </c>
      <c r="E131" s="1727"/>
      <c r="F131" s="1727"/>
      <c r="G131" s="1727"/>
      <c r="H131" s="1727"/>
      <c r="I131" s="1739" t="s">
        <v>9</v>
      </c>
      <c r="J131" s="1729">
        <v>24000</v>
      </c>
      <c r="L131" s="1720"/>
      <c r="M131" s="1721"/>
      <c r="N131" s="1722"/>
      <c r="O131" s="1723"/>
      <c r="P131" s="1720"/>
    </row>
    <row r="132" spans="2:16" s="1719" customFormat="1" ht="13.5" x14ac:dyDescent="0.2">
      <c r="B132" s="1724">
        <f t="shared" si="1"/>
        <v>37</v>
      </c>
      <c r="C132" s="1736"/>
      <c r="D132" s="1727" t="s">
        <v>1048</v>
      </c>
      <c r="E132" s="1727"/>
      <c r="F132" s="1727"/>
      <c r="G132" s="1727"/>
      <c r="H132" s="1727"/>
      <c r="I132" s="1739" t="s">
        <v>9</v>
      </c>
      <c r="J132" s="1729">
        <v>45500</v>
      </c>
      <c r="L132" s="1720"/>
      <c r="M132" s="1721"/>
      <c r="N132" s="1722"/>
      <c r="O132" s="1723"/>
      <c r="P132" s="1720"/>
    </row>
    <row r="133" spans="2:16" s="1719" customFormat="1" ht="13.5" x14ac:dyDescent="0.2">
      <c r="B133" s="1724">
        <f t="shared" si="1"/>
        <v>38</v>
      </c>
      <c r="C133" s="1736"/>
      <c r="D133" s="1727" t="s">
        <v>1049</v>
      </c>
      <c r="E133" s="1727"/>
      <c r="F133" s="1727"/>
      <c r="G133" s="1727"/>
      <c r="H133" s="1727"/>
      <c r="I133" s="1739" t="s">
        <v>9</v>
      </c>
      <c r="J133" s="1729">
        <v>65000</v>
      </c>
      <c r="L133" s="1720"/>
      <c r="M133" s="1721"/>
      <c r="N133" s="1722"/>
      <c r="O133" s="1723"/>
      <c r="P133" s="1720"/>
    </row>
    <row r="134" spans="2:16" s="1719" customFormat="1" ht="13.5" x14ac:dyDescent="0.2">
      <c r="B134" s="1724">
        <f t="shared" si="1"/>
        <v>39</v>
      </c>
      <c r="C134" s="1736"/>
      <c r="D134" s="1727" t="s">
        <v>1061</v>
      </c>
      <c r="E134" s="1727"/>
      <c r="F134" s="1727"/>
      <c r="G134" s="1727"/>
      <c r="H134" s="1727"/>
      <c r="I134" s="1739" t="s">
        <v>1</v>
      </c>
      <c r="J134" s="1729">
        <v>5000</v>
      </c>
      <c r="L134" s="1720"/>
      <c r="M134" s="1721"/>
      <c r="N134" s="1722"/>
      <c r="O134" s="1723"/>
      <c r="P134" s="1720"/>
    </row>
    <row r="135" spans="2:16" s="1719" customFormat="1" ht="13.5" x14ac:dyDescent="0.2">
      <c r="B135" s="1724">
        <f t="shared" si="1"/>
        <v>40</v>
      </c>
      <c r="C135" s="1736"/>
      <c r="D135" s="1727" t="s">
        <v>1225</v>
      </c>
      <c r="E135" s="1727"/>
      <c r="F135" s="1727"/>
      <c r="G135" s="1727"/>
      <c r="H135" s="1727"/>
      <c r="I135" s="1739" t="s">
        <v>841</v>
      </c>
      <c r="J135" s="1729">
        <v>1000</v>
      </c>
      <c r="L135" s="1720"/>
      <c r="M135" s="1721"/>
      <c r="N135" s="1722"/>
      <c r="O135" s="1723"/>
      <c r="P135" s="1720"/>
    </row>
    <row r="136" spans="2:16" s="1719" customFormat="1" ht="13.5" x14ac:dyDescent="0.2">
      <c r="B136" s="1724">
        <f t="shared" si="1"/>
        <v>41</v>
      </c>
      <c r="C136" s="1736"/>
      <c r="D136" s="1727" t="s">
        <v>1226</v>
      </c>
      <c r="E136" s="1727"/>
      <c r="F136" s="1727"/>
      <c r="G136" s="1727"/>
      <c r="H136" s="1727"/>
      <c r="I136" s="1739" t="s">
        <v>841</v>
      </c>
      <c r="J136" s="1729">
        <v>255</v>
      </c>
      <c r="L136" s="1720"/>
      <c r="M136" s="1721"/>
      <c r="N136" s="1722"/>
      <c r="O136" s="1723"/>
      <c r="P136" s="1720"/>
    </row>
    <row r="137" spans="2:16" s="1719" customFormat="1" ht="13.5" x14ac:dyDescent="0.2">
      <c r="B137" s="1724">
        <f t="shared" si="1"/>
        <v>42</v>
      </c>
      <c r="C137" s="1736"/>
      <c r="D137" s="1727" t="s">
        <v>1227</v>
      </c>
      <c r="E137" s="1727"/>
      <c r="F137" s="1727"/>
      <c r="G137" s="1727"/>
      <c r="H137" s="1727"/>
      <c r="I137" s="1739" t="s">
        <v>1</v>
      </c>
      <c r="J137" s="1729">
        <v>1200000</v>
      </c>
      <c r="L137" s="1720"/>
      <c r="M137" s="1721"/>
      <c r="N137" s="1722"/>
      <c r="O137" s="1723"/>
      <c r="P137" s="1720"/>
    </row>
    <row r="138" spans="2:16" s="1719" customFormat="1" ht="13.5" x14ac:dyDescent="0.2">
      <c r="B138" s="1724">
        <f t="shared" si="1"/>
        <v>43</v>
      </c>
      <c r="C138" s="1736"/>
      <c r="D138" s="1727" t="s">
        <v>1228</v>
      </c>
      <c r="E138" s="1727"/>
      <c r="F138" s="1727"/>
      <c r="G138" s="1727"/>
      <c r="H138" s="1727"/>
      <c r="I138" s="1739" t="s">
        <v>1</v>
      </c>
      <c r="J138" s="1729">
        <v>3500000</v>
      </c>
      <c r="L138" s="1720"/>
      <c r="M138" s="1721"/>
      <c r="N138" s="1722"/>
      <c r="O138" s="1723"/>
      <c r="P138" s="1720"/>
    </row>
    <row r="139" spans="2:16" s="1719" customFormat="1" ht="13.5" x14ac:dyDescent="0.2">
      <c r="B139" s="1724"/>
      <c r="C139" s="1736"/>
      <c r="D139" s="1727"/>
      <c r="E139" s="1727"/>
      <c r="F139" s="1727"/>
      <c r="G139" s="1727"/>
      <c r="H139" s="1727"/>
      <c r="I139" s="1739"/>
      <c r="J139" s="1729"/>
      <c r="L139" s="1720"/>
      <c r="M139" s="1721"/>
      <c r="N139" s="1722"/>
      <c r="O139" s="1723"/>
      <c r="P139" s="1720"/>
    </row>
    <row r="140" spans="2:16" s="1719" customFormat="1" ht="13.5" x14ac:dyDescent="0.2">
      <c r="B140" s="1724"/>
      <c r="C140" s="1736"/>
      <c r="D140" s="1726" t="s">
        <v>1050</v>
      </c>
      <c r="E140" s="1727"/>
      <c r="F140" s="1727"/>
      <c r="G140" s="1727"/>
      <c r="H140" s="1727"/>
      <c r="I140" s="1739"/>
      <c r="J140" s="1729"/>
      <c r="L140" s="1720"/>
      <c r="M140" s="1721"/>
      <c r="N140" s="1722"/>
      <c r="O140" s="1723"/>
      <c r="P140" s="1720"/>
    </row>
    <row r="141" spans="2:16" s="1719" customFormat="1" ht="13.5" x14ac:dyDescent="0.2">
      <c r="B141" s="1724">
        <v>1</v>
      </c>
      <c r="C141" s="1736"/>
      <c r="D141" s="1727" t="s">
        <v>1051</v>
      </c>
      <c r="E141" s="1727"/>
      <c r="F141" s="1727"/>
      <c r="G141" s="1727"/>
      <c r="H141" s="1727"/>
      <c r="I141" s="1739" t="s">
        <v>32</v>
      </c>
      <c r="J141" s="1729">
        <v>13500000</v>
      </c>
      <c r="L141" s="1720"/>
      <c r="M141" s="1721"/>
      <c r="N141" s="1722"/>
      <c r="O141" s="1723"/>
      <c r="P141" s="1720"/>
    </row>
    <row r="142" spans="2:16" s="1719" customFormat="1" ht="13.5" x14ac:dyDescent="0.2">
      <c r="B142" s="1724">
        <f>B141+1</f>
        <v>2</v>
      </c>
      <c r="C142" s="1736"/>
      <c r="D142" s="1727" t="s">
        <v>1052</v>
      </c>
      <c r="E142" s="1727"/>
      <c r="F142" s="1727"/>
      <c r="G142" s="1727"/>
      <c r="H142" s="1727"/>
      <c r="I142" s="1739" t="s">
        <v>1053</v>
      </c>
      <c r="J142" s="1729">
        <v>450000</v>
      </c>
      <c r="L142" s="1720"/>
      <c r="M142" s="1721"/>
      <c r="N142" s="1722"/>
      <c r="O142" s="1723"/>
      <c r="P142" s="1720"/>
    </row>
    <row r="143" spans="2:16" s="1719" customFormat="1" ht="13.5" x14ac:dyDescent="0.2">
      <c r="B143" s="1724">
        <f t="shared" ref="B143:B149" si="2">B142+1</f>
        <v>3</v>
      </c>
      <c r="C143" s="1736"/>
      <c r="D143" s="1727" t="s">
        <v>1054</v>
      </c>
      <c r="E143" s="1727"/>
      <c r="F143" s="1727"/>
      <c r="G143" s="1727"/>
      <c r="H143" s="1727"/>
      <c r="I143" s="1739" t="s">
        <v>27</v>
      </c>
      <c r="J143" s="1729">
        <v>80000</v>
      </c>
      <c r="L143" s="1720"/>
      <c r="M143" s="1721"/>
      <c r="N143" s="1722"/>
      <c r="O143" s="1723"/>
      <c r="P143" s="1720"/>
    </row>
    <row r="144" spans="2:16" s="1719" customFormat="1" ht="13.5" x14ac:dyDescent="0.2">
      <c r="B144" s="1724">
        <f t="shared" si="2"/>
        <v>4</v>
      </c>
      <c r="C144" s="1736"/>
      <c r="D144" s="1727" t="s">
        <v>1055</v>
      </c>
      <c r="E144" s="1727"/>
      <c r="F144" s="1727"/>
      <c r="G144" s="1727"/>
      <c r="H144" s="1727"/>
      <c r="I144" s="1739" t="s">
        <v>27</v>
      </c>
      <c r="J144" s="1729">
        <v>145000</v>
      </c>
      <c r="L144" s="1720"/>
      <c r="M144" s="1721"/>
      <c r="N144" s="1722"/>
      <c r="O144" s="1723"/>
      <c r="P144" s="1720"/>
    </row>
    <row r="145" spans="2:16" s="1719" customFormat="1" ht="13.5" x14ac:dyDescent="0.2">
      <c r="B145" s="1724">
        <f t="shared" si="2"/>
        <v>5</v>
      </c>
      <c r="C145" s="1736"/>
      <c r="D145" s="1727" t="s">
        <v>1056</v>
      </c>
      <c r="E145" s="1727"/>
      <c r="F145" s="1727"/>
      <c r="G145" s="1727"/>
      <c r="H145" s="1727"/>
      <c r="I145" s="1739" t="s">
        <v>27</v>
      </c>
      <c r="J145" s="1729">
        <v>85000</v>
      </c>
      <c r="L145" s="1720"/>
      <c r="M145" s="1721"/>
      <c r="N145" s="1722"/>
      <c r="O145" s="1723"/>
      <c r="P145" s="1720"/>
    </row>
    <row r="146" spans="2:16" s="1719" customFormat="1" ht="13.5" x14ac:dyDescent="0.2">
      <c r="B146" s="1724">
        <f t="shared" si="2"/>
        <v>6</v>
      </c>
      <c r="C146" s="1736"/>
      <c r="D146" s="1727" t="s">
        <v>1057</v>
      </c>
      <c r="E146" s="1727"/>
      <c r="F146" s="1727"/>
      <c r="G146" s="1727"/>
      <c r="H146" s="1727"/>
      <c r="I146" s="1739" t="s">
        <v>27</v>
      </c>
      <c r="J146" s="1729">
        <v>8500</v>
      </c>
      <c r="L146" s="1720"/>
      <c r="M146" s="1721"/>
      <c r="N146" s="1722"/>
      <c r="O146" s="1723"/>
      <c r="P146" s="1720"/>
    </row>
    <row r="147" spans="2:16" s="1719" customFormat="1" ht="13.5" x14ac:dyDescent="0.2">
      <c r="B147" s="1724">
        <f t="shared" si="2"/>
        <v>7</v>
      </c>
      <c r="C147" s="1736"/>
      <c r="D147" s="1727" t="s">
        <v>1058</v>
      </c>
      <c r="E147" s="1727"/>
      <c r="F147" s="1727"/>
      <c r="G147" s="1727"/>
      <c r="H147" s="1727"/>
      <c r="I147" s="1739" t="s">
        <v>32</v>
      </c>
      <c r="J147" s="1729">
        <v>1050000</v>
      </c>
      <c r="L147" s="1720"/>
      <c r="M147" s="1721"/>
      <c r="N147" s="1722"/>
      <c r="O147" s="1723"/>
      <c r="P147" s="1720"/>
    </row>
    <row r="148" spans="2:16" s="1719" customFormat="1" ht="13.5" x14ac:dyDescent="0.2">
      <c r="B148" s="1724">
        <f t="shared" si="2"/>
        <v>8</v>
      </c>
      <c r="C148" s="1742"/>
      <c r="D148" s="1743" t="s">
        <v>1298</v>
      </c>
      <c r="E148" s="1743"/>
      <c r="F148" s="1743"/>
      <c r="G148" s="1743"/>
      <c r="H148" s="1743"/>
      <c r="I148" s="1739" t="s">
        <v>32</v>
      </c>
      <c r="J148" s="1729">
        <v>2050000</v>
      </c>
      <c r="L148" s="1720"/>
      <c r="M148" s="1721"/>
      <c r="N148" s="1722"/>
      <c r="O148" s="1723"/>
      <c r="P148" s="1720"/>
    </row>
    <row r="149" spans="2:16" s="1719" customFormat="1" ht="14.25" thickBot="1" x14ac:dyDescent="0.25">
      <c r="B149" s="1744">
        <f t="shared" si="2"/>
        <v>9</v>
      </c>
      <c r="C149" s="1745"/>
      <c r="D149" s="1746" t="s">
        <v>1059</v>
      </c>
      <c r="E149" s="1747"/>
      <c r="F149" s="1747"/>
      <c r="G149" s="1747"/>
      <c r="H149" s="1747"/>
      <c r="I149" s="1748" t="s">
        <v>30</v>
      </c>
      <c r="J149" s="1749">
        <v>225000</v>
      </c>
      <c r="L149" s="1720"/>
      <c r="M149" s="1721"/>
      <c r="N149" s="1722"/>
      <c r="O149" s="1723"/>
      <c r="P149" s="1720"/>
    </row>
    <row r="150" spans="2:16" ht="17.25" thickTop="1" x14ac:dyDescent="0.2">
      <c r="B150" s="1750"/>
      <c r="C150" s="1750"/>
      <c r="D150" s="1751"/>
      <c r="E150" s="1752"/>
      <c r="F150" s="1752"/>
      <c r="G150" s="1752"/>
      <c r="H150" s="1752"/>
      <c r="I150" s="1753"/>
      <c r="J150" s="1754"/>
    </row>
    <row r="151" spans="2:16" s="1755" customFormat="1" x14ac:dyDescent="0.2">
      <c r="B151" s="1752"/>
      <c r="C151" s="1752"/>
      <c r="D151" s="1752"/>
      <c r="E151" s="1752"/>
      <c r="F151" s="1752"/>
      <c r="G151" s="1752"/>
      <c r="H151" s="1752"/>
      <c r="I151" s="1752"/>
      <c r="J151" s="1752"/>
      <c r="L151" s="1756"/>
      <c r="M151" s="1757"/>
      <c r="N151" s="1758"/>
      <c r="O151" s="1693"/>
      <c r="P151" s="1756"/>
    </row>
    <row r="152" spans="2:16" s="1755" customFormat="1" x14ac:dyDescent="0.2">
      <c r="B152" s="1752"/>
      <c r="C152" s="1752"/>
      <c r="D152" s="1752"/>
      <c r="E152" s="1752"/>
      <c r="F152" s="1752"/>
      <c r="G152" s="1752"/>
      <c r="H152" s="1752"/>
      <c r="I152" s="1752"/>
      <c r="J152" s="1752"/>
      <c r="L152" s="1756"/>
      <c r="M152" s="1757"/>
      <c r="N152" s="1758"/>
      <c r="O152" s="1693"/>
      <c r="P152" s="1756"/>
    </row>
    <row r="153" spans="2:16" s="1755" customFormat="1" x14ac:dyDescent="0.2">
      <c r="B153" s="1752"/>
      <c r="C153" s="1752"/>
      <c r="D153" s="1752"/>
      <c r="E153" s="1752"/>
      <c r="F153" s="1752"/>
      <c r="G153" s="1752"/>
      <c r="H153" s="1752"/>
      <c r="I153" s="1752"/>
      <c r="J153" s="1752"/>
      <c r="L153" s="1756"/>
      <c r="M153" s="1757"/>
      <c r="N153" s="1758"/>
      <c r="O153" s="1693"/>
      <c r="P153" s="1756"/>
    </row>
    <row r="154" spans="2:16" s="1755" customFormat="1" x14ac:dyDescent="0.2">
      <c r="B154" s="1752"/>
      <c r="C154" s="1752"/>
      <c r="D154" s="1752"/>
      <c r="E154" s="1752"/>
      <c r="F154" s="1752"/>
      <c r="G154" s="1752"/>
      <c r="H154" s="1752"/>
      <c r="I154" s="1752"/>
      <c r="J154" s="1752"/>
      <c r="L154" s="1756"/>
      <c r="M154" s="1757"/>
      <c r="N154" s="1758"/>
      <c r="O154" s="1693"/>
      <c r="P154" s="1756"/>
    </row>
    <row r="155" spans="2:16" s="1755" customFormat="1" x14ac:dyDescent="0.2">
      <c r="B155" s="1752"/>
      <c r="C155" s="1752"/>
      <c r="D155" s="1752"/>
      <c r="E155" s="1752"/>
      <c r="F155" s="1752"/>
      <c r="G155" s="1752"/>
      <c r="H155" s="1752"/>
      <c r="I155" s="1752"/>
      <c r="J155" s="1752"/>
      <c r="L155" s="1756"/>
      <c r="M155" s="1757"/>
      <c r="N155" s="1758"/>
      <c r="O155" s="1693"/>
      <c r="P155" s="1756"/>
    </row>
    <row r="156" spans="2:16" s="1755" customFormat="1" x14ac:dyDescent="0.2">
      <c r="B156" s="1752"/>
      <c r="C156" s="1752"/>
      <c r="D156" s="1752"/>
      <c r="E156" s="1752"/>
      <c r="F156" s="1752"/>
      <c r="G156" s="1752"/>
      <c r="H156" s="1752"/>
      <c r="I156" s="1752"/>
      <c r="J156" s="1752"/>
      <c r="L156" s="1756"/>
      <c r="M156" s="1757"/>
      <c r="N156" s="1758"/>
      <c r="O156" s="1693"/>
      <c r="P156" s="1756"/>
    </row>
    <row r="157" spans="2:16" s="1755" customFormat="1" x14ac:dyDescent="0.2">
      <c r="B157" s="1752"/>
      <c r="C157" s="1752"/>
      <c r="D157" s="1752"/>
      <c r="E157" s="1752"/>
      <c r="F157" s="1752"/>
      <c r="G157" s="1752"/>
      <c r="H157" s="1752"/>
      <c r="I157" s="1752"/>
      <c r="J157" s="1752"/>
      <c r="L157" s="1756"/>
      <c r="M157" s="1757"/>
      <c r="N157" s="1758"/>
      <c r="O157" s="1693"/>
      <c r="P157" s="1756"/>
    </row>
    <row r="158" spans="2:16" s="1755" customFormat="1" x14ac:dyDescent="0.2">
      <c r="B158" s="1752"/>
      <c r="C158" s="1752"/>
      <c r="D158" s="1752"/>
      <c r="E158" s="1752"/>
      <c r="F158" s="1752"/>
      <c r="G158" s="1752"/>
      <c r="H158" s="1752"/>
      <c r="I158" s="1752"/>
      <c r="J158" s="1752"/>
      <c r="L158" s="1756"/>
      <c r="M158" s="1757"/>
      <c r="N158" s="1758"/>
      <c r="O158" s="1693"/>
      <c r="P158" s="1756"/>
    </row>
    <row r="159" spans="2:16" x14ac:dyDescent="0.2">
      <c r="B159" s="1750"/>
      <c r="C159" s="1750"/>
      <c r="D159" s="1751"/>
      <c r="E159" s="1752"/>
      <c r="F159" s="1752"/>
      <c r="G159" s="1752"/>
      <c r="H159" s="1752"/>
      <c r="I159" s="1750"/>
      <c r="J159" s="1759"/>
    </row>
    <row r="160" spans="2:16" x14ac:dyDescent="0.2">
      <c r="B160" s="1750"/>
      <c r="C160" s="1750"/>
      <c r="D160" s="1751"/>
      <c r="E160" s="1752"/>
      <c r="F160" s="1752"/>
      <c r="G160" s="1752"/>
      <c r="H160" s="1752"/>
      <c r="I160" s="1750"/>
      <c r="J160" s="1759"/>
    </row>
    <row r="161" spans="2:10" x14ac:dyDescent="0.2">
      <c r="B161" s="1750"/>
      <c r="C161" s="1750"/>
      <c r="D161" s="1751"/>
      <c r="E161" s="1752"/>
      <c r="F161" s="1752"/>
      <c r="G161" s="1752"/>
      <c r="H161" s="1752"/>
      <c r="I161" s="1750"/>
      <c r="J161" s="1759"/>
    </row>
    <row r="162" spans="2:10" x14ac:dyDescent="0.2">
      <c r="B162" s="1750"/>
      <c r="C162" s="1750"/>
      <c r="D162" s="1751"/>
      <c r="E162" s="1752"/>
      <c r="F162" s="1752"/>
      <c r="G162" s="1752"/>
      <c r="H162" s="1752"/>
      <c r="I162" s="1750"/>
      <c r="J162" s="1759"/>
    </row>
    <row r="163" spans="2:10" x14ac:dyDescent="0.2">
      <c r="B163" s="1750"/>
      <c r="C163" s="1750"/>
      <c r="D163" s="1751"/>
      <c r="E163" s="1752"/>
      <c r="F163" s="1752"/>
      <c r="G163" s="1752"/>
      <c r="H163" s="1752"/>
      <c r="I163" s="1750"/>
      <c r="J163" s="1759"/>
    </row>
    <row r="164" spans="2:10" x14ac:dyDescent="0.2">
      <c r="B164" s="1692"/>
      <c r="C164" s="1750"/>
      <c r="D164" s="1751"/>
      <c r="I164" s="1689"/>
      <c r="J164" s="1759"/>
    </row>
    <row r="165" spans="2:10" x14ac:dyDescent="0.2">
      <c r="B165" s="1692"/>
      <c r="C165" s="1750"/>
      <c r="D165" s="1751"/>
      <c r="I165" s="1689"/>
      <c r="J165" s="1759"/>
    </row>
    <row r="166" spans="2:10" x14ac:dyDescent="0.2">
      <c r="B166" s="1692"/>
      <c r="C166" s="1750"/>
      <c r="D166" s="1751"/>
      <c r="E166" s="1707"/>
      <c r="J166" s="1759"/>
    </row>
    <row r="167" spans="2:10" x14ac:dyDescent="0.2">
      <c r="B167" s="1692"/>
      <c r="C167" s="1750"/>
      <c r="D167" s="1751"/>
      <c r="J167" s="1759"/>
    </row>
    <row r="168" spans="2:10" x14ac:dyDescent="0.2">
      <c r="B168" s="1692"/>
      <c r="C168" s="1750"/>
      <c r="D168" s="1760"/>
      <c r="J168" s="1761"/>
    </row>
    <row r="169" spans="2:10" x14ac:dyDescent="0.2">
      <c r="B169" s="1692"/>
      <c r="C169" s="1750"/>
      <c r="D169" s="1751"/>
      <c r="J169" s="1759"/>
    </row>
    <row r="170" spans="2:10" x14ac:dyDescent="0.2">
      <c r="B170" s="1692"/>
      <c r="C170" s="1750"/>
      <c r="D170" s="1751"/>
      <c r="J170" s="1759"/>
    </row>
    <row r="171" spans="2:10" x14ac:dyDescent="0.2">
      <c r="B171" s="1692"/>
      <c r="C171" s="1750"/>
      <c r="D171" s="1751"/>
      <c r="J171" s="1761"/>
    </row>
    <row r="172" spans="2:10" x14ac:dyDescent="0.2">
      <c r="B172" s="1692"/>
      <c r="C172" s="1692"/>
      <c r="I172" s="1689"/>
    </row>
    <row r="173" spans="2:10" x14ac:dyDescent="0.2">
      <c r="B173" s="1692"/>
      <c r="C173" s="1692"/>
      <c r="I173" s="1689"/>
    </row>
    <row r="174" spans="2:10" x14ac:dyDescent="0.2">
      <c r="B174" s="1692"/>
      <c r="C174" s="1692"/>
      <c r="I174" s="1689"/>
    </row>
    <row r="175" spans="2:10" x14ac:dyDescent="0.2">
      <c r="B175" s="1692"/>
      <c r="C175" s="1692"/>
      <c r="I175" s="1689"/>
    </row>
    <row r="176" spans="2:10" x14ac:dyDescent="0.2">
      <c r="B176" s="1692"/>
      <c r="C176" s="1692"/>
      <c r="I176" s="1689"/>
    </row>
    <row r="177" spans="2:9" x14ac:dyDescent="0.2">
      <c r="B177" s="1692"/>
      <c r="C177" s="1692"/>
      <c r="I177" s="1689"/>
    </row>
    <row r="178" spans="2:9" x14ac:dyDescent="0.2">
      <c r="B178" s="1692"/>
      <c r="C178" s="1692"/>
      <c r="I178" s="1689"/>
    </row>
    <row r="179" spans="2:9" x14ac:dyDescent="0.2">
      <c r="B179" s="1692"/>
      <c r="C179" s="1692"/>
      <c r="I179" s="1689"/>
    </row>
    <row r="180" spans="2:9" x14ac:dyDescent="0.2">
      <c r="B180" s="1692"/>
      <c r="C180" s="1692"/>
      <c r="I180" s="1689"/>
    </row>
    <row r="181" spans="2:9" x14ac:dyDescent="0.2">
      <c r="B181" s="1692"/>
      <c r="C181" s="1692"/>
      <c r="I181" s="1689"/>
    </row>
    <row r="182" spans="2:9" x14ac:dyDescent="0.2">
      <c r="B182" s="1692"/>
      <c r="C182" s="1692"/>
      <c r="I182" s="1689"/>
    </row>
    <row r="183" spans="2:9" x14ac:dyDescent="0.2">
      <c r="B183" s="1692"/>
      <c r="C183" s="1692"/>
      <c r="I183" s="1689"/>
    </row>
    <row r="184" spans="2:9" x14ac:dyDescent="0.2">
      <c r="B184" s="1692"/>
      <c r="C184" s="1692"/>
      <c r="I184" s="1689"/>
    </row>
    <row r="185" spans="2:9" x14ac:dyDescent="0.2">
      <c r="B185" s="1692"/>
      <c r="C185" s="1692"/>
      <c r="I185" s="1689"/>
    </row>
    <row r="186" spans="2:9" x14ac:dyDescent="0.2">
      <c r="B186" s="1692"/>
      <c r="C186" s="1692"/>
      <c r="I186" s="1689"/>
    </row>
    <row r="187" spans="2:9" x14ac:dyDescent="0.2">
      <c r="B187" s="1692"/>
      <c r="C187" s="1692"/>
      <c r="I187" s="1689"/>
    </row>
    <row r="188" spans="2:9" x14ac:dyDescent="0.2">
      <c r="B188" s="1692"/>
      <c r="C188" s="1692"/>
      <c r="I188" s="1689"/>
    </row>
    <row r="189" spans="2:9" x14ac:dyDescent="0.2">
      <c r="B189" s="1692"/>
      <c r="C189" s="1692"/>
      <c r="I189" s="1689"/>
    </row>
    <row r="190" spans="2:9" x14ac:dyDescent="0.2">
      <c r="B190" s="1692"/>
      <c r="C190" s="1692"/>
      <c r="I190" s="1689"/>
    </row>
    <row r="191" spans="2:9" x14ac:dyDescent="0.2">
      <c r="B191" s="1692"/>
      <c r="C191" s="1692"/>
      <c r="I191" s="1689"/>
    </row>
    <row r="192" spans="2:9" x14ac:dyDescent="0.2">
      <c r="B192" s="1692"/>
      <c r="C192" s="1692"/>
      <c r="I192" s="1689"/>
    </row>
    <row r="193" spans="2:9" x14ac:dyDescent="0.2">
      <c r="B193" s="1692"/>
      <c r="C193" s="1692"/>
      <c r="I193" s="1689"/>
    </row>
    <row r="194" spans="2:9" x14ac:dyDescent="0.2">
      <c r="B194" s="1692"/>
      <c r="C194" s="1692"/>
      <c r="I194" s="1689"/>
    </row>
    <row r="195" spans="2:9" x14ac:dyDescent="0.2">
      <c r="B195" s="1692"/>
      <c r="C195" s="1692"/>
      <c r="I195" s="1689"/>
    </row>
    <row r="196" spans="2:9" x14ac:dyDescent="0.2">
      <c r="B196" s="1692"/>
      <c r="C196" s="1692"/>
      <c r="I196" s="1689"/>
    </row>
    <row r="197" spans="2:9" x14ac:dyDescent="0.2">
      <c r="B197" s="1692"/>
      <c r="C197" s="1692"/>
      <c r="I197" s="1689"/>
    </row>
    <row r="198" spans="2:9" x14ac:dyDescent="0.2">
      <c r="B198" s="1692"/>
      <c r="C198" s="1692"/>
      <c r="I198" s="1689"/>
    </row>
    <row r="199" spans="2:9" x14ac:dyDescent="0.2">
      <c r="B199" s="1692"/>
      <c r="C199" s="1692"/>
      <c r="I199" s="1689"/>
    </row>
    <row r="200" spans="2:9" x14ac:dyDescent="0.2">
      <c r="B200" s="1692"/>
      <c r="C200" s="1692"/>
      <c r="I200" s="1689"/>
    </row>
    <row r="201" spans="2:9" x14ac:dyDescent="0.2">
      <c r="B201" s="1692"/>
      <c r="C201" s="1692"/>
      <c r="I201" s="1689"/>
    </row>
    <row r="202" spans="2:9" x14ac:dyDescent="0.2">
      <c r="B202" s="1692"/>
      <c r="C202" s="1692"/>
      <c r="I202" s="1689"/>
    </row>
    <row r="203" spans="2:9" x14ac:dyDescent="0.2">
      <c r="B203" s="1692"/>
      <c r="C203" s="1692"/>
      <c r="I203" s="1689"/>
    </row>
    <row r="204" spans="2:9" x14ac:dyDescent="0.2">
      <c r="B204" s="1692"/>
      <c r="C204" s="1692"/>
      <c r="I204" s="1689"/>
    </row>
    <row r="205" spans="2:9" x14ac:dyDescent="0.2">
      <c r="B205" s="1692"/>
      <c r="C205" s="1692"/>
      <c r="I205" s="1689"/>
    </row>
    <row r="206" spans="2:9" x14ac:dyDescent="0.2">
      <c r="B206" s="1692"/>
      <c r="C206" s="1692"/>
      <c r="I206" s="1689"/>
    </row>
    <row r="207" spans="2:9" x14ac:dyDescent="0.2">
      <c r="B207" s="1692"/>
      <c r="C207" s="1692"/>
      <c r="I207" s="1689"/>
    </row>
    <row r="208" spans="2:9" x14ac:dyDescent="0.2">
      <c r="B208" s="1692"/>
      <c r="C208" s="1692"/>
      <c r="I208" s="1689"/>
    </row>
    <row r="209" spans="2:9" x14ac:dyDescent="0.2">
      <c r="B209" s="1692"/>
      <c r="C209" s="1692"/>
      <c r="I209" s="1689"/>
    </row>
    <row r="210" spans="2:9" x14ac:dyDescent="0.2">
      <c r="B210" s="1692"/>
      <c r="C210" s="1692"/>
      <c r="I210" s="1689"/>
    </row>
    <row r="211" spans="2:9" x14ac:dyDescent="0.2">
      <c r="B211" s="1692"/>
      <c r="C211" s="1692"/>
      <c r="I211" s="1689"/>
    </row>
    <row r="212" spans="2:9" x14ac:dyDescent="0.2">
      <c r="B212" s="1692"/>
      <c r="C212" s="1692"/>
      <c r="I212" s="1689"/>
    </row>
    <row r="213" spans="2:9" x14ac:dyDescent="0.2">
      <c r="B213" s="1692"/>
      <c r="C213" s="1692"/>
      <c r="I213" s="1689"/>
    </row>
    <row r="214" spans="2:9" x14ac:dyDescent="0.2">
      <c r="B214" s="1692"/>
      <c r="C214" s="1692"/>
      <c r="I214" s="1689"/>
    </row>
    <row r="215" spans="2:9" x14ac:dyDescent="0.2">
      <c r="B215" s="1692"/>
      <c r="C215" s="1692"/>
      <c r="I215" s="1689"/>
    </row>
    <row r="216" spans="2:9" x14ac:dyDescent="0.2">
      <c r="B216" s="1692"/>
      <c r="C216" s="1692"/>
      <c r="I216" s="1689"/>
    </row>
    <row r="217" spans="2:9" x14ac:dyDescent="0.2">
      <c r="B217" s="1692"/>
      <c r="C217" s="1692"/>
      <c r="I217" s="1689"/>
    </row>
    <row r="218" spans="2:9" x14ac:dyDescent="0.2">
      <c r="B218" s="1692"/>
      <c r="C218" s="1692"/>
      <c r="I218" s="1689"/>
    </row>
    <row r="219" spans="2:9" x14ac:dyDescent="0.2">
      <c r="B219" s="1692"/>
      <c r="C219" s="1692"/>
      <c r="I219" s="1689"/>
    </row>
    <row r="220" spans="2:9" x14ac:dyDescent="0.2">
      <c r="B220" s="1692"/>
      <c r="C220" s="1692"/>
      <c r="I220" s="1689"/>
    </row>
    <row r="221" spans="2:9" x14ac:dyDescent="0.2">
      <c r="B221" s="1692"/>
      <c r="C221" s="1692"/>
      <c r="I221" s="1689"/>
    </row>
    <row r="222" spans="2:9" x14ac:dyDescent="0.2">
      <c r="B222" s="1692"/>
      <c r="C222" s="1692"/>
      <c r="I222" s="1689"/>
    </row>
    <row r="223" spans="2:9" x14ac:dyDescent="0.2">
      <c r="B223" s="1692"/>
      <c r="C223" s="1692"/>
      <c r="I223" s="1689"/>
    </row>
    <row r="224" spans="2:9" x14ac:dyDescent="0.2">
      <c r="B224" s="1692"/>
      <c r="C224" s="1692"/>
      <c r="I224" s="1689"/>
    </row>
    <row r="225" spans="2:9" x14ac:dyDescent="0.2">
      <c r="B225" s="1692"/>
      <c r="C225" s="1692"/>
      <c r="I225" s="1689"/>
    </row>
    <row r="226" spans="2:9" x14ac:dyDescent="0.2">
      <c r="B226" s="1692"/>
      <c r="C226" s="1692"/>
      <c r="I226" s="1689"/>
    </row>
    <row r="227" spans="2:9" x14ac:dyDescent="0.2">
      <c r="B227" s="1692"/>
      <c r="C227" s="1692"/>
      <c r="I227" s="1689"/>
    </row>
    <row r="228" spans="2:9" x14ac:dyDescent="0.2">
      <c r="B228" s="1692"/>
      <c r="C228" s="1692"/>
      <c r="I228" s="1689"/>
    </row>
    <row r="229" spans="2:9" x14ac:dyDescent="0.2">
      <c r="B229" s="1692"/>
      <c r="C229" s="1692"/>
      <c r="I229" s="1689"/>
    </row>
    <row r="230" spans="2:9" x14ac:dyDescent="0.2">
      <c r="B230" s="1692"/>
      <c r="C230" s="1692"/>
      <c r="I230" s="1689"/>
    </row>
    <row r="231" spans="2:9" x14ac:dyDescent="0.2">
      <c r="B231" s="1692"/>
      <c r="C231" s="1692"/>
      <c r="I231" s="1689"/>
    </row>
    <row r="232" spans="2:9" x14ac:dyDescent="0.2">
      <c r="B232" s="1692"/>
      <c r="C232" s="1692"/>
      <c r="I232" s="1689"/>
    </row>
    <row r="233" spans="2:9" x14ac:dyDescent="0.2">
      <c r="B233" s="1692"/>
      <c r="C233" s="1692"/>
      <c r="I233" s="1689"/>
    </row>
    <row r="234" spans="2:9" x14ac:dyDescent="0.2">
      <c r="B234" s="1692"/>
      <c r="C234" s="1692"/>
      <c r="I234" s="1689"/>
    </row>
    <row r="235" spans="2:9" x14ac:dyDescent="0.2">
      <c r="B235" s="1692"/>
      <c r="C235" s="1692"/>
      <c r="I235" s="1689"/>
    </row>
    <row r="236" spans="2:9" x14ac:dyDescent="0.2">
      <c r="B236" s="1692"/>
      <c r="C236" s="1692"/>
      <c r="I236" s="1689"/>
    </row>
    <row r="237" spans="2:9" x14ac:dyDescent="0.2">
      <c r="B237" s="1692"/>
      <c r="C237" s="1692"/>
      <c r="I237" s="1689"/>
    </row>
    <row r="238" spans="2:9" x14ac:dyDescent="0.2">
      <c r="B238" s="1692"/>
      <c r="C238" s="1692"/>
      <c r="I238" s="1689"/>
    </row>
    <row r="239" spans="2:9" x14ac:dyDescent="0.2">
      <c r="B239" s="1692"/>
      <c r="C239" s="1692"/>
      <c r="I239" s="1689"/>
    </row>
    <row r="240" spans="2:9" x14ac:dyDescent="0.2">
      <c r="B240" s="1692"/>
      <c r="C240" s="1692"/>
      <c r="I240" s="1689"/>
    </row>
    <row r="241" spans="2:9" x14ac:dyDescent="0.2">
      <c r="B241" s="1692"/>
      <c r="C241" s="1692"/>
      <c r="I241" s="1689"/>
    </row>
    <row r="242" spans="2:9" x14ac:dyDescent="0.2">
      <c r="B242" s="1692"/>
      <c r="C242" s="1692"/>
      <c r="I242" s="1689"/>
    </row>
    <row r="243" spans="2:9" x14ac:dyDescent="0.2">
      <c r="B243" s="1692"/>
      <c r="C243" s="1692"/>
      <c r="I243" s="1689"/>
    </row>
    <row r="244" spans="2:9" x14ac:dyDescent="0.2">
      <c r="B244" s="1692"/>
      <c r="C244" s="1692"/>
      <c r="I244" s="1689"/>
    </row>
    <row r="245" spans="2:9" x14ac:dyDescent="0.2">
      <c r="B245" s="1692"/>
      <c r="C245" s="1692"/>
      <c r="I245" s="1689"/>
    </row>
    <row r="246" spans="2:9" x14ac:dyDescent="0.2">
      <c r="B246" s="1692"/>
      <c r="C246" s="1692"/>
      <c r="I246" s="1689"/>
    </row>
    <row r="247" spans="2:9" x14ac:dyDescent="0.2">
      <c r="B247" s="1692"/>
      <c r="C247" s="1692"/>
      <c r="I247" s="1689"/>
    </row>
    <row r="248" spans="2:9" x14ac:dyDescent="0.2">
      <c r="B248" s="1692"/>
      <c r="C248" s="1692"/>
      <c r="I248" s="1689"/>
    </row>
    <row r="249" spans="2:9" x14ac:dyDescent="0.2">
      <c r="B249" s="1692"/>
      <c r="C249" s="1692"/>
      <c r="I249" s="1689"/>
    </row>
    <row r="250" spans="2:9" x14ac:dyDescent="0.2">
      <c r="B250" s="1692"/>
      <c r="C250" s="1692"/>
      <c r="I250" s="1689"/>
    </row>
    <row r="251" spans="2:9" x14ac:dyDescent="0.2">
      <c r="B251" s="1692"/>
      <c r="C251" s="1692"/>
      <c r="I251" s="1689"/>
    </row>
    <row r="252" spans="2:9" x14ac:dyDescent="0.2">
      <c r="B252" s="1692"/>
      <c r="C252" s="1692"/>
      <c r="I252" s="1689"/>
    </row>
    <row r="253" spans="2:9" x14ac:dyDescent="0.2">
      <c r="B253" s="1692"/>
      <c r="C253" s="1692"/>
      <c r="I253" s="1689"/>
    </row>
    <row r="254" spans="2:9" x14ac:dyDescent="0.2">
      <c r="B254" s="1692"/>
      <c r="C254" s="1692"/>
      <c r="I254" s="1689"/>
    </row>
    <row r="255" spans="2:9" x14ac:dyDescent="0.2">
      <c r="B255" s="1692"/>
      <c r="C255" s="1692"/>
      <c r="I255" s="1689"/>
    </row>
    <row r="256" spans="2:9" x14ac:dyDescent="0.2">
      <c r="B256" s="1692"/>
      <c r="C256" s="1692"/>
      <c r="I256" s="1689"/>
    </row>
    <row r="257" spans="2:9" x14ac:dyDescent="0.2">
      <c r="B257" s="1692"/>
      <c r="C257" s="1692"/>
      <c r="I257" s="1689"/>
    </row>
    <row r="258" spans="2:9" x14ac:dyDescent="0.2">
      <c r="B258" s="1692"/>
      <c r="C258" s="1692"/>
      <c r="I258" s="1689"/>
    </row>
  </sheetData>
  <mergeCells count="3">
    <mergeCell ref="D8:H8"/>
    <mergeCell ref="C9:H9"/>
    <mergeCell ref="B2:J2"/>
  </mergeCells>
  <printOptions horizontalCentered="1"/>
  <pageMargins left="0.7" right="0.7" top="0.75" bottom="0.05" header="0.3" footer="0.3"/>
  <pageSetup paperSize="9" scale="80" orientation="portrait" r:id="rId1"/>
  <rowBreaks count="1" manualBreakCount="1">
    <brk id="80" min="1" max="9" man="1"/>
  </rowBreaks>
  <colBreaks count="1" manualBreakCount="1">
    <brk id="10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O26"/>
  <sheetViews>
    <sheetView showGridLines="0" view="pageBreakPreview" topLeftCell="A7" zoomScale="90" zoomScaleSheetLayoutView="90" workbookViewId="0">
      <selection activeCell="S25" sqref="S25"/>
    </sheetView>
  </sheetViews>
  <sheetFormatPr defaultRowHeight="17.25" x14ac:dyDescent="0.3"/>
  <cols>
    <col min="1" max="1" width="1.7109375" style="1781" customWidth="1"/>
    <col min="2" max="2" width="8.5703125" style="1781" customWidth="1"/>
    <col min="3" max="3" width="7" style="1781" customWidth="1"/>
    <col min="4" max="4" width="2.28515625" style="1781" customWidth="1"/>
    <col min="5" max="5" width="36.28515625" style="1781" customWidth="1"/>
    <col min="6" max="6" width="24.5703125" style="1781" customWidth="1"/>
    <col min="7" max="7" width="25" style="1781" customWidth="1"/>
    <col min="8" max="8" width="1.28515625" style="1781" customWidth="1"/>
    <col min="9" max="9" width="9.140625" style="1781"/>
    <col min="10" max="10" width="15.7109375" style="1765" customWidth="1"/>
    <col min="11" max="11" width="17.28515625" style="1781" hidden="1" customWidth="1"/>
    <col min="12" max="12" width="0" style="1781" hidden="1" customWidth="1"/>
    <col min="13" max="13" width="19.85546875" style="1781" hidden="1" customWidth="1"/>
    <col min="14" max="14" width="0" style="1781" hidden="1" customWidth="1"/>
    <col min="15" max="15" width="26.140625" style="1781" hidden="1" customWidth="1"/>
    <col min="16" max="18" width="0" style="1781" hidden="1" customWidth="1"/>
    <col min="19" max="16384" width="9.140625" style="1781"/>
  </cols>
  <sheetData>
    <row r="1" spans="1:15" s="1764" customFormat="1" ht="25.15" customHeight="1" x14ac:dyDescent="0.3">
      <c r="A1" s="1763"/>
      <c r="B1" s="3180"/>
      <c r="C1" s="3180"/>
      <c r="D1" s="3180"/>
      <c r="E1" s="3180"/>
      <c r="F1" s="3180"/>
      <c r="G1" s="3180"/>
      <c r="H1" s="1763"/>
      <c r="J1" s="1765"/>
    </row>
    <row r="2" spans="1:15" s="1764" customFormat="1" ht="25.15" customHeight="1" x14ac:dyDescent="0.3">
      <c r="A2" s="1763"/>
      <c r="B2" s="3191" t="s">
        <v>92</v>
      </c>
      <c r="C2" s="3191"/>
      <c r="D2" s="3191"/>
      <c r="E2" s="3191"/>
      <c r="F2" s="3191"/>
      <c r="G2" s="3191"/>
      <c r="H2" s="1766"/>
      <c r="J2" s="1765"/>
    </row>
    <row r="3" spans="1:15" s="1764" customFormat="1" ht="25.15" customHeight="1" x14ac:dyDescent="0.3">
      <c r="A3" s="1763"/>
      <c r="B3" s="3191"/>
      <c r="C3" s="3191"/>
      <c r="D3" s="3191"/>
      <c r="E3" s="3191"/>
      <c r="F3" s="3191"/>
      <c r="G3" s="3191"/>
      <c r="H3" s="1763"/>
      <c r="J3" s="1765"/>
    </row>
    <row r="4" spans="1:15" s="1765" customFormat="1" ht="20.100000000000001" customHeight="1" x14ac:dyDescent="0.3">
      <c r="A4" s="1794"/>
      <c r="B4" s="1795" t="s">
        <v>198</v>
      </c>
      <c r="C4" s="1796"/>
      <c r="D4" s="1796" t="str">
        <f>BAHAN!D2</f>
        <v>: Renovasi Atap Gedung Paripurna DPRD Provsu</v>
      </c>
      <c r="E4" s="1797"/>
      <c r="F4" s="1797"/>
      <c r="G4" s="1797"/>
      <c r="H4" s="1767"/>
    </row>
    <row r="5" spans="1:15" s="1765" customFormat="1" ht="20.100000000000001" customHeight="1" x14ac:dyDescent="0.3">
      <c r="A5" s="1794"/>
      <c r="B5" s="1795" t="s">
        <v>199</v>
      </c>
      <c r="C5" s="1796"/>
      <c r="D5" s="1796" t="str">
        <f>BAHAN!D3</f>
        <v>: Jalan Imam Bonjol No. 5 Medan</v>
      </c>
      <c r="E5" s="1797"/>
      <c r="F5" s="1797"/>
      <c r="G5" s="1797"/>
      <c r="H5" s="1767"/>
    </row>
    <row r="6" spans="1:15" s="1765" customFormat="1" ht="20.100000000000001" customHeight="1" x14ac:dyDescent="0.3">
      <c r="A6" s="1794"/>
      <c r="B6" s="1795" t="s">
        <v>230</v>
      </c>
      <c r="C6" s="1796"/>
      <c r="D6" s="1796" t="str">
        <f>BAHAN!D4</f>
        <v>: 2022</v>
      </c>
      <c r="E6" s="1797"/>
      <c r="F6" s="1797"/>
      <c r="G6" s="1797"/>
      <c r="H6" s="1767"/>
    </row>
    <row r="7" spans="1:15" s="1764" customFormat="1" ht="12" customHeight="1" thickBot="1" x14ac:dyDescent="0.35">
      <c r="A7" s="1763"/>
      <c r="J7" s="1765"/>
    </row>
    <row r="8" spans="1:15" s="1769" customFormat="1" ht="25.15" customHeight="1" thickTop="1" x14ac:dyDescent="0.3">
      <c r="A8" s="1768"/>
      <c r="B8" s="3181" t="s">
        <v>93</v>
      </c>
      <c r="C8" s="3183" t="s">
        <v>94</v>
      </c>
      <c r="D8" s="3184"/>
      <c r="E8" s="3185"/>
      <c r="F8" s="3192" t="s">
        <v>580</v>
      </c>
      <c r="G8" s="3189" t="s">
        <v>581</v>
      </c>
      <c r="H8" s="1768"/>
      <c r="J8" s="1770"/>
    </row>
    <row r="9" spans="1:15" s="1769" customFormat="1" ht="25.15" customHeight="1" thickBot="1" x14ac:dyDescent="0.35">
      <c r="A9" s="1768"/>
      <c r="B9" s="3182"/>
      <c r="C9" s="3186"/>
      <c r="D9" s="3187"/>
      <c r="E9" s="3188"/>
      <c r="F9" s="3193"/>
      <c r="G9" s="3190"/>
      <c r="H9" s="1768"/>
      <c r="J9" s="1771" t="s">
        <v>1345</v>
      </c>
    </row>
    <row r="10" spans="1:15" s="1764" customFormat="1" ht="20.100000000000001" customHeight="1" x14ac:dyDescent="0.3">
      <c r="A10" s="1772"/>
      <c r="B10" s="1782">
        <v>1</v>
      </c>
      <c r="C10" s="1783" t="s">
        <v>96</v>
      </c>
      <c r="D10" s="1784"/>
      <c r="E10" s="1785"/>
      <c r="F10" s="1786">
        <f>J10</f>
        <v>200000</v>
      </c>
      <c r="G10" s="1787">
        <f>F10/ID!$D$11</f>
        <v>25000</v>
      </c>
      <c r="H10" s="1772"/>
      <c r="J10" s="1773">
        <v>200000</v>
      </c>
      <c r="K10" s="1774">
        <v>156000</v>
      </c>
      <c r="M10" s="1774">
        <v>125000</v>
      </c>
      <c r="O10" s="1775" t="e">
        <f>Rekap!E50</f>
        <v>#REF!</v>
      </c>
    </row>
    <row r="11" spans="1:15" s="1764" customFormat="1" ht="20.100000000000001" customHeight="1" x14ac:dyDescent="0.3">
      <c r="A11" s="1772"/>
      <c r="B11" s="1782">
        <f>B10+1</f>
        <v>2</v>
      </c>
      <c r="C11" s="1783" t="s">
        <v>48</v>
      </c>
      <c r="D11" s="1784"/>
      <c r="E11" s="1785"/>
      <c r="F11" s="1786">
        <f>J11</f>
        <v>185000</v>
      </c>
      <c r="G11" s="1787">
        <f>F11/ID!$D$11</f>
        <v>23125</v>
      </c>
      <c r="H11" s="1772"/>
      <c r="J11" s="1773">
        <v>185000</v>
      </c>
      <c r="K11" s="1774">
        <v>180000</v>
      </c>
      <c r="M11" s="1774">
        <v>135000</v>
      </c>
    </row>
    <row r="12" spans="1:15" s="1764" customFormat="1" ht="20.100000000000001" customHeight="1" x14ac:dyDescent="0.3">
      <c r="A12" s="1772"/>
      <c r="B12" s="1782">
        <f t="shared" ref="B12:B23" si="0">B11+1</f>
        <v>3</v>
      </c>
      <c r="C12" s="1783" t="s">
        <v>97</v>
      </c>
      <c r="D12" s="1784"/>
      <c r="E12" s="1785"/>
      <c r="F12" s="1786">
        <f>J12</f>
        <v>170000</v>
      </c>
      <c r="G12" s="1787">
        <f>F12/ID!$D$11</f>
        <v>21250</v>
      </c>
      <c r="H12" s="1772"/>
      <c r="J12" s="1773">
        <v>170000</v>
      </c>
      <c r="K12" s="1774">
        <v>150000</v>
      </c>
      <c r="M12" s="1774">
        <v>125000</v>
      </c>
    </row>
    <row r="13" spans="1:15" s="1764" customFormat="1" ht="20.100000000000001" customHeight="1" x14ac:dyDescent="0.3">
      <c r="A13" s="1772"/>
      <c r="B13" s="1782">
        <f t="shared" si="0"/>
        <v>4</v>
      </c>
      <c r="C13" s="1783" t="s">
        <v>71</v>
      </c>
      <c r="D13" s="1784"/>
      <c r="E13" s="1785"/>
      <c r="F13" s="1786">
        <v>115000</v>
      </c>
      <c r="G13" s="1787">
        <f>F13/ID!$D$11</f>
        <v>14375</v>
      </c>
      <c r="H13" s="1772"/>
      <c r="J13" s="1773">
        <v>110000</v>
      </c>
      <c r="K13" s="1774">
        <v>132000</v>
      </c>
      <c r="M13" s="1774">
        <v>100000</v>
      </c>
      <c r="O13" s="1776">
        <f>F13*24</f>
        <v>2760000</v>
      </c>
    </row>
    <row r="14" spans="1:15" s="1764" customFormat="1" ht="20.100000000000001" customHeight="1" x14ac:dyDescent="0.3">
      <c r="A14" s="1772"/>
      <c r="B14" s="1782">
        <f t="shared" si="0"/>
        <v>5</v>
      </c>
      <c r="C14" s="1783" t="s">
        <v>431</v>
      </c>
      <c r="D14" s="1784"/>
      <c r="E14" s="1785"/>
      <c r="F14" s="1786">
        <v>225000</v>
      </c>
      <c r="G14" s="1787">
        <f>F14/ID!$D$11</f>
        <v>28125</v>
      </c>
      <c r="H14" s="1772"/>
      <c r="J14" s="1773">
        <v>225000</v>
      </c>
      <c r="K14" s="1774">
        <v>300000</v>
      </c>
      <c r="M14" s="1774">
        <v>135000</v>
      </c>
    </row>
    <row r="15" spans="1:15" s="1764" customFormat="1" ht="20.100000000000001" customHeight="1" x14ac:dyDescent="0.3">
      <c r="A15" s="1772"/>
      <c r="B15" s="1782">
        <f t="shared" si="0"/>
        <v>6</v>
      </c>
      <c r="C15" s="1783" t="s">
        <v>98</v>
      </c>
      <c r="D15" s="1784"/>
      <c r="E15" s="1785"/>
      <c r="F15" s="1786">
        <v>180000</v>
      </c>
      <c r="G15" s="1787">
        <f>F15/ID!$D$11</f>
        <v>22500</v>
      </c>
      <c r="H15" s="1772"/>
      <c r="J15" s="1773">
        <v>180000</v>
      </c>
      <c r="K15" s="1774">
        <v>132000</v>
      </c>
      <c r="M15" s="1774">
        <v>100000</v>
      </c>
    </row>
    <row r="16" spans="1:15" s="1764" customFormat="1" ht="20.100000000000001" customHeight="1" x14ac:dyDescent="0.3">
      <c r="A16" s="1772"/>
      <c r="B16" s="1782">
        <f t="shared" si="0"/>
        <v>7</v>
      </c>
      <c r="C16" s="1783" t="s">
        <v>1394</v>
      </c>
      <c r="D16" s="1784"/>
      <c r="E16" s="1785"/>
      <c r="F16" s="1786">
        <v>225000</v>
      </c>
      <c r="G16" s="1787">
        <f>F16/ID!$D$11</f>
        <v>28125</v>
      </c>
      <c r="H16" s="1772"/>
      <c r="J16" s="1773">
        <v>225000</v>
      </c>
      <c r="K16" s="1774"/>
      <c r="M16" s="1774"/>
    </row>
    <row r="17" spans="1:15" s="1764" customFormat="1" ht="20.100000000000001" customHeight="1" x14ac:dyDescent="0.3">
      <c r="A17" s="1772"/>
      <c r="B17" s="1782">
        <f t="shared" si="0"/>
        <v>8</v>
      </c>
      <c r="C17" s="1783" t="s">
        <v>1395</v>
      </c>
      <c r="D17" s="1784"/>
      <c r="E17" s="1785"/>
      <c r="F17" s="1786">
        <v>125000</v>
      </c>
      <c r="G17" s="1787">
        <f>F17/ID!$D$11</f>
        <v>15625</v>
      </c>
      <c r="H17" s="1772"/>
      <c r="J17" s="1773">
        <v>125000</v>
      </c>
      <c r="K17" s="1774"/>
      <c r="M17" s="1774"/>
    </row>
    <row r="18" spans="1:15" s="1764" customFormat="1" ht="20.100000000000001" customHeight="1" x14ac:dyDescent="0.3">
      <c r="A18" s="1772"/>
      <c r="B18" s="1782">
        <f t="shared" si="0"/>
        <v>9</v>
      </c>
      <c r="C18" s="1783" t="s">
        <v>617</v>
      </c>
      <c r="D18" s="1784"/>
      <c r="E18" s="1785"/>
      <c r="F18" s="1786">
        <v>12500000</v>
      </c>
      <c r="G18" s="1787">
        <f>F18/ID!$D$11</f>
        <v>1562500</v>
      </c>
      <c r="H18" s="1772"/>
      <c r="J18" s="1773"/>
      <c r="K18" s="1774">
        <v>180000</v>
      </c>
      <c r="M18" s="1774">
        <v>125000</v>
      </c>
      <c r="O18" s="1764">
        <f>17-1-7</f>
        <v>9</v>
      </c>
    </row>
    <row r="19" spans="1:15" s="1764" customFormat="1" ht="20.100000000000001" customHeight="1" x14ac:dyDescent="0.3">
      <c r="A19" s="1772"/>
      <c r="B19" s="1782">
        <f t="shared" si="0"/>
        <v>10</v>
      </c>
      <c r="C19" s="1783" t="s">
        <v>629</v>
      </c>
      <c r="D19" s="1784"/>
      <c r="E19" s="1785"/>
      <c r="F19" s="1786">
        <v>200745</v>
      </c>
      <c r="G19" s="1787">
        <f>F19/ID!$D$11</f>
        <v>25093.125</v>
      </c>
      <c r="H19" s="1772"/>
      <c r="J19" s="1773"/>
      <c r="K19" s="1774">
        <v>150000</v>
      </c>
      <c r="M19" s="1774">
        <v>125000</v>
      </c>
    </row>
    <row r="20" spans="1:15" s="1764" customFormat="1" ht="20.100000000000001" customHeight="1" x14ac:dyDescent="0.3">
      <c r="A20" s="1772"/>
      <c r="B20" s="1782">
        <f t="shared" si="0"/>
        <v>11</v>
      </c>
      <c r="C20" s="1783" t="s">
        <v>676</v>
      </c>
      <c r="D20" s="1784"/>
      <c r="E20" s="1785"/>
      <c r="F20" s="1786">
        <v>7500000</v>
      </c>
      <c r="G20" s="1787">
        <f>F20/ID!$D$11</f>
        <v>937500</v>
      </c>
      <c r="H20" s="1772"/>
      <c r="J20" s="1773"/>
      <c r="K20" s="1774">
        <v>150000</v>
      </c>
      <c r="M20" s="1774">
        <v>125000</v>
      </c>
    </row>
    <row r="21" spans="1:15" s="1764" customFormat="1" ht="20.100000000000001" hidden="1" customHeight="1" x14ac:dyDescent="0.3">
      <c r="A21" s="1772"/>
      <c r="B21" s="1782">
        <f t="shared" si="0"/>
        <v>12</v>
      </c>
      <c r="C21" s="1607" t="s">
        <v>677</v>
      </c>
      <c r="D21" s="1784"/>
      <c r="E21" s="1785"/>
      <c r="F21" s="1786">
        <v>12500000</v>
      </c>
      <c r="G21" s="1787">
        <f>F21/ID!$D$11</f>
        <v>1562500</v>
      </c>
      <c r="H21" s="1772"/>
      <c r="J21" s="1773"/>
      <c r="K21" s="1774">
        <v>150000</v>
      </c>
      <c r="M21" s="1774">
        <v>125000</v>
      </c>
    </row>
    <row r="22" spans="1:15" s="1764" customFormat="1" ht="20.100000000000001" hidden="1" customHeight="1" x14ac:dyDescent="0.3">
      <c r="A22" s="1772"/>
      <c r="B22" s="1782">
        <f t="shared" si="0"/>
        <v>13</v>
      </c>
      <c r="C22" s="1607" t="s">
        <v>678</v>
      </c>
      <c r="D22" s="1784"/>
      <c r="E22" s="1785"/>
      <c r="F22" s="1786">
        <v>12500000</v>
      </c>
      <c r="G22" s="1787">
        <f>F22/ID!$D$11</f>
        <v>1562500</v>
      </c>
      <c r="H22" s="1772"/>
      <c r="J22" s="1773"/>
      <c r="K22" s="1774">
        <v>150000</v>
      </c>
      <c r="M22" s="1774">
        <v>125000</v>
      </c>
    </row>
    <row r="23" spans="1:15" s="1764" customFormat="1" ht="20.100000000000001" hidden="1" customHeight="1" x14ac:dyDescent="0.3">
      <c r="A23" s="1772"/>
      <c r="B23" s="1782">
        <f t="shared" si="0"/>
        <v>14</v>
      </c>
      <c r="C23" s="1607" t="s">
        <v>679</v>
      </c>
      <c r="D23" s="1784"/>
      <c r="E23" s="1785"/>
      <c r="F23" s="1786">
        <v>12500000</v>
      </c>
      <c r="G23" s="1787">
        <f>F23/ID!$D$11</f>
        <v>1562500</v>
      </c>
      <c r="H23" s="1772"/>
      <c r="J23" s="1773"/>
      <c r="K23" s="1774">
        <v>150000</v>
      </c>
      <c r="M23" s="1774">
        <v>125000</v>
      </c>
    </row>
    <row r="24" spans="1:15" s="1764" customFormat="1" ht="20.100000000000001" hidden="1" customHeight="1" x14ac:dyDescent="0.3">
      <c r="A24" s="1772"/>
      <c r="B24" s="1782"/>
      <c r="C24" s="1783"/>
      <c r="D24" s="1784"/>
      <c r="E24" s="1785"/>
      <c r="F24" s="1786"/>
      <c r="G24" s="1787"/>
      <c r="H24" s="1772"/>
      <c r="J24" s="1777"/>
      <c r="K24" s="1774">
        <v>150000</v>
      </c>
      <c r="M24" s="1774">
        <v>125000</v>
      </c>
    </row>
    <row r="25" spans="1:15" s="1764" customFormat="1" ht="20.100000000000001" customHeight="1" thickBot="1" x14ac:dyDescent="0.35">
      <c r="A25" s="1772"/>
      <c r="B25" s="1788"/>
      <c r="C25" s="1789"/>
      <c r="D25" s="1790"/>
      <c r="E25" s="1791"/>
      <c r="F25" s="1792"/>
      <c r="G25" s="1793"/>
      <c r="H25" s="1772"/>
      <c r="J25" s="1765"/>
    </row>
    <row r="26" spans="1:15" ht="18" thickTop="1" x14ac:dyDescent="0.3">
      <c r="A26" s="1778"/>
      <c r="B26" s="1779"/>
      <c r="C26" s="1778"/>
      <c r="D26" s="1779"/>
      <c r="E26" s="1779"/>
      <c r="F26" s="1780"/>
      <c r="G26" s="1778"/>
      <c r="H26" s="1778"/>
    </row>
  </sheetData>
  <mergeCells count="6">
    <mergeCell ref="B1:G1"/>
    <mergeCell ref="B8:B9"/>
    <mergeCell ref="C8:E9"/>
    <mergeCell ref="G8:G9"/>
    <mergeCell ref="B2:G3"/>
    <mergeCell ref="F8:F9"/>
  </mergeCells>
  <printOptions horizontalCentered="1"/>
  <pageMargins left="0.44" right="0.25" top="0.75" bottom="0.25" header="0" footer="0"/>
  <pageSetup paperSize="10002" scale="89" orientation="portrait" horizontalDpi="4294967293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2:X148"/>
  <sheetViews>
    <sheetView showGridLines="0" view="pageBreakPreview" topLeftCell="A13" zoomScaleNormal="70" zoomScaleSheetLayoutView="100" workbookViewId="0">
      <selection activeCell="W140" sqref="W140"/>
    </sheetView>
  </sheetViews>
  <sheetFormatPr defaultColWidth="9.28515625" defaultRowHeight="13.5" x14ac:dyDescent="0.25"/>
  <cols>
    <col min="1" max="1" width="1.42578125" style="2922" customWidth="1"/>
    <col min="2" max="2" width="3.7109375" style="2955" customWidth="1"/>
    <col min="3" max="3" width="3.5703125" style="2943" customWidth="1"/>
    <col min="4" max="4" width="29.7109375" style="2922" customWidth="1"/>
    <col min="5" max="5" width="9.140625" style="2932" customWidth="1"/>
    <col min="6" max="6" width="3.140625" style="2932" customWidth="1"/>
    <col min="7" max="7" width="6.7109375" style="2932" customWidth="1"/>
    <col min="8" max="8" width="2.28515625" style="2932" customWidth="1"/>
    <col min="9" max="9" width="6.7109375" style="2932" customWidth="1"/>
    <col min="10" max="10" width="2.28515625" style="2932" customWidth="1"/>
    <col min="11" max="11" width="9.7109375" style="2932" customWidth="1"/>
    <col min="12" max="12" width="2.28515625" style="2932" customWidth="1"/>
    <col min="13" max="13" width="7.85546875" style="2932" customWidth="1"/>
    <col min="14" max="14" width="2.28515625" style="2932" customWidth="1"/>
    <col min="15" max="15" width="8.5703125" style="2932" customWidth="1"/>
    <col min="16" max="16" width="2.28515625" style="2932" customWidth="1"/>
    <col min="17" max="17" width="10.7109375" style="2932" customWidth="1"/>
    <col min="18" max="18" width="2.28515625" style="2932" customWidth="1"/>
    <col min="19" max="19" width="10.7109375" style="2922" customWidth="1"/>
    <col min="20" max="20" width="11.42578125" style="2920" customWidth="1"/>
    <col min="21" max="21" width="4.28515625" style="2921" bestFit="1" customWidth="1"/>
    <col min="22" max="22" width="14.85546875" style="2922" customWidth="1"/>
    <col min="23" max="23" width="12.5703125" style="2922" bestFit="1" customWidth="1"/>
    <col min="24" max="24" width="11.28515625" style="2922" customWidth="1"/>
    <col min="25" max="25" width="13.7109375" style="2922" bestFit="1" customWidth="1"/>
    <col min="26" max="16384" width="9.28515625" style="2922"/>
  </cols>
  <sheetData>
    <row r="2" spans="2:24" s="2148" customFormat="1" ht="22.15" customHeight="1" x14ac:dyDescent="0.2">
      <c r="B2" s="3196" t="s">
        <v>1374</v>
      </c>
      <c r="C2" s="3196"/>
      <c r="D2" s="3196"/>
      <c r="E2" s="3196"/>
      <c r="F2" s="3196"/>
      <c r="G2" s="3196"/>
      <c r="H2" s="3196"/>
      <c r="I2" s="3196"/>
      <c r="J2" s="3196"/>
      <c r="K2" s="3196"/>
      <c r="L2" s="3196"/>
      <c r="M2" s="3196"/>
      <c r="N2" s="3196"/>
      <c r="O2" s="3196"/>
      <c r="P2" s="3196"/>
      <c r="Q2" s="3196"/>
      <c r="R2" s="3196"/>
      <c r="S2" s="3196"/>
      <c r="T2" s="3196"/>
      <c r="U2" s="3196"/>
    </row>
    <row r="3" spans="2:24" s="2892" customFormat="1" x14ac:dyDescent="0.25">
      <c r="B3" s="2952"/>
      <c r="C3" s="2889"/>
      <c r="D3" s="2890"/>
      <c r="E3" s="2891"/>
      <c r="F3" s="2891"/>
      <c r="G3" s="2891"/>
      <c r="H3" s="2891"/>
      <c r="I3" s="2891"/>
      <c r="J3" s="2891"/>
      <c r="K3" s="2891"/>
      <c r="L3" s="2891"/>
      <c r="M3" s="2891"/>
      <c r="N3" s="2891"/>
      <c r="O3" s="2891"/>
      <c r="P3" s="2891"/>
      <c r="Q3" s="2891"/>
      <c r="R3" s="2891"/>
      <c r="S3" s="2891"/>
      <c r="T3" s="2890" t="s">
        <v>183</v>
      </c>
      <c r="U3" s="2890" t="s">
        <v>184</v>
      </c>
    </row>
    <row r="4" spans="2:24" s="2894" customFormat="1" ht="12.75" x14ac:dyDescent="0.2">
      <c r="B4" s="2952" t="e">
        <f>'RAB (2)'!#REF!</f>
        <v>#REF!</v>
      </c>
      <c r="C4" s="2893" t="e">
        <f>'RAB (2)'!#REF!</f>
        <v>#REF!</v>
      </c>
      <c r="E4" s="2888"/>
      <c r="F4" s="2888"/>
      <c r="G4" s="2888"/>
      <c r="H4" s="2888"/>
      <c r="I4" s="2888"/>
      <c r="J4" s="2888"/>
      <c r="K4" s="2888"/>
      <c r="L4" s="2888"/>
      <c r="M4" s="2888"/>
      <c r="N4" s="2888"/>
      <c r="O4" s="2888"/>
      <c r="P4" s="2888"/>
      <c r="Q4" s="2888"/>
      <c r="R4" s="2888"/>
    </row>
    <row r="5" spans="2:24" s="1580" customFormat="1" ht="14.25" thickBot="1" x14ac:dyDescent="0.3">
      <c r="B5" s="2953"/>
      <c r="C5" s="2896" t="e">
        <f>'RAB (2)'!#REF!</f>
        <v>#REF!</v>
      </c>
      <c r="E5" s="2895"/>
      <c r="F5" s="2895"/>
      <c r="G5" s="2895"/>
      <c r="H5" s="2895"/>
      <c r="I5" s="2895"/>
      <c r="J5" s="2895"/>
      <c r="K5" s="2895"/>
      <c r="L5" s="2895"/>
      <c r="M5" s="2895"/>
      <c r="N5" s="2895"/>
      <c r="O5" s="2895"/>
      <c r="P5" s="2895"/>
      <c r="Q5" s="2895"/>
      <c r="R5" s="2895"/>
      <c r="T5" s="2897">
        <f>ROUNDDOWN(S14,2)</f>
        <v>31.2</v>
      </c>
      <c r="U5" s="2888" t="s">
        <v>3</v>
      </c>
    </row>
    <row r="6" spans="2:24" s="1580" customFormat="1" x14ac:dyDescent="0.25">
      <c r="B6" s="2954"/>
      <c r="C6" s="2898"/>
      <c r="D6" s="2899" t="s">
        <v>95</v>
      </c>
      <c r="E6" s="2900" t="s">
        <v>150</v>
      </c>
      <c r="F6" s="2900"/>
      <c r="G6" s="2900" t="s">
        <v>151</v>
      </c>
      <c r="H6" s="2900"/>
      <c r="I6" s="2900" t="s">
        <v>152</v>
      </c>
      <c r="J6" s="2900"/>
      <c r="K6" s="2900" t="s">
        <v>153</v>
      </c>
      <c r="L6" s="2901"/>
      <c r="M6" s="2901" t="s">
        <v>32</v>
      </c>
      <c r="N6" s="2901"/>
      <c r="O6" s="2901" t="s">
        <v>163</v>
      </c>
      <c r="P6" s="2901"/>
      <c r="Q6" s="2901" t="s">
        <v>1416</v>
      </c>
      <c r="R6" s="2901"/>
      <c r="S6" s="2902" t="s">
        <v>143</v>
      </c>
      <c r="T6" s="2894"/>
      <c r="U6" s="2888"/>
    </row>
    <row r="7" spans="2:24" s="1580" customFormat="1" x14ac:dyDescent="0.25">
      <c r="B7" s="2954"/>
      <c r="C7" s="2898"/>
      <c r="D7" s="2903" t="e">
        <f>C5</f>
        <v>#REF!</v>
      </c>
      <c r="E7" s="2904"/>
      <c r="F7" s="2905"/>
      <c r="G7" s="2904"/>
      <c r="H7" s="2905"/>
      <c r="I7" s="2904"/>
      <c r="J7" s="2905"/>
      <c r="K7" s="2904"/>
      <c r="L7" s="2904"/>
      <c r="M7" s="2904"/>
      <c r="N7" s="2904"/>
      <c r="O7" s="2904"/>
      <c r="P7" s="2904"/>
      <c r="Q7" s="2904"/>
      <c r="R7" s="2905"/>
      <c r="S7" s="2906"/>
      <c r="T7" s="2894"/>
      <c r="U7" s="2888"/>
    </row>
    <row r="8" spans="2:24" s="1580" customFormat="1" x14ac:dyDescent="0.25">
      <c r="B8" s="2954"/>
      <c r="C8" s="2898"/>
      <c r="D8" s="2907" t="s">
        <v>1417</v>
      </c>
      <c r="E8" s="2887">
        <v>4.75</v>
      </c>
      <c r="F8" s="2908"/>
      <c r="G8" s="2887">
        <v>0.2</v>
      </c>
      <c r="H8" s="2908">
        <v>1.25</v>
      </c>
      <c r="I8" s="2887">
        <v>5</v>
      </c>
      <c r="J8" s="2908"/>
      <c r="K8" s="2887">
        <v>2</v>
      </c>
      <c r="L8" s="2887"/>
      <c r="M8" s="2887"/>
      <c r="N8" s="2887"/>
      <c r="O8" s="2887"/>
      <c r="P8" s="2887"/>
      <c r="Q8" s="2887"/>
      <c r="R8" s="2908"/>
      <c r="S8" s="2909">
        <f>E8*K8*I8*G8</f>
        <v>9.5</v>
      </c>
      <c r="T8" s="2894"/>
      <c r="U8" s="2888"/>
    </row>
    <row r="9" spans="2:24" s="1580" customFormat="1" x14ac:dyDescent="0.25">
      <c r="B9" s="2954"/>
      <c r="C9" s="2898"/>
      <c r="D9" s="2907"/>
      <c r="E9" s="2974">
        <v>5.6</v>
      </c>
      <c r="F9" s="2908"/>
      <c r="G9" s="2887">
        <v>1.75</v>
      </c>
      <c r="H9" s="2908"/>
      <c r="I9" s="2887"/>
      <c r="J9" s="2908"/>
      <c r="K9" s="2887">
        <v>1</v>
      </c>
      <c r="L9" s="2887"/>
      <c r="M9" s="2887"/>
      <c r="N9" s="2887"/>
      <c r="O9" s="2887"/>
      <c r="P9" s="2887"/>
      <c r="Q9" s="2887"/>
      <c r="R9" s="2908"/>
      <c r="S9" s="2909">
        <f>E9*G9*K9</f>
        <v>9.7999999999999989</v>
      </c>
      <c r="T9" s="2894"/>
      <c r="U9" s="2888"/>
    </row>
    <row r="10" spans="2:24" s="1580" customFormat="1" x14ac:dyDescent="0.25">
      <c r="B10" s="2954"/>
      <c r="C10" s="2898"/>
      <c r="D10" s="2907" t="s">
        <v>1418</v>
      </c>
      <c r="E10" s="2974">
        <v>34.700000000000003</v>
      </c>
      <c r="F10" s="2908"/>
      <c r="G10" s="2887">
        <v>0.25</v>
      </c>
      <c r="H10" s="2908"/>
      <c r="I10" s="2887"/>
      <c r="J10" s="2908"/>
      <c r="K10" s="2887">
        <v>1</v>
      </c>
      <c r="L10" s="2887"/>
      <c r="M10" s="2887"/>
      <c r="N10" s="2887"/>
      <c r="O10" s="2887"/>
      <c r="P10" s="2887"/>
      <c r="Q10" s="2887"/>
      <c r="R10" s="2908"/>
      <c r="S10" s="2909">
        <f>E10*G10*K10</f>
        <v>8.6750000000000007</v>
      </c>
      <c r="T10" s="2894"/>
      <c r="U10" s="2888"/>
    </row>
    <row r="11" spans="2:24" s="1580" customFormat="1" x14ac:dyDescent="0.25">
      <c r="B11" s="2954"/>
      <c r="C11" s="2898"/>
      <c r="D11" s="2937"/>
      <c r="E11" s="2975">
        <v>7.3</v>
      </c>
      <c r="F11" s="2939"/>
      <c r="G11" s="2938">
        <f>G10</f>
        <v>0.25</v>
      </c>
      <c r="H11" s="2939"/>
      <c r="I11" s="2938"/>
      <c r="J11" s="2939"/>
      <c r="K11" s="2938"/>
      <c r="L11" s="2938"/>
      <c r="M11" s="2938"/>
      <c r="N11" s="2938"/>
      <c r="O11" s="2938"/>
      <c r="P11" s="2938"/>
      <c r="Q11" s="2938"/>
      <c r="R11" s="2939"/>
      <c r="S11" s="2940">
        <f>E11*G11</f>
        <v>1.825</v>
      </c>
      <c r="T11" s="2894"/>
      <c r="U11" s="2888"/>
    </row>
    <row r="12" spans="2:24" s="1580" customFormat="1" x14ac:dyDescent="0.25">
      <c r="B12" s="2954"/>
      <c r="C12" s="2898"/>
      <c r="D12" s="2937" t="s">
        <v>1466</v>
      </c>
      <c r="E12" s="2975">
        <v>0.35</v>
      </c>
      <c r="F12" s="2939"/>
      <c r="G12" s="2938"/>
      <c r="H12" s="2939"/>
      <c r="I12" s="2938"/>
      <c r="J12" s="2939"/>
      <c r="K12" s="2938">
        <v>4</v>
      </c>
      <c r="L12" s="2938"/>
      <c r="M12" s="2938"/>
      <c r="N12" s="2938"/>
      <c r="O12" s="2938"/>
      <c r="P12" s="2938"/>
      <c r="Q12" s="2938"/>
      <c r="R12" s="2939"/>
      <c r="S12" s="2940">
        <f>K12*E12</f>
        <v>1.4</v>
      </c>
      <c r="T12" s="2894" t="s">
        <v>1469</v>
      </c>
      <c r="U12" s="2888"/>
    </row>
    <row r="13" spans="2:24" s="2892" customFormat="1" x14ac:dyDescent="0.25">
      <c r="B13" s="2954"/>
      <c r="C13" s="2910"/>
      <c r="D13" s="2911"/>
      <c r="E13" s="2912"/>
      <c r="F13" s="2912"/>
      <c r="G13" s="2912"/>
      <c r="H13" s="2912"/>
      <c r="I13" s="2912"/>
      <c r="J13" s="2912"/>
      <c r="K13" s="2912"/>
      <c r="L13" s="2912"/>
      <c r="M13" s="2912"/>
      <c r="N13" s="2912"/>
      <c r="O13" s="2912"/>
      <c r="P13" s="2912"/>
      <c r="Q13" s="2912"/>
      <c r="R13" s="2912"/>
      <c r="S13" s="2913"/>
      <c r="T13" s="2976" t="s">
        <v>1468</v>
      </c>
      <c r="U13" s="2890"/>
    </row>
    <row r="14" spans="2:24" s="2892" customFormat="1" ht="14.25" thickBot="1" x14ac:dyDescent="0.3">
      <c r="B14" s="2954"/>
      <c r="C14" s="2910"/>
      <c r="D14" s="3194" t="s">
        <v>164</v>
      </c>
      <c r="E14" s="3195"/>
      <c r="F14" s="3195"/>
      <c r="G14" s="3195"/>
      <c r="H14" s="3195"/>
      <c r="I14" s="3195"/>
      <c r="J14" s="2914"/>
      <c r="K14" s="2915"/>
      <c r="L14" s="2914"/>
      <c r="M14" s="2914"/>
      <c r="N14" s="2914"/>
      <c r="O14" s="2914"/>
      <c r="P14" s="2914"/>
      <c r="Q14" s="2914"/>
      <c r="R14" s="2914"/>
      <c r="S14" s="2916">
        <f>SUM(S8:S13)</f>
        <v>31.199999999999996</v>
      </c>
      <c r="T14" s="2897"/>
      <c r="U14" s="2890"/>
    </row>
    <row r="15" spans="2:24" x14ac:dyDescent="0.25">
      <c r="C15" s="2917"/>
      <c r="D15" s="2918"/>
      <c r="E15" s="2918"/>
      <c r="F15" s="2918"/>
      <c r="G15" s="2918"/>
      <c r="H15" s="2918"/>
      <c r="I15" s="2918"/>
      <c r="J15" s="2918"/>
      <c r="K15" s="2918"/>
      <c r="L15" s="2918"/>
      <c r="M15" s="2918"/>
      <c r="N15" s="2918"/>
      <c r="O15" s="2918"/>
      <c r="P15" s="2918"/>
      <c r="Q15" s="2918"/>
      <c r="R15" s="2918"/>
      <c r="S15" s="2919"/>
      <c r="W15" s="2892"/>
      <c r="X15" s="2892"/>
    </row>
    <row r="16" spans="2:24" s="1580" customFormat="1" ht="14.25" thickBot="1" x14ac:dyDescent="0.3">
      <c r="B16" s="2953"/>
      <c r="C16" s="2896" t="e">
        <f>'RAB (2)'!#REF!</f>
        <v>#REF!</v>
      </c>
      <c r="E16" s="2895"/>
      <c r="F16" s="2895"/>
      <c r="G16" s="2895"/>
      <c r="H16" s="2895"/>
      <c r="I16" s="2895"/>
      <c r="J16" s="2895"/>
      <c r="K16" s="2895"/>
      <c r="L16" s="2895"/>
      <c r="M16" s="2895"/>
      <c r="N16" s="2895"/>
      <c r="O16" s="2895"/>
      <c r="P16" s="2895"/>
      <c r="Q16" s="2895"/>
      <c r="R16" s="2895"/>
      <c r="T16" s="2897">
        <f>ROUNDDOWN(S31,2)</f>
        <v>5907.15</v>
      </c>
      <c r="U16" s="2888" t="s">
        <v>0</v>
      </c>
    </row>
    <row r="17" spans="2:24" s="1580" customFormat="1" x14ac:dyDescent="0.25">
      <c r="B17" s="2954"/>
      <c r="C17" s="2898"/>
      <c r="D17" s="2899" t="s">
        <v>95</v>
      </c>
      <c r="E17" s="2900" t="s">
        <v>150</v>
      </c>
      <c r="F17" s="2900"/>
      <c r="G17" s="2900" t="s">
        <v>151</v>
      </c>
      <c r="H17" s="2900"/>
      <c r="I17" s="2900" t="s">
        <v>152</v>
      </c>
      <c r="J17" s="2900"/>
      <c r="K17" s="2900" t="s">
        <v>153</v>
      </c>
      <c r="L17" s="2901"/>
      <c r="M17" s="2901" t="s">
        <v>32</v>
      </c>
      <c r="N17" s="2901"/>
      <c r="O17" s="2901" t="s">
        <v>163</v>
      </c>
      <c r="P17" s="2901"/>
      <c r="Q17" s="2901" t="s">
        <v>151</v>
      </c>
      <c r="R17" s="2901"/>
      <c r="S17" s="2902" t="s">
        <v>143</v>
      </c>
      <c r="T17" s="2894"/>
      <c r="U17" s="2888"/>
    </row>
    <row r="18" spans="2:24" s="1580" customFormat="1" x14ac:dyDescent="0.25">
      <c r="B18" s="2954"/>
      <c r="C18" s="2898"/>
      <c r="D18" s="2903" t="e">
        <f>C16</f>
        <v>#REF!</v>
      </c>
      <c r="E18" s="2904"/>
      <c r="F18" s="2905"/>
      <c r="G18" s="2904"/>
      <c r="H18" s="2905"/>
      <c r="I18" s="2904"/>
      <c r="J18" s="2905"/>
      <c r="K18" s="2904"/>
      <c r="L18" s="2904"/>
      <c r="M18" s="2904"/>
      <c r="N18" s="2904"/>
      <c r="O18" s="2904"/>
      <c r="P18" s="2904"/>
      <c r="Q18" s="2904"/>
      <c r="R18" s="2905"/>
      <c r="S18" s="2906"/>
      <c r="T18" s="2894"/>
      <c r="U18" s="2888"/>
    </row>
    <row r="19" spans="2:24" s="1580" customFormat="1" x14ac:dyDescent="0.25">
      <c r="B19" s="2954"/>
      <c r="C19" s="2898"/>
      <c r="D19" s="2907" t="s">
        <v>1417</v>
      </c>
      <c r="E19" s="2887">
        <f>E8</f>
        <v>4.75</v>
      </c>
      <c r="F19" s="2908" t="s">
        <v>185</v>
      </c>
      <c r="G19" s="2887"/>
      <c r="H19" s="2908"/>
      <c r="I19" s="2887"/>
      <c r="J19" s="2908"/>
      <c r="K19" s="2887">
        <f>K8</f>
        <v>2</v>
      </c>
      <c r="L19" s="2887"/>
      <c r="M19" s="2887">
        <f>E20/0.15+1</f>
        <v>34.333333333333336</v>
      </c>
      <c r="N19" s="2887"/>
      <c r="O19" s="2887">
        <f>19*19*0.00625</f>
        <v>2.2562500000000001</v>
      </c>
      <c r="P19" s="2887"/>
      <c r="Q19" s="2887"/>
      <c r="R19" s="2908"/>
      <c r="S19" s="2909">
        <f>E19*K19*M19*O19</f>
        <v>735.91354166666679</v>
      </c>
      <c r="T19" s="2894"/>
      <c r="U19" s="2888"/>
      <c r="V19" s="1580">
        <f>74-63</f>
        <v>11</v>
      </c>
      <c r="W19" s="1580" t="s">
        <v>1463</v>
      </c>
    </row>
    <row r="20" spans="2:24" s="1580" customFormat="1" x14ac:dyDescent="0.25">
      <c r="B20" s="2954"/>
      <c r="C20" s="2898"/>
      <c r="D20" s="2907"/>
      <c r="E20" s="2887">
        <f>I8</f>
        <v>5</v>
      </c>
      <c r="F20" s="2908" t="s">
        <v>1419</v>
      </c>
      <c r="G20" s="2887"/>
      <c r="H20" s="2908"/>
      <c r="I20" s="2887"/>
      <c r="J20" s="2908"/>
      <c r="K20" s="2887">
        <v>2</v>
      </c>
      <c r="L20" s="2887"/>
      <c r="M20" s="2887">
        <f>E19/0.15+1</f>
        <v>32.666666666666671</v>
      </c>
      <c r="N20" s="2887"/>
      <c r="O20" s="2887">
        <f>O19</f>
        <v>2.2562500000000001</v>
      </c>
      <c r="P20" s="2887"/>
      <c r="Q20" s="2887"/>
      <c r="R20" s="2908"/>
      <c r="S20" s="2909">
        <f>E20*K20*M20*O20</f>
        <v>737.04166666666686</v>
      </c>
      <c r="T20" s="2894"/>
      <c r="U20" s="2888"/>
      <c r="V20" s="1580">
        <f>74-69</f>
        <v>5</v>
      </c>
      <c r="W20" s="1580" t="s">
        <v>1464</v>
      </c>
    </row>
    <row r="21" spans="2:24" s="1580" customFormat="1" x14ac:dyDescent="0.25">
      <c r="B21" s="2954"/>
      <c r="C21" s="2898"/>
      <c r="D21" s="2907" t="s">
        <v>1467</v>
      </c>
      <c r="E21" s="2887">
        <v>11.2</v>
      </c>
      <c r="F21" s="2908" t="s">
        <v>185</v>
      </c>
      <c r="G21" s="2887"/>
      <c r="H21" s="2908"/>
      <c r="I21" s="2887"/>
      <c r="J21" s="2908"/>
      <c r="K21" s="2887">
        <v>1</v>
      </c>
      <c r="L21" s="2887"/>
      <c r="M21" s="2887">
        <f>E22/0.15+1</f>
        <v>12.666666666666668</v>
      </c>
      <c r="N21" s="2887"/>
      <c r="O21" s="2887">
        <f>O19</f>
        <v>2.2562500000000001</v>
      </c>
      <c r="P21" s="2887"/>
      <c r="Q21" s="2887"/>
      <c r="R21" s="2908"/>
      <c r="S21" s="2909">
        <f t="shared" ref="S21:S22" si="0">E21*K21*M21*O21</f>
        <v>320.0866666666667</v>
      </c>
      <c r="T21" s="2894"/>
      <c r="U21" s="2888"/>
    </row>
    <row r="22" spans="2:24" s="1580" customFormat="1" x14ac:dyDescent="0.25">
      <c r="B22" s="2954"/>
      <c r="C22" s="2898"/>
      <c r="D22" s="2907"/>
      <c r="E22" s="2887">
        <f>G9</f>
        <v>1.75</v>
      </c>
      <c r="F22" s="2908" t="s">
        <v>1419</v>
      </c>
      <c r="G22" s="2887"/>
      <c r="H22" s="2908"/>
      <c r="I22" s="2887"/>
      <c r="J22" s="2908"/>
      <c r="K22" s="2887">
        <v>1</v>
      </c>
      <c r="L22" s="2887"/>
      <c r="M22" s="2887">
        <f>E21/0.15+1</f>
        <v>75.666666666666671</v>
      </c>
      <c r="N22" s="2887"/>
      <c r="O22" s="2887">
        <f>O20</f>
        <v>2.2562500000000001</v>
      </c>
      <c r="P22" s="2887"/>
      <c r="Q22" s="2887"/>
      <c r="R22" s="2908"/>
      <c r="S22" s="2909">
        <f t="shared" si="0"/>
        <v>298.76510416666673</v>
      </c>
      <c r="T22" s="2894"/>
      <c r="U22" s="2888"/>
    </row>
    <row r="23" spans="2:24" s="1580" customFormat="1" x14ac:dyDescent="0.25">
      <c r="B23" s="2954"/>
      <c r="C23" s="2898"/>
      <c r="D23" s="2907" t="s">
        <v>1470</v>
      </c>
      <c r="E23" s="2887">
        <v>4.75</v>
      </c>
      <c r="F23" s="2908" t="s">
        <v>185</v>
      </c>
      <c r="G23" s="2887"/>
      <c r="H23" s="2908"/>
      <c r="I23" s="2887"/>
      <c r="J23" s="2908"/>
      <c r="K23" s="2887">
        <f>K10</f>
        <v>1</v>
      </c>
      <c r="L23" s="2887"/>
      <c r="M23" s="2887">
        <f>(E24/0.15+1)+(E25/0.15+1)</f>
        <v>23.666666666666668</v>
      </c>
      <c r="N23" s="2887"/>
      <c r="O23" s="2887">
        <f>O20</f>
        <v>2.2562500000000001</v>
      </c>
      <c r="P23" s="2887"/>
      <c r="Q23" s="2887"/>
      <c r="R23" s="2908"/>
      <c r="S23" s="2909">
        <f t="shared" ref="S23:S28" si="1">E23*K23*M23*O23</f>
        <v>253.64010416666667</v>
      </c>
      <c r="T23" s="2894"/>
      <c r="U23" s="2888"/>
      <c r="V23" s="1580">
        <f>72-69</f>
        <v>3</v>
      </c>
      <c r="W23" s="1580" t="s">
        <v>1464</v>
      </c>
    </row>
    <row r="24" spans="2:24" s="1580" customFormat="1" x14ac:dyDescent="0.25">
      <c r="B24" s="2954"/>
      <c r="C24" s="2898"/>
      <c r="D24" s="2907"/>
      <c r="E24" s="2887">
        <v>1.75</v>
      </c>
      <c r="F24" s="2908" t="s">
        <v>1419</v>
      </c>
      <c r="G24" s="2887"/>
      <c r="H24" s="2908"/>
      <c r="I24" s="2887"/>
      <c r="J24" s="2908"/>
      <c r="K24" s="2887">
        <v>2</v>
      </c>
      <c r="L24" s="2887"/>
      <c r="M24" s="2887">
        <f>E23/0.15+1</f>
        <v>32.666666666666671</v>
      </c>
      <c r="N24" s="2887"/>
      <c r="O24" s="2887">
        <f>O23</f>
        <v>2.2562500000000001</v>
      </c>
      <c r="P24" s="2887"/>
      <c r="Q24" s="2887"/>
      <c r="R24" s="2908"/>
      <c r="S24" s="2909">
        <f t="shared" si="1"/>
        <v>257.96458333333334</v>
      </c>
      <c r="T24" s="2894"/>
      <c r="U24" s="2888"/>
    </row>
    <row r="25" spans="2:24" s="1580" customFormat="1" x14ac:dyDescent="0.25">
      <c r="B25" s="2954"/>
      <c r="C25" s="2898"/>
      <c r="D25" s="2907"/>
      <c r="E25" s="2887">
        <v>1.5</v>
      </c>
      <c r="F25" s="2908" t="s">
        <v>1419</v>
      </c>
      <c r="G25" s="2887"/>
      <c r="H25" s="2908"/>
      <c r="I25" s="2887"/>
      <c r="J25" s="2908"/>
      <c r="K25" s="2887">
        <v>2</v>
      </c>
      <c r="L25" s="2887"/>
      <c r="M25" s="2887">
        <f>E23/0.15+1</f>
        <v>32.666666666666671</v>
      </c>
      <c r="N25" s="2887"/>
      <c r="O25" s="2887">
        <f>O24</f>
        <v>2.2562500000000001</v>
      </c>
      <c r="P25" s="2887"/>
      <c r="Q25" s="2887"/>
      <c r="R25" s="2908"/>
      <c r="S25" s="2909">
        <f t="shared" si="1"/>
        <v>221.11250000000004</v>
      </c>
      <c r="T25" s="2894"/>
      <c r="U25" s="2888"/>
    </row>
    <row r="26" spans="2:24" s="1580" customFormat="1" x14ac:dyDescent="0.25">
      <c r="B26" s="2954"/>
      <c r="C26" s="2898"/>
      <c r="D26" s="2907" t="s">
        <v>1471</v>
      </c>
      <c r="E26" s="2887">
        <v>5</v>
      </c>
      <c r="F26" s="2908" t="s">
        <v>185</v>
      </c>
      <c r="G26" s="2887"/>
      <c r="H26" s="2908"/>
      <c r="I26" s="2887"/>
      <c r="J26" s="2908"/>
      <c r="K26" s="2887">
        <v>2</v>
      </c>
      <c r="L26" s="2887"/>
      <c r="M26" s="2887">
        <f>E27/0.2+1</f>
        <v>65</v>
      </c>
      <c r="N26" s="2887"/>
      <c r="O26" s="2887">
        <f>O25</f>
        <v>2.2562500000000001</v>
      </c>
      <c r="P26" s="2887"/>
      <c r="Q26" s="2887"/>
      <c r="R26" s="2908"/>
      <c r="S26" s="2909">
        <f t="shared" si="1"/>
        <v>1466.5625</v>
      </c>
      <c r="T26" s="2894"/>
      <c r="U26" s="2888"/>
    </row>
    <row r="27" spans="2:24" s="1580" customFormat="1" x14ac:dyDescent="0.25">
      <c r="B27" s="2954"/>
      <c r="C27" s="2898"/>
      <c r="D27" s="2907"/>
      <c r="E27" s="2887">
        <v>12.8</v>
      </c>
      <c r="F27" s="2908" t="s">
        <v>1419</v>
      </c>
      <c r="G27" s="2887"/>
      <c r="H27" s="2908"/>
      <c r="I27" s="2887"/>
      <c r="J27" s="2908"/>
      <c r="K27" s="2887">
        <v>2</v>
      </c>
      <c r="L27" s="2887"/>
      <c r="M27" s="2887">
        <f>E26/0.2+1</f>
        <v>26</v>
      </c>
      <c r="N27" s="2887"/>
      <c r="O27" s="2887">
        <f>O26</f>
        <v>2.2562500000000001</v>
      </c>
      <c r="P27" s="2887"/>
      <c r="Q27" s="2887"/>
      <c r="R27" s="2908"/>
      <c r="S27" s="2909">
        <f t="shared" si="1"/>
        <v>1501.7600000000002</v>
      </c>
      <c r="T27" s="2894"/>
      <c r="U27" s="2888"/>
    </row>
    <row r="28" spans="2:24" s="1580" customFormat="1" x14ac:dyDescent="0.25">
      <c r="B28" s="2954"/>
      <c r="C28" s="2898"/>
      <c r="D28" s="2907" t="s">
        <v>1466</v>
      </c>
      <c r="E28" s="2887">
        <f>E12</f>
        <v>0.35</v>
      </c>
      <c r="F28" s="2908" t="s">
        <v>185</v>
      </c>
      <c r="G28" s="2887"/>
      <c r="H28" s="2908"/>
      <c r="I28" s="2887"/>
      <c r="J28" s="2908"/>
      <c r="K28" s="2887">
        <f>K23</f>
        <v>1</v>
      </c>
      <c r="L28" s="2887"/>
      <c r="M28" s="2887">
        <f>E23/0.2+1</f>
        <v>24.75</v>
      </c>
      <c r="N28" s="2887"/>
      <c r="O28" s="2887">
        <f>O19</f>
        <v>2.2562500000000001</v>
      </c>
      <c r="P28" s="2887"/>
      <c r="Q28" s="2887"/>
      <c r="R28" s="2908"/>
      <c r="S28" s="2909">
        <f t="shared" si="1"/>
        <v>19.544765625</v>
      </c>
      <c r="T28" s="2894"/>
      <c r="U28" s="2888"/>
    </row>
    <row r="29" spans="2:24" s="2892" customFormat="1" x14ac:dyDescent="0.25">
      <c r="B29" s="2954"/>
      <c r="C29" s="2910"/>
      <c r="D29" s="2907"/>
      <c r="E29" s="2887">
        <v>1.75</v>
      </c>
      <c r="F29" s="2908" t="s">
        <v>1419</v>
      </c>
      <c r="G29" s="2887"/>
      <c r="H29" s="2908"/>
      <c r="I29" s="2887"/>
      <c r="J29" s="2908"/>
      <c r="K29" s="2887">
        <f>K12</f>
        <v>4</v>
      </c>
      <c r="L29" s="2887"/>
      <c r="M29" s="2887">
        <v>6</v>
      </c>
      <c r="N29" s="2887"/>
      <c r="O29" s="2887">
        <f>O28</f>
        <v>2.2562500000000001</v>
      </c>
      <c r="P29" s="2887"/>
      <c r="Q29" s="2887"/>
      <c r="R29" s="2908"/>
      <c r="S29" s="2909">
        <f>O29*M29*E29*K29</f>
        <v>94.762500000000017</v>
      </c>
      <c r="T29" s="2897"/>
      <c r="U29" s="2890"/>
      <c r="V29" s="2892">
        <f>69-63</f>
        <v>6</v>
      </c>
      <c r="W29" s="2892" t="s">
        <v>1465</v>
      </c>
    </row>
    <row r="30" spans="2:24" s="2892" customFormat="1" x14ac:dyDescent="0.25">
      <c r="B30" s="2954"/>
      <c r="C30" s="2910"/>
      <c r="D30" s="2907"/>
      <c r="E30" s="2887"/>
      <c r="F30" s="2908"/>
      <c r="G30" s="2887"/>
      <c r="H30" s="2908"/>
      <c r="I30" s="2887"/>
      <c r="J30" s="2908"/>
      <c r="K30" s="2887"/>
      <c r="L30" s="2887"/>
      <c r="M30" s="2887"/>
      <c r="N30" s="2887"/>
      <c r="O30" s="2887"/>
      <c r="P30" s="2887"/>
      <c r="Q30" s="2887"/>
      <c r="R30" s="2908"/>
      <c r="S30" s="2909"/>
      <c r="T30" s="2897"/>
      <c r="U30" s="2890"/>
    </row>
    <row r="31" spans="2:24" ht="14.25" thickBot="1" x14ac:dyDescent="0.3">
      <c r="C31" s="2917"/>
      <c r="D31" s="3194" t="s">
        <v>164</v>
      </c>
      <c r="E31" s="3195"/>
      <c r="F31" s="3195"/>
      <c r="G31" s="3195"/>
      <c r="H31" s="3195"/>
      <c r="I31" s="3195"/>
      <c r="J31" s="2914"/>
      <c r="K31" s="2915"/>
      <c r="L31" s="2914"/>
      <c r="M31" s="2914"/>
      <c r="N31" s="2914"/>
      <c r="O31" s="2914"/>
      <c r="P31" s="2914"/>
      <c r="Q31" s="2914"/>
      <c r="R31" s="2914"/>
      <c r="S31" s="2916">
        <f>SUM(S19:S29)</f>
        <v>5907.1539322916678</v>
      </c>
      <c r="W31" s="2923"/>
      <c r="X31" s="2892"/>
    </row>
    <row r="32" spans="2:24" x14ac:dyDescent="0.25">
      <c r="C32" s="2917"/>
      <c r="D32" s="2918"/>
      <c r="E32" s="2918"/>
      <c r="F32" s="2918"/>
      <c r="G32" s="2918"/>
      <c r="H32" s="2918"/>
      <c r="I32" s="2918"/>
      <c r="J32" s="2918"/>
      <c r="K32" s="2918"/>
      <c r="L32" s="2918"/>
      <c r="M32" s="2918"/>
      <c r="N32" s="2918"/>
      <c r="O32" s="2918"/>
      <c r="P32" s="2918"/>
      <c r="Q32" s="2918"/>
      <c r="R32" s="2918"/>
      <c r="S32" s="2924"/>
    </row>
    <row r="33" spans="2:21" ht="14.25" thickBot="1" x14ac:dyDescent="0.3">
      <c r="C33" s="2896" t="e">
        <f>'RAB (2)'!#REF!</f>
        <v>#REF!</v>
      </c>
      <c r="D33" s="1580"/>
      <c r="E33" s="2895"/>
      <c r="F33" s="2895"/>
      <c r="G33" s="2895"/>
      <c r="H33" s="2895"/>
      <c r="I33" s="2895"/>
      <c r="J33" s="2895"/>
      <c r="K33" s="2895"/>
      <c r="L33" s="2895"/>
      <c r="M33" s="2895"/>
      <c r="N33" s="2895"/>
      <c r="O33" s="2895"/>
      <c r="P33" s="2895"/>
      <c r="Q33" s="2895"/>
      <c r="R33" s="2895"/>
      <c r="S33" s="1580"/>
      <c r="T33" s="2897">
        <f>ROUNDDOWN(S40,2)</f>
        <v>63.25</v>
      </c>
      <c r="U33" s="2888" t="s">
        <v>2</v>
      </c>
    </row>
    <row r="34" spans="2:21" x14ac:dyDescent="0.25">
      <c r="C34" s="2898"/>
      <c r="D34" s="2899" t="s">
        <v>95</v>
      </c>
      <c r="E34" s="2900" t="s">
        <v>150</v>
      </c>
      <c r="F34" s="2900"/>
      <c r="G34" s="2900" t="s">
        <v>151</v>
      </c>
      <c r="H34" s="2900"/>
      <c r="I34" s="2900" t="s">
        <v>152</v>
      </c>
      <c r="J34" s="2900"/>
      <c r="K34" s="2900" t="s">
        <v>153</v>
      </c>
      <c r="L34" s="2901"/>
      <c r="M34" s="2901" t="s">
        <v>32</v>
      </c>
      <c r="N34" s="2901"/>
      <c r="O34" s="2901" t="s">
        <v>163</v>
      </c>
      <c r="P34" s="2901"/>
      <c r="Q34" s="2901" t="s">
        <v>151</v>
      </c>
      <c r="R34" s="2901"/>
      <c r="S34" s="2902" t="s">
        <v>143</v>
      </c>
      <c r="T34" s="2894"/>
      <c r="U34" s="2888"/>
    </row>
    <row r="35" spans="2:21" x14ac:dyDescent="0.25">
      <c r="C35" s="2898"/>
      <c r="D35" s="2903" t="e">
        <f>C33</f>
        <v>#REF!</v>
      </c>
      <c r="E35" s="2904"/>
      <c r="F35" s="2905"/>
      <c r="G35" s="2904"/>
      <c r="H35" s="2905"/>
      <c r="I35" s="2904"/>
      <c r="J35" s="2905"/>
      <c r="K35" s="2904"/>
      <c r="L35" s="2904"/>
      <c r="M35" s="2904"/>
      <c r="N35" s="2904"/>
      <c r="O35" s="2904"/>
      <c r="P35" s="2904"/>
      <c r="Q35" s="2904"/>
      <c r="R35" s="2905"/>
      <c r="S35" s="2906"/>
      <c r="T35" s="2894"/>
      <c r="U35" s="2888"/>
    </row>
    <row r="36" spans="2:21" x14ac:dyDescent="0.25">
      <c r="C36" s="2898"/>
      <c r="D36" s="2907" t="s">
        <v>1417</v>
      </c>
      <c r="E36" s="2887">
        <f>E19</f>
        <v>4.75</v>
      </c>
      <c r="F36" s="2908"/>
      <c r="G36" s="2887"/>
      <c r="H36" s="2908"/>
      <c r="I36" s="2887">
        <f>E19</f>
        <v>4.75</v>
      </c>
      <c r="J36" s="2908"/>
      <c r="K36" s="2887"/>
      <c r="L36" s="2887"/>
      <c r="M36" s="2887"/>
      <c r="N36" s="2887"/>
      <c r="O36" s="2887">
        <v>2</v>
      </c>
      <c r="P36" s="2887"/>
      <c r="Q36" s="2887"/>
      <c r="R36" s="2908"/>
      <c r="S36" s="2909">
        <f>E36*I36*O36</f>
        <v>45.125</v>
      </c>
      <c r="T36" s="2894"/>
      <c r="U36" s="2888"/>
    </row>
    <row r="37" spans="2:21" x14ac:dyDescent="0.25">
      <c r="C37" s="2898"/>
      <c r="D37" s="2907" t="s">
        <v>1418</v>
      </c>
      <c r="E37" s="2887">
        <v>40</v>
      </c>
      <c r="F37" s="2908"/>
      <c r="G37" s="2887"/>
      <c r="H37" s="2908"/>
      <c r="I37" s="2887">
        <v>0.3</v>
      </c>
      <c r="J37" s="2908"/>
      <c r="K37" s="2887"/>
      <c r="L37" s="2887"/>
      <c r="M37" s="2887"/>
      <c r="N37" s="2887"/>
      <c r="O37" s="2887">
        <v>1</v>
      </c>
      <c r="P37" s="2887"/>
      <c r="Q37" s="2887"/>
      <c r="R37" s="2908"/>
      <c r="S37" s="2909">
        <f>E37*I37*O37</f>
        <v>12</v>
      </c>
      <c r="T37" s="2894"/>
      <c r="U37" s="2888"/>
    </row>
    <row r="38" spans="2:21" x14ac:dyDescent="0.25">
      <c r="C38" s="2898"/>
      <c r="D38" s="2907" t="s">
        <v>1467</v>
      </c>
      <c r="E38" s="2938">
        <v>3.5</v>
      </c>
      <c r="F38" s="2939"/>
      <c r="G38" s="2938"/>
      <c r="H38" s="2939"/>
      <c r="I38" s="2938">
        <v>1.75</v>
      </c>
      <c r="J38" s="2939"/>
      <c r="K38" s="2938"/>
      <c r="L38" s="2938"/>
      <c r="M38" s="2938"/>
      <c r="N38" s="2938"/>
      <c r="O38" s="2938">
        <v>1</v>
      </c>
      <c r="P38" s="2938"/>
      <c r="Q38" s="2938"/>
      <c r="R38" s="2939"/>
      <c r="S38" s="2909">
        <f>E38*I38*O38</f>
        <v>6.125</v>
      </c>
      <c r="T38" s="2894"/>
      <c r="U38" s="2888"/>
    </row>
    <row r="39" spans="2:21" x14ac:dyDescent="0.25">
      <c r="C39" s="2910"/>
      <c r="D39" s="2911"/>
      <c r="E39" s="2912"/>
      <c r="F39" s="2912"/>
      <c r="G39" s="2912"/>
      <c r="H39" s="2912"/>
      <c r="I39" s="2912"/>
      <c r="J39" s="2912"/>
      <c r="K39" s="2912"/>
      <c r="L39" s="2912"/>
      <c r="M39" s="2912"/>
      <c r="N39" s="2912"/>
      <c r="O39" s="2912"/>
      <c r="P39" s="2912"/>
      <c r="Q39" s="2912"/>
      <c r="R39" s="2912"/>
      <c r="S39" s="2913"/>
      <c r="T39" s="2897"/>
      <c r="U39" s="2890"/>
    </row>
    <row r="40" spans="2:21" ht="14.25" thickBot="1" x14ac:dyDescent="0.3">
      <c r="C40" s="2917"/>
      <c r="D40" s="3194" t="s">
        <v>164</v>
      </c>
      <c r="E40" s="3195"/>
      <c r="F40" s="3195"/>
      <c r="G40" s="3195"/>
      <c r="H40" s="3195"/>
      <c r="I40" s="3195"/>
      <c r="J40" s="2914"/>
      <c r="K40" s="2915"/>
      <c r="L40" s="2914"/>
      <c r="M40" s="2914"/>
      <c r="N40" s="2914"/>
      <c r="O40" s="2914"/>
      <c r="P40" s="2914"/>
      <c r="Q40" s="2914"/>
      <c r="R40" s="2914"/>
      <c r="S40" s="2916">
        <f>SUM(S36:S39)</f>
        <v>63.25</v>
      </c>
    </row>
    <row r="41" spans="2:21" x14ac:dyDescent="0.25">
      <c r="C41" s="2917"/>
      <c r="D41" s="2918"/>
      <c r="E41" s="2918"/>
      <c r="F41" s="2918"/>
      <c r="G41" s="2918"/>
      <c r="H41" s="2918"/>
      <c r="I41" s="2918"/>
      <c r="J41" s="2918"/>
      <c r="K41" s="2918"/>
      <c r="L41" s="2918"/>
      <c r="M41" s="2918"/>
      <c r="N41" s="2918"/>
      <c r="O41" s="2918"/>
      <c r="P41" s="2918"/>
      <c r="Q41" s="2918"/>
      <c r="R41" s="2918"/>
      <c r="S41" s="2924"/>
    </row>
    <row r="42" spans="2:21" s="2897" customFormat="1" ht="12.75" x14ac:dyDescent="0.2">
      <c r="B42" s="2956" t="e">
        <f>'RAB (2)'!#REF!</f>
        <v>#REF!</v>
      </c>
      <c r="C42" s="2925" t="e">
        <f>'RAB (2)'!#REF!</f>
        <v>#REF!</v>
      </c>
      <c r="D42" s="2926"/>
      <c r="E42" s="2973" t="s">
        <v>1428</v>
      </c>
      <c r="F42" s="2926"/>
      <c r="G42" s="2926"/>
      <c r="H42" s="2926"/>
      <c r="I42" s="2926"/>
      <c r="J42" s="2926"/>
      <c r="K42" s="2926"/>
      <c r="L42" s="2926"/>
      <c r="M42" s="2926"/>
      <c r="N42" s="2926"/>
      <c r="O42" s="2926"/>
      <c r="P42" s="2926"/>
      <c r="Q42" s="2926"/>
      <c r="R42" s="2926"/>
      <c r="S42" s="2927"/>
      <c r="U42" s="2890"/>
    </row>
    <row r="43" spans="2:21" s="2892" customFormat="1" ht="14.25" thickBot="1" x14ac:dyDescent="0.3">
      <c r="B43" s="2954"/>
      <c r="C43" s="1580" t="e">
        <f>'RAB (2)'!#REF!</f>
        <v>#REF!</v>
      </c>
      <c r="E43" s="2891"/>
      <c r="F43" s="2891"/>
      <c r="G43" s="2891"/>
      <c r="H43" s="2891"/>
      <c r="I43" s="2891"/>
      <c r="J43" s="2891"/>
      <c r="K43" s="2891"/>
      <c r="L43" s="2891"/>
      <c r="M43" s="2891"/>
      <c r="N43" s="2891"/>
      <c r="O43" s="2891"/>
      <c r="P43" s="2891"/>
      <c r="Q43" s="2891"/>
      <c r="R43" s="2891"/>
      <c r="T43" s="2897">
        <f>ROUNDDOWN(S51,2)</f>
        <v>49.25</v>
      </c>
      <c r="U43" s="2890" t="s">
        <v>3</v>
      </c>
    </row>
    <row r="44" spans="2:21" s="2892" customFormat="1" x14ac:dyDescent="0.25">
      <c r="B44" s="2954"/>
      <c r="C44" s="2910"/>
      <c r="D44" s="2928" t="s">
        <v>95</v>
      </c>
      <c r="E44" s="2929" t="s">
        <v>150</v>
      </c>
      <c r="F44" s="2929"/>
      <c r="G44" s="2929" t="s">
        <v>151</v>
      </c>
      <c r="H44" s="2929"/>
      <c r="I44" s="2929" t="s">
        <v>152</v>
      </c>
      <c r="J44" s="2929"/>
      <c r="K44" s="2929" t="s">
        <v>153</v>
      </c>
      <c r="L44" s="2930"/>
      <c r="M44" s="2930" t="s">
        <v>32</v>
      </c>
      <c r="N44" s="2930"/>
      <c r="O44" s="2930" t="s">
        <v>163</v>
      </c>
      <c r="P44" s="2930"/>
      <c r="Q44" s="2930" t="s">
        <v>151</v>
      </c>
      <c r="R44" s="2930"/>
      <c r="S44" s="2931" t="s">
        <v>143</v>
      </c>
      <c r="T44" s="2897"/>
      <c r="U44" s="2890"/>
    </row>
    <row r="45" spans="2:21" s="2892" customFormat="1" x14ac:dyDescent="0.25">
      <c r="B45" s="2954"/>
      <c r="C45" s="2910"/>
      <c r="D45" s="2903" t="e">
        <f>C43</f>
        <v>#REF!</v>
      </c>
      <c r="E45" s="2904"/>
      <c r="F45" s="2905"/>
      <c r="G45" s="2904"/>
      <c r="H45" s="2905"/>
      <c r="I45" s="2904"/>
      <c r="J45" s="2905"/>
      <c r="K45" s="2904"/>
      <c r="L45" s="2904"/>
      <c r="M45" s="2904"/>
      <c r="N45" s="2904"/>
      <c r="O45" s="2904"/>
      <c r="P45" s="2904"/>
      <c r="Q45" s="2904"/>
      <c r="R45" s="2905"/>
      <c r="S45" s="2906"/>
      <c r="T45" s="2897"/>
      <c r="U45" s="2890"/>
    </row>
    <row r="46" spans="2:21" s="2892" customFormat="1" x14ac:dyDescent="0.25">
      <c r="B46" s="2954"/>
      <c r="C46" s="2910"/>
      <c r="D46" s="2907" t="s">
        <v>1417</v>
      </c>
      <c r="E46" s="2974">
        <v>32</v>
      </c>
      <c r="F46" s="2908"/>
      <c r="G46" s="2887">
        <v>0.25</v>
      </c>
      <c r="H46" s="2908"/>
      <c r="I46" s="2887"/>
      <c r="J46" s="2908"/>
      <c r="K46" s="2887"/>
      <c r="L46" s="2887"/>
      <c r="M46" s="2887">
        <v>2</v>
      </c>
      <c r="N46" s="2887"/>
      <c r="O46" s="2887"/>
      <c r="P46" s="2887"/>
      <c r="Q46" s="2887"/>
      <c r="R46" s="2908"/>
      <c r="S46" s="2909">
        <f>E46*G46*M46</f>
        <v>16</v>
      </c>
      <c r="T46" s="2897"/>
      <c r="U46" s="2890"/>
    </row>
    <row r="47" spans="2:21" s="2892" customFormat="1" x14ac:dyDescent="0.25">
      <c r="B47" s="2954"/>
      <c r="C47" s="2910"/>
      <c r="D47" s="2907"/>
      <c r="E47" s="2974">
        <v>28</v>
      </c>
      <c r="F47" s="2908"/>
      <c r="G47" s="2887">
        <v>0.75</v>
      </c>
      <c r="H47" s="2908"/>
      <c r="I47" s="2887"/>
      <c r="J47" s="2908"/>
      <c r="K47" s="2887"/>
      <c r="L47" s="2887"/>
      <c r="M47" s="2887">
        <v>1</v>
      </c>
      <c r="N47" s="2887"/>
      <c r="O47" s="2887"/>
      <c r="P47" s="2887"/>
      <c r="Q47" s="2887"/>
      <c r="R47" s="2908"/>
      <c r="S47" s="2909">
        <f>E47*G47*M47</f>
        <v>21</v>
      </c>
      <c r="T47" s="2897"/>
      <c r="U47" s="2890"/>
    </row>
    <row r="48" spans="2:21" s="2892" customFormat="1" x14ac:dyDescent="0.25">
      <c r="B48" s="2954"/>
      <c r="C48" s="2910"/>
      <c r="D48" s="2907" t="s">
        <v>1472</v>
      </c>
      <c r="E48" s="2974">
        <v>2.5</v>
      </c>
      <c r="F48" s="2908"/>
      <c r="G48" s="2887">
        <v>1.75</v>
      </c>
      <c r="H48" s="2908"/>
      <c r="I48" s="2887"/>
      <c r="J48" s="2908"/>
      <c r="K48" s="2887"/>
      <c r="L48" s="2887"/>
      <c r="M48" s="2887">
        <v>1</v>
      </c>
      <c r="N48" s="2887"/>
      <c r="O48" s="2887"/>
      <c r="P48" s="2887"/>
      <c r="Q48" s="2887"/>
      <c r="R48" s="2908"/>
      <c r="S48" s="2909">
        <f>E48*G48*M48</f>
        <v>4.375</v>
      </c>
      <c r="T48" s="2897"/>
      <c r="U48" s="2890"/>
    </row>
    <row r="49" spans="2:21" s="2892" customFormat="1" x14ac:dyDescent="0.25">
      <c r="B49" s="2954"/>
      <c r="C49" s="2910"/>
      <c r="D49" s="2907" t="s">
        <v>1420</v>
      </c>
      <c r="E49" s="2974">
        <v>1.5</v>
      </c>
      <c r="F49" s="2908"/>
      <c r="G49" s="2887">
        <v>5.25</v>
      </c>
      <c r="H49" s="2908"/>
      <c r="I49" s="2887"/>
      <c r="J49" s="2908"/>
      <c r="K49" s="2887"/>
      <c r="L49" s="2887"/>
      <c r="M49" s="2887">
        <v>1</v>
      </c>
      <c r="N49" s="2887"/>
      <c r="O49" s="2887"/>
      <c r="P49" s="2887"/>
      <c r="Q49" s="2887"/>
      <c r="R49" s="2908"/>
      <c r="S49" s="2909">
        <f>E49*G49*M49</f>
        <v>7.875</v>
      </c>
      <c r="T49" s="2897"/>
      <c r="U49" s="2890"/>
    </row>
    <row r="50" spans="2:21" s="2892" customFormat="1" x14ac:dyDescent="0.25">
      <c r="B50" s="2954"/>
      <c r="C50" s="2910"/>
      <c r="D50" s="2907"/>
      <c r="E50" s="2887"/>
      <c r="F50" s="2908"/>
      <c r="G50" s="2887"/>
      <c r="H50" s="2908"/>
      <c r="I50" s="2887"/>
      <c r="J50" s="2908"/>
      <c r="K50" s="2887"/>
      <c r="L50" s="2887"/>
      <c r="M50" s="2887"/>
      <c r="N50" s="2887"/>
      <c r="O50" s="2887"/>
      <c r="P50" s="2887"/>
      <c r="Q50" s="2887"/>
      <c r="R50" s="2908"/>
      <c r="S50" s="2909"/>
      <c r="T50" s="2897"/>
      <c r="U50" s="2890"/>
    </row>
    <row r="51" spans="2:21" s="2892" customFormat="1" ht="14.25" thickBot="1" x14ac:dyDescent="0.3">
      <c r="B51" s="2954"/>
      <c r="C51" s="2910"/>
      <c r="D51" s="3194" t="s">
        <v>164</v>
      </c>
      <c r="E51" s="3195"/>
      <c r="F51" s="3195"/>
      <c r="G51" s="3195"/>
      <c r="H51" s="3195"/>
      <c r="I51" s="3195"/>
      <c r="J51" s="2914"/>
      <c r="K51" s="2915"/>
      <c r="L51" s="2914"/>
      <c r="M51" s="2914"/>
      <c r="N51" s="2914"/>
      <c r="O51" s="2914"/>
      <c r="P51" s="2914"/>
      <c r="Q51" s="2914"/>
      <c r="R51" s="2914"/>
      <c r="S51" s="2916">
        <f>SUM(S46:S50)</f>
        <v>49.25</v>
      </c>
      <c r="T51" s="2897"/>
      <c r="U51" s="2890"/>
    </row>
    <row r="52" spans="2:21" x14ac:dyDescent="0.25">
      <c r="C52" s="2917"/>
      <c r="D52" s="2918"/>
      <c r="E52" s="2918"/>
      <c r="F52" s="2918"/>
      <c r="G52" s="2918"/>
      <c r="H52" s="2918"/>
      <c r="I52" s="2918"/>
      <c r="J52" s="2918"/>
      <c r="K52" s="2918"/>
      <c r="L52" s="2918"/>
      <c r="M52" s="2918"/>
      <c r="N52" s="2918"/>
      <c r="O52" s="2918"/>
      <c r="P52" s="2918"/>
      <c r="Q52" s="2918"/>
      <c r="R52" s="2918"/>
      <c r="S52" s="2919"/>
    </row>
    <row r="53" spans="2:21" ht="14.25" thickBot="1" x14ac:dyDescent="0.3">
      <c r="B53" s="2954"/>
      <c r="C53" s="1580" t="e">
        <f>C16</f>
        <v>#REF!</v>
      </c>
      <c r="D53" s="2892"/>
      <c r="E53" s="2891"/>
      <c r="F53" s="2891"/>
      <c r="G53" s="2891"/>
      <c r="H53" s="2891"/>
      <c r="I53" s="2891"/>
      <c r="J53" s="2891"/>
      <c r="K53" s="2891"/>
      <c r="L53" s="2891"/>
      <c r="M53" s="2891"/>
      <c r="N53" s="2891"/>
      <c r="O53" s="2891"/>
      <c r="P53" s="2891"/>
      <c r="Q53" s="2891"/>
      <c r="R53" s="2891"/>
      <c r="S53" s="2892"/>
      <c r="T53" s="2897">
        <f>ROUNDDOWN(S67,2)</f>
        <v>4635.46</v>
      </c>
      <c r="U53" s="2890" t="s">
        <v>0</v>
      </c>
    </row>
    <row r="54" spans="2:21" x14ac:dyDescent="0.25">
      <c r="B54" s="2954"/>
      <c r="C54" s="2910"/>
      <c r="D54" s="2928" t="s">
        <v>95</v>
      </c>
      <c r="E54" s="2929" t="s">
        <v>150</v>
      </c>
      <c r="F54" s="2929"/>
      <c r="G54" s="2929" t="s">
        <v>151</v>
      </c>
      <c r="H54" s="2929"/>
      <c r="I54" s="2929" t="s">
        <v>152</v>
      </c>
      <c r="J54" s="2929"/>
      <c r="K54" s="2929" t="s">
        <v>153</v>
      </c>
      <c r="L54" s="2930"/>
      <c r="M54" s="2930" t="s">
        <v>32</v>
      </c>
      <c r="N54" s="2930"/>
      <c r="O54" s="2930" t="s">
        <v>163</v>
      </c>
      <c r="P54" s="2930"/>
      <c r="Q54" s="2930" t="s">
        <v>151</v>
      </c>
      <c r="R54" s="2930"/>
      <c r="S54" s="2931" t="s">
        <v>143</v>
      </c>
      <c r="T54" s="2897"/>
      <c r="U54" s="2890"/>
    </row>
    <row r="55" spans="2:21" x14ac:dyDescent="0.25">
      <c r="B55" s="2954"/>
      <c r="C55" s="2910"/>
      <c r="D55" s="2903" t="e">
        <f>C53</f>
        <v>#REF!</v>
      </c>
      <c r="E55" s="2904"/>
      <c r="F55" s="2905"/>
      <c r="G55" s="2904"/>
      <c r="H55" s="2905"/>
      <c r="I55" s="2904"/>
      <c r="J55" s="2905"/>
      <c r="K55" s="2904"/>
      <c r="L55" s="2904"/>
      <c r="M55" s="2904"/>
      <c r="N55" s="2904"/>
      <c r="O55" s="2904"/>
      <c r="P55" s="2904"/>
      <c r="Q55" s="2904"/>
      <c r="R55" s="2905"/>
      <c r="S55" s="2906"/>
      <c r="T55" s="2897"/>
      <c r="U55" s="2890"/>
    </row>
    <row r="56" spans="2:21" x14ac:dyDescent="0.25">
      <c r="B56" s="2954"/>
      <c r="C56" s="2910"/>
      <c r="D56" s="2907" t="str">
        <f>D46</f>
        <v>Dinding</v>
      </c>
      <c r="E56" s="2887">
        <v>0.5</v>
      </c>
      <c r="F56" s="2908" t="s">
        <v>185</v>
      </c>
      <c r="G56" s="2887"/>
      <c r="H56" s="2908"/>
      <c r="I56" s="2887"/>
      <c r="J56" s="2908"/>
      <c r="K56" s="2887">
        <f>E57/0.15+1</f>
        <v>214.33333333333334</v>
      </c>
      <c r="L56" s="2887"/>
      <c r="M56" s="2887">
        <v>4</v>
      </c>
      <c r="N56" s="2887"/>
      <c r="O56" s="2887">
        <f>O19</f>
        <v>2.2562500000000001</v>
      </c>
      <c r="P56" s="2887"/>
      <c r="Q56" s="2887"/>
      <c r="R56" s="2908"/>
      <c r="S56" s="2909">
        <f>O56*K56*E56*M56</f>
        <v>967.17916666666679</v>
      </c>
      <c r="T56" s="2897"/>
      <c r="U56" s="2890"/>
    </row>
    <row r="57" spans="2:21" x14ac:dyDescent="0.25">
      <c r="B57" s="2954"/>
      <c r="C57" s="2910"/>
      <c r="D57" s="2907"/>
      <c r="E57" s="2887">
        <f>E46</f>
        <v>32</v>
      </c>
      <c r="F57" s="2908" t="s">
        <v>1419</v>
      </c>
      <c r="G57" s="2887"/>
      <c r="H57" s="2908"/>
      <c r="I57" s="2887"/>
      <c r="J57" s="2908"/>
      <c r="K57" s="2887">
        <f>E56/0.15+1</f>
        <v>4.3333333333333339</v>
      </c>
      <c r="L57" s="2887"/>
      <c r="M57" s="2887">
        <v>4</v>
      </c>
      <c r="N57" s="2887"/>
      <c r="O57" s="2887">
        <f>O56</f>
        <v>2.2562500000000001</v>
      </c>
      <c r="P57" s="2887"/>
      <c r="Q57" s="2887"/>
      <c r="R57" s="2908"/>
      <c r="S57" s="2909">
        <f>O57*K57*E57*M57</f>
        <v>1251.4666666666669</v>
      </c>
      <c r="T57" s="2897"/>
      <c r="U57" s="2890"/>
    </row>
    <row r="58" spans="2:21" x14ac:dyDescent="0.25">
      <c r="B58" s="2954"/>
      <c r="C58" s="2910"/>
      <c r="D58" s="2907" t="s">
        <v>1473</v>
      </c>
      <c r="E58" s="2887">
        <f>E47</f>
        <v>28</v>
      </c>
      <c r="F58" s="2908" t="s">
        <v>185</v>
      </c>
      <c r="G58" s="2887"/>
      <c r="H58" s="2908"/>
      <c r="I58" s="2887"/>
      <c r="J58" s="2908"/>
      <c r="K58" s="2887">
        <f>E59/0.15+1</f>
        <v>6</v>
      </c>
      <c r="L58" s="2887"/>
      <c r="M58" s="2887">
        <v>2</v>
      </c>
      <c r="N58" s="2887"/>
      <c r="O58" s="2887">
        <f>O57</f>
        <v>2.2562500000000001</v>
      </c>
      <c r="P58" s="2887"/>
      <c r="Q58" s="2887"/>
      <c r="R58" s="2908"/>
      <c r="S58" s="2909">
        <f t="shared" ref="S58:S59" si="2">O58*K58*E58*M58</f>
        <v>758.10000000000014</v>
      </c>
      <c r="T58" s="2897"/>
      <c r="U58" s="2890"/>
    </row>
    <row r="59" spans="2:21" x14ac:dyDescent="0.25">
      <c r="B59" s="2954"/>
      <c r="C59" s="2910"/>
      <c r="D59" s="2907"/>
      <c r="E59" s="2887">
        <f>G47</f>
        <v>0.75</v>
      </c>
      <c r="F59" s="2908" t="s">
        <v>1419</v>
      </c>
      <c r="G59" s="2887"/>
      <c r="H59" s="2908"/>
      <c r="I59" s="2887"/>
      <c r="J59" s="2908"/>
      <c r="K59" s="2887">
        <f>E58/0.15+1</f>
        <v>187.66666666666669</v>
      </c>
      <c r="L59" s="2887"/>
      <c r="M59" s="2887">
        <f>M58</f>
        <v>2</v>
      </c>
      <c r="N59" s="2887"/>
      <c r="O59" s="2887">
        <f>O58</f>
        <v>2.2562500000000001</v>
      </c>
      <c r="P59" s="2887"/>
      <c r="Q59" s="2887"/>
      <c r="R59" s="2908"/>
      <c r="S59" s="2909">
        <f t="shared" si="2"/>
        <v>635.13437500000009</v>
      </c>
      <c r="T59" s="2897"/>
      <c r="U59" s="2890"/>
    </row>
    <row r="60" spans="2:21" x14ac:dyDescent="0.25">
      <c r="B60" s="2954"/>
      <c r="C60" s="2910"/>
      <c r="D60" s="2907" t="str">
        <f>D48</f>
        <v>Lantai 1</v>
      </c>
      <c r="E60" s="2887"/>
      <c r="F60" s="2908"/>
      <c r="G60" s="2887"/>
      <c r="H60" s="2908"/>
      <c r="I60" s="2887"/>
      <c r="J60" s="2908"/>
      <c r="K60" s="2887"/>
      <c r="L60" s="2887"/>
      <c r="M60" s="2887"/>
      <c r="N60" s="2887"/>
      <c r="O60" s="2887"/>
      <c r="P60" s="2887"/>
      <c r="Q60" s="2887"/>
      <c r="R60" s="2908"/>
      <c r="S60" s="2909"/>
      <c r="T60" s="2897"/>
      <c r="U60" s="2890"/>
    </row>
    <row r="61" spans="2:21" x14ac:dyDescent="0.25">
      <c r="B61" s="2954"/>
      <c r="C61" s="2910"/>
      <c r="D61" s="2907"/>
      <c r="E61" s="2887">
        <f>E48</f>
        <v>2.5</v>
      </c>
      <c r="F61" s="2908" t="s">
        <v>185</v>
      </c>
      <c r="G61" s="2887"/>
      <c r="H61" s="2908"/>
      <c r="I61" s="2887"/>
      <c r="J61" s="2908"/>
      <c r="K61" s="2887">
        <f>E62/0.15+1</f>
        <v>12.666666666666668</v>
      </c>
      <c r="L61" s="2887"/>
      <c r="M61" s="2887">
        <v>2</v>
      </c>
      <c r="N61" s="2887"/>
      <c r="O61" s="2887">
        <f>O56</f>
        <v>2.2562500000000001</v>
      </c>
      <c r="P61" s="2887"/>
      <c r="Q61" s="2887"/>
      <c r="R61" s="2908"/>
      <c r="S61" s="2909">
        <f t="shared" ref="S61:S64" si="3">O61*K61*E61*M61</f>
        <v>142.89583333333334</v>
      </c>
      <c r="T61" s="2897"/>
      <c r="U61" s="2890"/>
    </row>
    <row r="62" spans="2:21" x14ac:dyDescent="0.25">
      <c r="B62" s="2954"/>
      <c r="C62" s="2910"/>
      <c r="D62" s="2907"/>
      <c r="E62" s="2887">
        <f>G48</f>
        <v>1.75</v>
      </c>
      <c r="F62" s="2908" t="s">
        <v>1419</v>
      </c>
      <c r="G62" s="2887"/>
      <c r="H62" s="2908"/>
      <c r="I62" s="2887"/>
      <c r="J62" s="2908"/>
      <c r="K62" s="2887">
        <f>E61/0.15+1</f>
        <v>17.666666666666668</v>
      </c>
      <c r="L62" s="2887"/>
      <c r="M62" s="2887">
        <v>2</v>
      </c>
      <c r="N62" s="2887"/>
      <c r="O62" s="2887">
        <f>O57</f>
        <v>2.2562500000000001</v>
      </c>
      <c r="P62" s="2887"/>
      <c r="Q62" s="2887"/>
      <c r="R62" s="2908"/>
      <c r="S62" s="2909">
        <f t="shared" si="3"/>
        <v>139.51145833333337</v>
      </c>
      <c r="T62" s="2897"/>
      <c r="U62" s="2890"/>
    </row>
    <row r="63" spans="2:21" x14ac:dyDescent="0.25">
      <c r="B63" s="2954"/>
      <c r="C63" s="2910"/>
      <c r="D63" s="2907" t="str">
        <f>D49</f>
        <v>Alas Trashack</v>
      </c>
      <c r="E63" s="2887">
        <f>E49</f>
        <v>1.5</v>
      </c>
      <c r="F63" s="2908" t="s">
        <v>185</v>
      </c>
      <c r="G63" s="2887"/>
      <c r="H63" s="2908"/>
      <c r="I63" s="2887"/>
      <c r="J63" s="2908"/>
      <c r="K63" s="2887">
        <f>E64/0.1+1</f>
        <v>53.5</v>
      </c>
      <c r="L63" s="2887"/>
      <c r="M63" s="2887">
        <v>2</v>
      </c>
      <c r="N63" s="2887"/>
      <c r="O63" s="2887">
        <f>O62</f>
        <v>2.2562500000000001</v>
      </c>
      <c r="P63" s="2887"/>
      <c r="Q63" s="2887"/>
      <c r="R63" s="2908"/>
      <c r="S63" s="2909">
        <f t="shared" si="3"/>
        <v>362.12812500000001</v>
      </c>
      <c r="T63" s="2897"/>
      <c r="U63" s="2890"/>
    </row>
    <row r="64" spans="2:21" x14ac:dyDescent="0.25">
      <c r="B64" s="2954"/>
      <c r="C64" s="2910"/>
      <c r="D64" s="2907"/>
      <c r="E64" s="2887">
        <f>G49</f>
        <v>5.25</v>
      </c>
      <c r="F64" s="2908" t="s">
        <v>1419</v>
      </c>
      <c r="G64" s="2887"/>
      <c r="H64" s="2908"/>
      <c r="I64" s="2887"/>
      <c r="J64" s="2908"/>
      <c r="K64" s="2887">
        <f>E63/0.1+1</f>
        <v>16</v>
      </c>
      <c r="L64" s="2887"/>
      <c r="M64" s="2887">
        <f>M63</f>
        <v>2</v>
      </c>
      <c r="N64" s="2887"/>
      <c r="O64" s="2887">
        <f>O63</f>
        <v>2.2562500000000001</v>
      </c>
      <c r="P64" s="2887"/>
      <c r="Q64" s="2887"/>
      <c r="R64" s="2908"/>
      <c r="S64" s="2909">
        <f t="shared" si="3"/>
        <v>379.05</v>
      </c>
      <c r="T64" s="2897"/>
      <c r="U64" s="2890"/>
    </row>
    <row r="65" spans="2:21" x14ac:dyDescent="0.25">
      <c r="B65" s="2954"/>
      <c r="C65" s="2910"/>
      <c r="D65" s="2907"/>
      <c r="E65" s="2887"/>
      <c r="F65" s="2908"/>
      <c r="G65" s="2887"/>
      <c r="H65" s="2908"/>
      <c r="I65" s="2887"/>
      <c r="J65" s="2908"/>
      <c r="K65" s="2887"/>
      <c r="L65" s="2887"/>
      <c r="M65" s="2887"/>
      <c r="N65" s="2887"/>
      <c r="O65" s="2887"/>
      <c r="P65" s="2887"/>
      <c r="Q65" s="2887"/>
      <c r="R65" s="2908"/>
      <c r="S65" s="2909"/>
      <c r="T65" s="2897"/>
      <c r="U65" s="2890"/>
    </row>
    <row r="66" spans="2:21" x14ac:dyDescent="0.25">
      <c r="B66" s="2954"/>
      <c r="C66" s="2910"/>
      <c r="D66" s="2911"/>
      <c r="E66" s="2912"/>
      <c r="F66" s="2912"/>
      <c r="G66" s="2912"/>
      <c r="H66" s="2912"/>
      <c r="I66" s="2912"/>
      <c r="J66" s="2912"/>
      <c r="K66" s="2912"/>
      <c r="L66" s="2912"/>
      <c r="M66" s="2912"/>
      <c r="N66" s="2912"/>
      <c r="O66" s="2912"/>
      <c r="P66" s="2912"/>
      <c r="Q66" s="2912"/>
      <c r="R66" s="2912"/>
      <c r="S66" s="2913"/>
      <c r="T66" s="2897"/>
      <c r="U66" s="2890"/>
    </row>
    <row r="67" spans="2:21" ht="14.25" thickBot="1" x14ac:dyDescent="0.3">
      <c r="B67" s="2954"/>
      <c r="C67" s="2910"/>
      <c r="D67" s="3194" t="s">
        <v>164</v>
      </c>
      <c r="E67" s="3195"/>
      <c r="F67" s="3195"/>
      <c r="G67" s="3195"/>
      <c r="H67" s="3195"/>
      <c r="I67" s="3195"/>
      <c r="J67" s="2914"/>
      <c r="K67" s="2915"/>
      <c r="L67" s="2914"/>
      <c r="M67" s="2914"/>
      <c r="N67" s="2914"/>
      <c r="O67" s="2914"/>
      <c r="P67" s="2914"/>
      <c r="Q67" s="2914"/>
      <c r="R67" s="2914"/>
      <c r="S67" s="2916">
        <f>SUM(S56:S66)</f>
        <v>4635.4656250000016</v>
      </c>
      <c r="T67" s="2897"/>
      <c r="U67" s="2890"/>
    </row>
    <row r="68" spans="2:21" x14ac:dyDescent="0.25">
      <c r="C68" s="2922"/>
    </row>
    <row r="69" spans="2:21" ht="14.25" thickBot="1" x14ac:dyDescent="0.3">
      <c r="B69" s="2954"/>
      <c r="C69" s="1580" t="e">
        <f>C33</f>
        <v>#REF!</v>
      </c>
      <c r="D69" s="2892"/>
      <c r="E69" s="2891"/>
      <c r="F69" s="2891"/>
      <c r="G69" s="2891"/>
      <c r="H69" s="2891"/>
      <c r="I69" s="2891"/>
      <c r="J69" s="2891"/>
      <c r="K69" s="2891"/>
      <c r="L69" s="2891"/>
      <c r="M69" s="2891"/>
      <c r="N69" s="2891"/>
      <c r="O69" s="2891"/>
      <c r="P69" s="2891"/>
      <c r="Q69" s="2891"/>
      <c r="R69" s="2891"/>
      <c r="S69" s="2892"/>
      <c r="T69" s="2897">
        <f>ROUNDDOWN(S76,2)</f>
        <v>58.43</v>
      </c>
      <c r="U69" s="2890" t="s">
        <v>2</v>
      </c>
    </row>
    <row r="70" spans="2:21" x14ac:dyDescent="0.25">
      <c r="B70" s="2954"/>
      <c r="C70" s="2910"/>
      <c r="D70" s="2928" t="s">
        <v>95</v>
      </c>
      <c r="E70" s="2929" t="s">
        <v>150</v>
      </c>
      <c r="F70" s="2929"/>
      <c r="G70" s="2929" t="s">
        <v>151</v>
      </c>
      <c r="H70" s="2929"/>
      <c r="I70" s="2929" t="s">
        <v>152</v>
      </c>
      <c r="J70" s="2929"/>
      <c r="K70" s="2929" t="s">
        <v>153</v>
      </c>
      <c r="L70" s="2930"/>
      <c r="M70" s="2930" t="s">
        <v>32</v>
      </c>
      <c r="N70" s="2930"/>
      <c r="O70" s="2930" t="s">
        <v>163</v>
      </c>
      <c r="P70" s="2930"/>
      <c r="Q70" s="2930" t="s">
        <v>151</v>
      </c>
      <c r="R70" s="2930"/>
      <c r="S70" s="2931" t="s">
        <v>143</v>
      </c>
      <c r="T70" s="2897"/>
      <c r="U70" s="2890"/>
    </row>
    <row r="71" spans="2:21" x14ac:dyDescent="0.25">
      <c r="B71" s="2954"/>
      <c r="C71" s="2910"/>
      <c r="D71" s="2903" t="e">
        <f>C69</f>
        <v>#REF!</v>
      </c>
      <c r="E71" s="2904"/>
      <c r="F71" s="2905"/>
      <c r="G71" s="2904"/>
      <c r="H71" s="2905"/>
      <c r="I71" s="2904"/>
      <c r="J71" s="2905"/>
      <c r="K71" s="2904"/>
      <c r="L71" s="2904"/>
      <c r="M71" s="2904"/>
      <c r="N71" s="2904"/>
      <c r="O71" s="2904"/>
      <c r="P71" s="2904"/>
      <c r="Q71" s="2904"/>
      <c r="R71" s="2905"/>
      <c r="S71" s="2906"/>
      <c r="T71" s="2897"/>
      <c r="U71" s="2890"/>
    </row>
    <row r="72" spans="2:21" x14ac:dyDescent="0.25">
      <c r="B72" s="2954"/>
      <c r="C72" s="2910"/>
      <c r="D72" s="2936" t="str">
        <f>D56</f>
        <v>Dinding</v>
      </c>
      <c r="E72" s="2886">
        <v>7.5</v>
      </c>
      <c r="F72" s="2934"/>
      <c r="G72" s="2886">
        <v>6</v>
      </c>
      <c r="H72" s="2934"/>
      <c r="I72" s="2886"/>
      <c r="J72" s="2934"/>
      <c r="K72" s="2886"/>
      <c r="L72" s="2886"/>
      <c r="M72" s="2886"/>
      <c r="N72" s="2886"/>
      <c r="O72" s="2886"/>
      <c r="P72" s="2886"/>
      <c r="Q72" s="2886"/>
      <c r="R72" s="2934"/>
      <c r="S72" s="2935">
        <f>E72*G72</f>
        <v>45</v>
      </c>
      <c r="T72" s="2897"/>
      <c r="U72" s="2890"/>
    </row>
    <row r="73" spans="2:21" x14ac:dyDescent="0.25">
      <c r="B73" s="2954"/>
      <c r="C73" s="2910"/>
      <c r="D73" s="2936" t="str">
        <f>D60</f>
        <v>Lantai 1</v>
      </c>
      <c r="E73" s="2886">
        <f>E61+E62</f>
        <v>4.25</v>
      </c>
      <c r="F73" s="2934"/>
      <c r="G73" s="2886">
        <f>E62</f>
        <v>1.75</v>
      </c>
      <c r="H73" s="2934"/>
      <c r="I73" s="2886"/>
      <c r="J73" s="2934"/>
      <c r="K73" s="2886"/>
      <c r="L73" s="2886"/>
      <c r="M73" s="2886"/>
      <c r="N73" s="2886"/>
      <c r="O73" s="2886"/>
      <c r="P73" s="2886"/>
      <c r="Q73" s="2886"/>
      <c r="R73" s="2934"/>
      <c r="S73" s="2935">
        <f>E73*G73</f>
        <v>7.4375</v>
      </c>
      <c r="T73" s="2897"/>
      <c r="U73" s="2890"/>
    </row>
    <row r="74" spans="2:21" x14ac:dyDescent="0.25">
      <c r="B74" s="2954"/>
      <c r="C74" s="2910"/>
      <c r="D74" s="2936" t="str">
        <f>D63</f>
        <v>Alas Trashack</v>
      </c>
      <c r="E74" s="2886">
        <f>1.2*1</f>
        <v>1.2</v>
      </c>
      <c r="F74" s="2934"/>
      <c r="G74" s="2886">
        <v>5</v>
      </c>
      <c r="H74" s="2934"/>
      <c r="I74" s="2886"/>
      <c r="J74" s="2934"/>
      <c r="K74" s="2886"/>
      <c r="L74" s="2886"/>
      <c r="M74" s="2886"/>
      <c r="N74" s="2886"/>
      <c r="O74" s="2886"/>
      <c r="P74" s="2886"/>
      <c r="Q74" s="2886"/>
      <c r="R74" s="2934"/>
      <c r="S74" s="2935">
        <f>E74*G74</f>
        <v>6</v>
      </c>
      <c r="T74" s="2897"/>
      <c r="U74" s="2890"/>
    </row>
    <row r="75" spans="2:21" x14ac:dyDescent="0.25">
      <c r="B75" s="2954"/>
      <c r="C75" s="2910"/>
      <c r="D75" s="2911"/>
      <c r="E75" s="2912"/>
      <c r="F75" s="2912"/>
      <c r="G75" s="2912"/>
      <c r="H75" s="2912"/>
      <c r="I75" s="2912"/>
      <c r="J75" s="2912"/>
      <c r="K75" s="2912"/>
      <c r="L75" s="2912"/>
      <c r="M75" s="2912"/>
      <c r="N75" s="2912"/>
      <c r="O75" s="2912"/>
      <c r="P75" s="2912"/>
      <c r="Q75" s="2912"/>
      <c r="R75" s="2912"/>
      <c r="S75" s="2913"/>
      <c r="T75" s="2897"/>
      <c r="U75" s="2890"/>
    </row>
    <row r="76" spans="2:21" ht="14.25" thickBot="1" x14ac:dyDescent="0.3">
      <c r="B76" s="2954"/>
      <c r="C76" s="2910"/>
      <c r="D76" s="3194" t="s">
        <v>164</v>
      </c>
      <c r="E76" s="3195"/>
      <c r="F76" s="3195"/>
      <c r="G76" s="3195"/>
      <c r="H76" s="3195"/>
      <c r="I76" s="3195"/>
      <c r="J76" s="2914"/>
      <c r="K76" s="2915"/>
      <c r="L76" s="2914"/>
      <c r="M76" s="2914"/>
      <c r="N76" s="2914"/>
      <c r="O76" s="2914"/>
      <c r="P76" s="2914"/>
      <c r="Q76" s="2914"/>
      <c r="R76" s="2914"/>
      <c r="S76" s="2916">
        <f>SUM(S72:S75)</f>
        <v>58.4375</v>
      </c>
      <c r="T76" s="2897"/>
      <c r="U76" s="2890"/>
    </row>
    <row r="77" spans="2:21" x14ac:dyDescent="0.25">
      <c r="C77" s="2922"/>
    </row>
    <row r="78" spans="2:21" s="2897" customFormat="1" ht="12.75" x14ac:dyDescent="0.2">
      <c r="B78" s="2956" t="e">
        <f>'RAB (2)'!#REF!</f>
        <v>#REF!</v>
      </c>
      <c r="C78" s="2897" t="e">
        <f>'RAB (2)'!#REF!</f>
        <v>#REF!</v>
      </c>
      <c r="E78" s="2890"/>
      <c r="F78" s="2890"/>
      <c r="G78" s="2890"/>
      <c r="H78" s="2890"/>
      <c r="I78" s="2890"/>
      <c r="J78" s="2890"/>
      <c r="K78" s="2890"/>
      <c r="L78" s="2890"/>
      <c r="M78" s="2890"/>
      <c r="N78" s="2890"/>
      <c r="O78" s="2890"/>
      <c r="P78" s="2890"/>
      <c r="Q78" s="2890"/>
      <c r="R78" s="2890"/>
      <c r="U78" s="2890"/>
    </row>
    <row r="79" spans="2:21" ht="14.25" thickBot="1" x14ac:dyDescent="0.3">
      <c r="B79" s="2954"/>
      <c r="C79" s="1580" t="e">
        <f>'RAB (2)'!#REF!</f>
        <v>#REF!</v>
      </c>
      <c r="D79" s="2892"/>
      <c r="E79" s="2891"/>
      <c r="F79" s="2891"/>
      <c r="G79" s="2891"/>
      <c r="H79" s="2891"/>
      <c r="I79" s="2891"/>
      <c r="J79" s="2891"/>
      <c r="K79" s="2891"/>
      <c r="L79" s="2891"/>
      <c r="M79" s="2891"/>
      <c r="N79" s="2891"/>
      <c r="O79" s="2891"/>
      <c r="P79" s="2891"/>
      <c r="Q79" s="2891"/>
      <c r="R79" s="2891"/>
      <c r="S79" s="2892"/>
      <c r="T79" s="2897">
        <f>ROUNDDOWN(S94,2)</f>
        <v>86.8</v>
      </c>
      <c r="U79" s="2890" t="s">
        <v>3</v>
      </c>
    </row>
    <row r="80" spans="2:21" x14ac:dyDescent="0.25">
      <c r="B80" s="2954"/>
      <c r="C80" s="2910"/>
      <c r="D80" s="2928" t="s">
        <v>95</v>
      </c>
      <c r="E80" s="2929" t="s">
        <v>150</v>
      </c>
      <c r="F80" s="2929"/>
      <c r="G80" s="2929" t="s">
        <v>151</v>
      </c>
      <c r="H80" s="2929"/>
      <c r="I80" s="2929" t="s">
        <v>152</v>
      </c>
      <c r="J80" s="2929"/>
      <c r="K80" s="2929" t="s">
        <v>153</v>
      </c>
      <c r="L80" s="2930"/>
      <c r="M80" s="2930" t="s">
        <v>32</v>
      </c>
      <c r="N80" s="2930"/>
      <c r="O80" s="2930" t="s">
        <v>163</v>
      </c>
      <c r="P80" s="2930"/>
      <c r="Q80" s="2930" t="s">
        <v>151</v>
      </c>
      <c r="R80" s="2930"/>
      <c r="S80" s="2931" t="s">
        <v>143</v>
      </c>
      <c r="T80" s="2897"/>
      <c r="U80" s="2890"/>
    </row>
    <row r="81" spans="2:21" x14ac:dyDescent="0.25">
      <c r="B81" s="2954"/>
      <c r="C81" s="2910"/>
      <c r="D81" s="2903" t="e">
        <f>C79</f>
        <v>#REF!</v>
      </c>
      <c r="E81" s="2904"/>
      <c r="F81" s="2905"/>
      <c r="G81" s="2904"/>
      <c r="H81" s="2905"/>
      <c r="I81" s="2904"/>
      <c r="J81" s="2905"/>
      <c r="K81" s="2904"/>
      <c r="L81" s="2904"/>
      <c r="M81" s="2904"/>
      <c r="N81" s="2904"/>
      <c r="O81" s="2904"/>
      <c r="P81" s="2904"/>
      <c r="Q81" s="2904"/>
      <c r="R81" s="2905"/>
      <c r="S81" s="2906"/>
      <c r="T81" s="2897"/>
      <c r="U81" s="2890"/>
    </row>
    <row r="82" spans="2:21" x14ac:dyDescent="0.25">
      <c r="B82" s="2954"/>
      <c r="C82" s="2910"/>
      <c r="D82" s="2936" t="s">
        <v>1428</v>
      </c>
      <c r="E82" s="2886"/>
      <c r="F82" s="2934"/>
      <c r="G82" s="2886"/>
      <c r="H82" s="2934"/>
      <c r="I82" s="2886"/>
      <c r="J82" s="2934"/>
      <c r="K82" s="2886"/>
      <c r="L82" s="2886"/>
      <c r="M82" s="2886"/>
      <c r="N82" s="2886"/>
      <c r="O82" s="2886"/>
      <c r="P82" s="2886"/>
      <c r="Q82" s="2886"/>
      <c r="R82" s="2934"/>
      <c r="S82" s="2935"/>
      <c r="T82" s="2897"/>
      <c r="U82" s="2890"/>
    </row>
    <row r="83" spans="2:21" x14ac:dyDescent="0.25">
      <c r="B83" s="2954"/>
      <c r="C83" s="2910"/>
      <c r="D83" s="2936" t="s">
        <v>1426</v>
      </c>
      <c r="E83" s="2886"/>
      <c r="F83" s="2934"/>
      <c r="G83" s="2886"/>
      <c r="H83" s="2934"/>
      <c r="I83" s="2886"/>
      <c r="J83" s="2934"/>
      <c r="K83" s="2886"/>
      <c r="L83" s="2886"/>
      <c r="M83" s="2886"/>
      <c r="N83" s="2886"/>
      <c r="O83" s="2886"/>
      <c r="P83" s="2886"/>
      <c r="Q83" s="2886"/>
      <c r="R83" s="2934"/>
      <c r="S83" s="2935"/>
      <c r="T83" s="2897"/>
      <c r="U83" s="2890"/>
    </row>
    <row r="84" spans="2:21" x14ac:dyDescent="0.25">
      <c r="B84" s="2954"/>
      <c r="C84" s="2910"/>
      <c r="D84" s="2907" t="s">
        <v>31</v>
      </c>
      <c r="E84" s="2887">
        <f>25</f>
        <v>25</v>
      </c>
      <c r="F84" s="2908"/>
      <c r="G84" s="2887">
        <v>2.5</v>
      </c>
      <c r="H84" s="2908"/>
      <c r="I84" s="2887">
        <v>0.2</v>
      </c>
      <c r="J84" s="2908"/>
      <c r="K84" s="2887"/>
      <c r="L84" s="2887"/>
      <c r="M84" s="2887"/>
      <c r="N84" s="2887"/>
      <c r="O84" s="2887"/>
      <c r="P84" s="2887"/>
      <c r="Q84" s="2887"/>
      <c r="R84" s="2908"/>
      <c r="S84" s="2909">
        <f>I84*G84*E84</f>
        <v>12.5</v>
      </c>
      <c r="T84" s="2897"/>
      <c r="U84" s="2890"/>
    </row>
    <row r="85" spans="2:21" x14ac:dyDescent="0.25">
      <c r="B85" s="2954"/>
      <c r="C85" s="2910"/>
      <c r="D85" s="2907" t="s">
        <v>139</v>
      </c>
      <c r="E85" s="2887">
        <f>27</f>
        <v>27</v>
      </c>
      <c r="F85" s="2908"/>
      <c r="G85" s="2887">
        <v>2.5</v>
      </c>
      <c r="H85" s="2908"/>
      <c r="I85" s="2887">
        <f>I84</f>
        <v>0.2</v>
      </c>
      <c r="J85" s="2908"/>
      <c r="K85" s="2887"/>
      <c r="L85" s="2887"/>
      <c r="M85" s="2887"/>
      <c r="N85" s="2887"/>
      <c r="O85" s="2887"/>
      <c r="P85" s="2887"/>
      <c r="Q85" s="2887"/>
      <c r="R85" s="2908"/>
      <c r="S85" s="2909">
        <f t="shared" ref="S85:S88" si="4">I85*G85*E85</f>
        <v>13.5</v>
      </c>
      <c r="T85" s="2897"/>
      <c r="U85" s="2890"/>
    </row>
    <row r="86" spans="2:21" x14ac:dyDescent="0.25">
      <c r="B86" s="2954"/>
      <c r="C86" s="2910"/>
      <c r="D86" s="2937" t="s">
        <v>140</v>
      </c>
      <c r="E86" s="2938">
        <v>50</v>
      </c>
      <c r="F86" s="2939"/>
      <c r="G86" s="2938">
        <v>2</v>
      </c>
      <c r="H86" s="2939"/>
      <c r="I86" s="2887">
        <f>I85</f>
        <v>0.2</v>
      </c>
      <c r="J86" s="2939"/>
      <c r="K86" s="2938"/>
      <c r="L86" s="2938"/>
      <c r="M86" s="2938"/>
      <c r="N86" s="2938"/>
      <c r="O86" s="2938"/>
      <c r="P86" s="2938"/>
      <c r="Q86" s="2938"/>
      <c r="R86" s="2939"/>
      <c r="S86" s="2909">
        <f t="shared" si="4"/>
        <v>20</v>
      </c>
      <c r="T86" s="2897"/>
      <c r="U86" s="2890"/>
    </row>
    <row r="87" spans="2:21" x14ac:dyDescent="0.25">
      <c r="B87" s="2954"/>
      <c r="C87" s="2910"/>
      <c r="D87" s="2937" t="s">
        <v>1427</v>
      </c>
      <c r="E87" s="2938"/>
      <c r="F87" s="2939"/>
      <c r="G87" s="2938"/>
      <c r="H87" s="2939"/>
      <c r="I87" s="2938"/>
      <c r="J87" s="2939"/>
      <c r="K87" s="2938"/>
      <c r="L87" s="2938"/>
      <c r="M87" s="2938"/>
      <c r="N87" s="2938"/>
      <c r="O87" s="2938"/>
      <c r="P87" s="2938"/>
      <c r="Q87" s="2938"/>
      <c r="R87" s="2939"/>
      <c r="S87" s="2940"/>
      <c r="T87" s="2897"/>
      <c r="U87" s="2890"/>
    </row>
    <row r="88" spans="2:21" x14ac:dyDescent="0.25">
      <c r="B88" s="2954"/>
      <c r="C88" s="2910"/>
      <c r="D88" s="2937"/>
      <c r="E88" s="2938">
        <f>SUM(E84:E87)*2</f>
        <v>204</v>
      </c>
      <c r="F88" s="2939"/>
      <c r="G88" s="2938">
        <v>0.2</v>
      </c>
      <c r="H88" s="2939"/>
      <c r="I88" s="2938">
        <v>0.25</v>
      </c>
      <c r="J88" s="2939"/>
      <c r="K88" s="2938"/>
      <c r="L88" s="2938"/>
      <c r="M88" s="2938"/>
      <c r="N88" s="2938"/>
      <c r="O88" s="2938"/>
      <c r="P88" s="2938"/>
      <c r="Q88" s="2938"/>
      <c r="R88" s="2939"/>
      <c r="S88" s="2909">
        <f t="shared" si="4"/>
        <v>10.200000000000001</v>
      </c>
      <c r="T88" s="2897"/>
      <c r="U88" s="2890"/>
    </row>
    <row r="89" spans="2:21" x14ac:dyDescent="0.25">
      <c r="B89" s="2954"/>
      <c r="C89" s="2910"/>
      <c r="D89" s="2936" t="s">
        <v>1429</v>
      </c>
      <c r="E89" s="2938"/>
      <c r="F89" s="2939"/>
      <c r="G89" s="2938"/>
      <c r="H89" s="2939"/>
      <c r="I89" s="2938"/>
      <c r="J89" s="2939"/>
      <c r="K89" s="2938"/>
      <c r="L89" s="2938"/>
      <c r="M89" s="2938"/>
      <c r="N89" s="2938"/>
      <c r="O89" s="2938"/>
      <c r="P89" s="2938"/>
      <c r="Q89" s="2938"/>
      <c r="R89" s="2939"/>
      <c r="S89" s="2940"/>
      <c r="T89" s="2897"/>
      <c r="U89" s="2890"/>
    </row>
    <row r="90" spans="2:21" x14ac:dyDescent="0.25">
      <c r="B90" s="2954"/>
      <c r="C90" s="2910"/>
      <c r="D90" s="2936" t="s">
        <v>1426</v>
      </c>
      <c r="E90" s="2938"/>
      <c r="F90" s="2939"/>
      <c r="G90" s="2938"/>
      <c r="H90" s="2939"/>
      <c r="I90" s="2938"/>
      <c r="J90" s="2939"/>
      <c r="K90" s="2938"/>
      <c r="L90" s="2938"/>
      <c r="M90" s="2938"/>
      <c r="N90" s="2938"/>
      <c r="O90" s="2938"/>
      <c r="P90" s="2938"/>
      <c r="Q90" s="2938"/>
      <c r="R90" s="2939"/>
      <c r="S90" s="2940"/>
      <c r="T90" s="2897"/>
      <c r="U90" s="2890"/>
    </row>
    <row r="91" spans="2:21" x14ac:dyDescent="0.25">
      <c r="B91" s="2954"/>
      <c r="C91" s="2910"/>
      <c r="D91" s="2907" t="s">
        <v>31</v>
      </c>
      <c r="E91" s="2938">
        <f>SUM(E84:E86)</f>
        <v>102</v>
      </c>
      <c r="F91" s="2939"/>
      <c r="G91" s="2938">
        <v>1</v>
      </c>
      <c r="H91" s="2939"/>
      <c r="I91" s="2938">
        <v>0.2</v>
      </c>
      <c r="J91" s="2939"/>
      <c r="K91" s="2938"/>
      <c r="L91" s="2938"/>
      <c r="M91" s="2938"/>
      <c r="N91" s="2938"/>
      <c r="O91" s="2938"/>
      <c r="P91" s="2938"/>
      <c r="Q91" s="2938"/>
      <c r="R91" s="2939"/>
      <c r="S91" s="2909">
        <f t="shared" ref="S91:S92" si="5">I91*G91*E91</f>
        <v>20.400000000000002</v>
      </c>
      <c r="T91" s="2897"/>
      <c r="U91" s="2890"/>
    </row>
    <row r="92" spans="2:21" x14ac:dyDescent="0.25">
      <c r="B92" s="2954"/>
      <c r="C92" s="2910"/>
      <c r="D92" s="2937" t="s">
        <v>1427</v>
      </c>
      <c r="E92" s="2938">
        <f>E88</f>
        <v>204</v>
      </c>
      <c r="F92" s="2939"/>
      <c r="G92" s="2938">
        <f>G88</f>
        <v>0.2</v>
      </c>
      <c r="H92" s="2939"/>
      <c r="I92" s="2938">
        <f>I88</f>
        <v>0.25</v>
      </c>
      <c r="J92" s="2939"/>
      <c r="K92" s="2938"/>
      <c r="L92" s="2938"/>
      <c r="M92" s="2938"/>
      <c r="N92" s="2938"/>
      <c r="O92" s="2938"/>
      <c r="P92" s="2938"/>
      <c r="Q92" s="2938"/>
      <c r="R92" s="2939"/>
      <c r="S92" s="2909">
        <f t="shared" si="5"/>
        <v>10.200000000000001</v>
      </c>
      <c r="T92" s="2897"/>
      <c r="U92" s="2890"/>
    </row>
    <row r="93" spans="2:21" x14ac:dyDescent="0.25">
      <c r="B93" s="2954"/>
      <c r="C93" s="2910"/>
      <c r="D93" s="2911"/>
      <c r="E93" s="2912"/>
      <c r="F93" s="2912"/>
      <c r="G93" s="2912"/>
      <c r="H93" s="2912"/>
      <c r="I93" s="2912"/>
      <c r="J93" s="2912"/>
      <c r="K93" s="2912"/>
      <c r="L93" s="2912"/>
      <c r="M93" s="2912"/>
      <c r="N93" s="2912"/>
      <c r="O93" s="2912"/>
      <c r="P93" s="2912"/>
      <c r="Q93" s="2912"/>
      <c r="R93" s="2912"/>
      <c r="S93" s="2913"/>
      <c r="T93" s="2897"/>
      <c r="U93" s="2890"/>
    </row>
    <row r="94" spans="2:21" ht="14.25" thickBot="1" x14ac:dyDescent="0.3">
      <c r="B94" s="2954"/>
      <c r="C94" s="2910"/>
      <c r="D94" s="3194" t="s">
        <v>164</v>
      </c>
      <c r="E94" s="3195"/>
      <c r="F94" s="3195"/>
      <c r="G94" s="3195"/>
      <c r="H94" s="3195"/>
      <c r="I94" s="3195"/>
      <c r="J94" s="2914"/>
      <c r="K94" s="2915"/>
      <c r="L94" s="2914"/>
      <c r="M94" s="2914"/>
      <c r="N94" s="2914"/>
      <c r="O94" s="2914"/>
      <c r="P94" s="2914"/>
      <c r="Q94" s="2914"/>
      <c r="R94" s="2914"/>
      <c r="S94" s="2916">
        <f>SUM(S84:S93)</f>
        <v>86.800000000000011</v>
      </c>
      <c r="T94" s="2897"/>
      <c r="U94" s="2890"/>
    </row>
    <row r="95" spans="2:21" x14ac:dyDescent="0.25">
      <c r="C95" s="2922"/>
    </row>
    <row r="96" spans="2:21" ht="14.25" thickBot="1" x14ac:dyDescent="0.3">
      <c r="B96" s="2954"/>
      <c r="C96" s="1580" t="e">
        <f>'RAB (2)'!#REF!</f>
        <v>#REF!</v>
      </c>
      <c r="D96" s="2892"/>
      <c r="E96" s="2891"/>
      <c r="F96" s="2891"/>
      <c r="G96" s="2891"/>
      <c r="H96" s="2891"/>
      <c r="I96" s="2891"/>
      <c r="J96" s="2891"/>
      <c r="K96" s="2891"/>
      <c r="L96" s="2891"/>
      <c r="M96" s="2891"/>
      <c r="N96" s="2891"/>
      <c r="O96" s="2891"/>
      <c r="P96" s="2891"/>
      <c r="Q96" s="2891"/>
      <c r="R96" s="2891"/>
      <c r="S96" s="2892"/>
      <c r="T96" s="2897">
        <f>ROUNDDOWN(S111,2)</f>
        <v>6105.03</v>
      </c>
      <c r="U96" s="2890" t="s">
        <v>0</v>
      </c>
    </row>
    <row r="97" spans="2:21" x14ac:dyDescent="0.25">
      <c r="B97" s="2954"/>
      <c r="C97" s="2910"/>
      <c r="D97" s="2928" t="s">
        <v>95</v>
      </c>
      <c r="E97" s="2929" t="s">
        <v>150</v>
      </c>
      <c r="F97" s="2929"/>
      <c r="G97" s="2929" t="s">
        <v>151</v>
      </c>
      <c r="H97" s="2929"/>
      <c r="I97" s="2929" t="s">
        <v>152</v>
      </c>
      <c r="J97" s="2929"/>
      <c r="K97" s="2929" t="s">
        <v>153</v>
      </c>
      <c r="L97" s="2930"/>
      <c r="M97" s="2930" t="s">
        <v>32</v>
      </c>
      <c r="N97" s="2930"/>
      <c r="O97" s="2930" t="s">
        <v>163</v>
      </c>
      <c r="P97" s="2930"/>
      <c r="Q97" s="2930" t="s">
        <v>151</v>
      </c>
      <c r="R97" s="2930"/>
      <c r="S97" s="2931" t="s">
        <v>143</v>
      </c>
      <c r="T97" s="2897"/>
      <c r="U97" s="2890"/>
    </row>
    <row r="98" spans="2:21" x14ac:dyDescent="0.25">
      <c r="B98" s="2954"/>
      <c r="C98" s="2910"/>
      <c r="D98" s="2941" t="e">
        <f>C96</f>
        <v>#REF!</v>
      </c>
      <c r="E98" s="2904"/>
      <c r="F98" s="2905"/>
      <c r="G98" s="2904"/>
      <c r="H98" s="2905"/>
      <c r="I98" s="2904"/>
      <c r="J98" s="2905"/>
      <c r="K98" s="2904"/>
      <c r="L98" s="2904"/>
      <c r="M98" s="2904"/>
      <c r="N98" s="2904"/>
      <c r="O98" s="2904"/>
      <c r="P98" s="2904"/>
      <c r="Q98" s="2904"/>
      <c r="R98" s="2905"/>
      <c r="S98" s="2906"/>
      <c r="T98" s="2897"/>
      <c r="U98" s="2890"/>
    </row>
    <row r="99" spans="2:21" x14ac:dyDescent="0.25">
      <c r="B99" s="2954"/>
      <c r="C99" s="2910"/>
      <c r="D99" s="2942" t="s">
        <v>1428</v>
      </c>
      <c r="E99" s="2886"/>
      <c r="F99" s="2934"/>
      <c r="G99" s="2886"/>
      <c r="H99" s="2934"/>
      <c r="I99" s="2886"/>
      <c r="J99" s="2934"/>
      <c r="K99" s="2886"/>
      <c r="L99" s="2886"/>
      <c r="M99" s="2886"/>
      <c r="N99" s="2886"/>
      <c r="O99" s="2886"/>
      <c r="P99" s="2886"/>
      <c r="Q99" s="2886"/>
      <c r="R99" s="2934"/>
      <c r="S99" s="2935"/>
      <c r="T99" s="2897"/>
      <c r="U99" s="2890"/>
    </row>
    <row r="100" spans="2:21" x14ac:dyDescent="0.25">
      <c r="B100" s="2954"/>
      <c r="C100" s="2910"/>
      <c r="D100" s="2936" t="s">
        <v>1426</v>
      </c>
      <c r="E100" s="2886">
        <f>SUM(E84:E85)</f>
        <v>52</v>
      </c>
      <c r="F100" s="2908" t="s">
        <v>185</v>
      </c>
      <c r="G100" s="2886"/>
      <c r="H100" s="2934"/>
      <c r="I100" s="2886"/>
      <c r="J100" s="2934"/>
      <c r="K100" s="2886">
        <f>E101/0.2+1</f>
        <v>13.5</v>
      </c>
      <c r="L100" s="2886"/>
      <c r="M100" s="2886"/>
      <c r="N100" s="2886"/>
      <c r="O100" s="2886">
        <f>13*13*0.00625</f>
        <v>1.0562500000000001</v>
      </c>
      <c r="P100" s="2886"/>
      <c r="Q100" s="2886"/>
      <c r="R100" s="2934"/>
      <c r="S100" s="2935">
        <f>O100*K100*E100</f>
        <v>741.48750000000007</v>
      </c>
      <c r="T100" s="2897"/>
      <c r="U100" s="2890"/>
    </row>
    <row r="101" spans="2:21" x14ac:dyDescent="0.25">
      <c r="B101" s="2954"/>
      <c r="C101" s="2910"/>
      <c r="D101" s="2936"/>
      <c r="E101" s="2886">
        <v>2.5</v>
      </c>
      <c r="F101" s="2908" t="s">
        <v>1419</v>
      </c>
      <c r="G101" s="2886"/>
      <c r="H101" s="2934"/>
      <c r="I101" s="2886"/>
      <c r="J101" s="2934"/>
      <c r="K101" s="2886">
        <f>E100/0.2+1</f>
        <v>261</v>
      </c>
      <c r="L101" s="2886"/>
      <c r="M101" s="2886"/>
      <c r="N101" s="2886"/>
      <c r="O101" s="2886">
        <f>O100</f>
        <v>1.0562500000000001</v>
      </c>
      <c r="P101" s="2886"/>
      <c r="Q101" s="2886"/>
      <c r="R101" s="2934"/>
      <c r="S101" s="2935">
        <f t="shared" ref="S101:S109" si="6">O101*K101*E101</f>
        <v>689.20312500000011</v>
      </c>
      <c r="T101" s="2897"/>
      <c r="U101" s="2890"/>
    </row>
    <row r="102" spans="2:21" x14ac:dyDescent="0.25">
      <c r="B102" s="2954"/>
      <c r="C102" s="2910"/>
      <c r="D102" s="2936"/>
      <c r="E102" s="2886">
        <v>50</v>
      </c>
      <c r="F102" s="2908" t="s">
        <v>185</v>
      </c>
      <c r="G102" s="2886"/>
      <c r="H102" s="2934"/>
      <c r="I102" s="2886"/>
      <c r="J102" s="2934"/>
      <c r="K102" s="2886">
        <f>E103/0.2+1</f>
        <v>11</v>
      </c>
      <c r="L102" s="2886"/>
      <c r="M102" s="2886"/>
      <c r="N102" s="2886"/>
      <c r="O102" s="2886">
        <f>O101</f>
        <v>1.0562500000000001</v>
      </c>
      <c r="P102" s="2886"/>
      <c r="Q102" s="2886"/>
      <c r="R102" s="2934"/>
      <c r="S102" s="2935">
        <f t="shared" si="6"/>
        <v>580.93750000000011</v>
      </c>
      <c r="T102" s="2897"/>
      <c r="U102" s="2890"/>
    </row>
    <row r="103" spans="2:21" x14ac:dyDescent="0.25">
      <c r="B103" s="2954"/>
      <c r="C103" s="2910"/>
      <c r="D103" s="2936"/>
      <c r="E103" s="2886">
        <v>2</v>
      </c>
      <c r="F103" s="2908" t="s">
        <v>1419</v>
      </c>
      <c r="G103" s="2886"/>
      <c r="H103" s="2934"/>
      <c r="I103" s="2886"/>
      <c r="J103" s="2934"/>
      <c r="K103" s="2886">
        <f>E102/0.2+1</f>
        <v>251</v>
      </c>
      <c r="L103" s="2886"/>
      <c r="M103" s="2886"/>
      <c r="N103" s="2886"/>
      <c r="O103" s="2886">
        <f>O102</f>
        <v>1.0562500000000001</v>
      </c>
      <c r="P103" s="2886"/>
      <c r="Q103" s="2886"/>
      <c r="R103" s="2934"/>
      <c r="S103" s="2935">
        <f t="shared" si="6"/>
        <v>530.23750000000007</v>
      </c>
      <c r="T103" s="2897"/>
      <c r="U103" s="2890"/>
    </row>
    <row r="104" spans="2:21" x14ac:dyDescent="0.25">
      <c r="B104" s="2954"/>
      <c r="C104" s="2910"/>
      <c r="D104" s="2942" t="s">
        <v>1429</v>
      </c>
      <c r="E104" s="2886"/>
      <c r="F104" s="2934"/>
      <c r="G104" s="2886"/>
      <c r="H104" s="2934"/>
      <c r="I104" s="2886"/>
      <c r="J104" s="2934"/>
      <c r="K104" s="2886"/>
      <c r="L104" s="2886"/>
      <c r="M104" s="2886"/>
      <c r="N104" s="2886"/>
      <c r="O104" s="2886"/>
      <c r="P104" s="2886"/>
      <c r="Q104" s="2886"/>
      <c r="R104" s="2934"/>
      <c r="S104" s="2935"/>
      <c r="T104" s="2897"/>
      <c r="U104" s="2890"/>
    </row>
    <row r="105" spans="2:21" x14ac:dyDescent="0.25">
      <c r="B105" s="2954"/>
      <c r="C105" s="2910"/>
      <c r="D105" s="2936" t="s">
        <v>1426</v>
      </c>
      <c r="E105" s="2886">
        <f>E91</f>
        <v>102</v>
      </c>
      <c r="F105" s="2908" t="s">
        <v>185</v>
      </c>
      <c r="G105" s="2886"/>
      <c r="H105" s="2934"/>
      <c r="I105" s="2886"/>
      <c r="J105" s="2934"/>
      <c r="K105" s="2886">
        <f>E106/0.2+1</f>
        <v>6</v>
      </c>
      <c r="L105" s="2886"/>
      <c r="M105" s="2886"/>
      <c r="N105" s="2886"/>
      <c r="O105" s="2886">
        <f>O103</f>
        <v>1.0562500000000001</v>
      </c>
      <c r="P105" s="2886"/>
      <c r="Q105" s="2886"/>
      <c r="R105" s="2934"/>
      <c r="S105" s="2935">
        <f t="shared" si="6"/>
        <v>646.42500000000007</v>
      </c>
      <c r="T105" s="2897"/>
      <c r="U105" s="2890"/>
    </row>
    <row r="106" spans="2:21" x14ac:dyDescent="0.25">
      <c r="B106" s="2954"/>
      <c r="C106" s="2910"/>
      <c r="D106" s="2936"/>
      <c r="E106" s="2886">
        <v>1</v>
      </c>
      <c r="F106" s="2908" t="s">
        <v>1419</v>
      </c>
      <c r="G106" s="2886"/>
      <c r="H106" s="2934"/>
      <c r="I106" s="2886"/>
      <c r="J106" s="2934"/>
      <c r="K106" s="2886">
        <f>E105/0.2+1</f>
        <v>511</v>
      </c>
      <c r="L106" s="2886"/>
      <c r="M106" s="2886"/>
      <c r="N106" s="2886"/>
      <c r="O106" s="2886">
        <f>O105</f>
        <v>1.0562500000000001</v>
      </c>
      <c r="P106" s="2886"/>
      <c r="Q106" s="2886"/>
      <c r="R106" s="2934"/>
      <c r="S106" s="2935">
        <f t="shared" si="6"/>
        <v>539.74375000000009</v>
      </c>
      <c r="T106" s="2897"/>
      <c r="U106" s="2890"/>
    </row>
    <row r="107" spans="2:21" x14ac:dyDescent="0.25">
      <c r="B107" s="2954"/>
      <c r="C107" s="2910"/>
      <c r="D107" s="2907" t="s">
        <v>1430</v>
      </c>
      <c r="E107" s="2887"/>
      <c r="F107" s="2908"/>
      <c r="G107" s="2887"/>
      <c r="H107" s="2908"/>
      <c r="I107" s="2887"/>
      <c r="J107" s="2908"/>
      <c r="K107" s="2887"/>
      <c r="L107" s="2887"/>
      <c r="M107" s="2887"/>
      <c r="N107" s="2887"/>
      <c r="O107" s="2887"/>
      <c r="P107" s="2887"/>
      <c r="Q107" s="2887"/>
      <c r="R107" s="2908"/>
      <c r="S107" s="2909"/>
      <c r="T107" s="2897"/>
      <c r="U107" s="2890"/>
    </row>
    <row r="108" spans="2:21" x14ac:dyDescent="0.25">
      <c r="B108" s="2954"/>
      <c r="C108" s="2910"/>
      <c r="D108" s="2907" t="s">
        <v>1431</v>
      </c>
      <c r="E108" s="2887">
        <f>E105*4</f>
        <v>408</v>
      </c>
      <c r="F108" s="2908"/>
      <c r="G108" s="2887"/>
      <c r="H108" s="2908"/>
      <c r="I108" s="2887"/>
      <c r="J108" s="2908"/>
      <c r="K108" s="2887">
        <v>4</v>
      </c>
      <c r="L108" s="2887"/>
      <c r="M108" s="2887"/>
      <c r="N108" s="2887"/>
      <c r="O108" s="2887">
        <f>O106</f>
        <v>1.0562500000000001</v>
      </c>
      <c r="P108" s="2887"/>
      <c r="Q108" s="2887"/>
      <c r="R108" s="2908"/>
      <c r="S108" s="2935">
        <f t="shared" si="6"/>
        <v>1723.8000000000002</v>
      </c>
      <c r="T108" s="2897"/>
      <c r="U108" s="2890"/>
    </row>
    <row r="109" spans="2:21" x14ac:dyDescent="0.25">
      <c r="B109" s="2954"/>
      <c r="C109" s="2910"/>
      <c r="D109" s="2937" t="s">
        <v>1432</v>
      </c>
      <c r="E109" s="2938">
        <f>1</f>
        <v>1</v>
      </c>
      <c r="F109" s="2939"/>
      <c r="G109" s="2938"/>
      <c r="H109" s="2939"/>
      <c r="I109" s="2938"/>
      <c r="J109" s="2939"/>
      <c r="K109" s="2938">
        <f>E108/0.25+1</f>
        <v>1633</v>
      </c>
      <c r="L109" s="2938"/>
      <c r="M109" s="2938"/>
      <c r="N109" s="2938"/>
      <c r="O109" s="2938">
        <f>8*8*0.00625</f>
        <v>0.4</v>
      </c>
      <c r="P109" s="2938"/>
      <c r="Q109" s="2938"/>
      <c r="R109" s="2939"/>
      <c r="S109" s="2935">
        <f t="shared" si="6"/>
        <v>653.20000000000005</v>
      </c>
      <c r="T109" s="2897"/>
      <c r="U109" s="2890"/>
    </row>
    <row r="110" spans="2:21" x14ac:dyDescent="0.25">
      <c r="B110" s="2954"/>
      <c r="C110" s="2910"/>
      <c r="D110" s="2911"/>
      <c r="E110" s="2912"/>
      <c r="F110" s="2912"/>
      <c r="G110" s="2912"/>
      <c r="H110" s="2912"/>
      <c r="I110" s="2912"/>
      <c r="J110" s="2912"/>
      <c r="K110" s="2912"/>
      <c r="L110" s="2912"/>
      <c r="M110" s="2912"/>
      <c r="N110" s="2912"/>
      <c r="O110" s="2912"/>
      <c r="P110" s="2912"/>
      <c r="Q110" s="2912"/>
      <c r="R110" s="2912"/>
      <c r="S110" s="2913"/>
      <c r="T110" s="2897"/>
      <c r="U110" s="2890"/>
    </row>
    <row r="111" spans="2:21" ht="14.25" thickBot="1" x14ac:dyDescent="0.3">
      <c r="B111" s="2954"/>
      <c r="C111" s="2910"/>
      <c r="D111" s="3194" t="s">
        <v>164</v>
      </c>
      <c r="E111" s="3195"/>
      <c r="F111" s="3195"/>
      <c r="G111" s="3195"/>
      <c r="H111" s="3195"/>
      <c r="I111" s="3195"/>
      <c r="J111" s="2914"/>
      <c r="K111" s="2915"/>
      <c r="L111" s="2914"/>
      <c r="M111" s="2914"/>
      <c r="N111" s="2914"/>
      <c r="O111" s="2914"/>
      <c r="P111" s="2914"/>
      <c r="Q111" s="2914"/>
      <c r="R111" s="2914"/>
      <c r="S111" s="2916">
        <f>SUM(S100:S110)</f>
        <v>6105.0343750000002</v>
      </c>
      <c r="T111" s="2897"/>
      <c r="U111" s="2890"/>
    </row>
    <row r="112" spans="2:21" x14ac:dyDescent="0.25">
      <c r="C112" s="2922"/>
    </row>
    <row r="113" spans="2:21" ht="14.25" thickBot="1" x14ac:dyDescent="0.3">
      <c r="B113" s="2954"/>
      <c r="C113" s="1580" t="e">
        <f>'RAB (2)'!#REF!</f>
        <v>#REF!</v>
      </c>
      <c r="D113" s="2892"/>
      <c r="E113" s="2891"/>
      <c r="F113" s="2891"/>
      <c r="G113" s="2891"/>
      <c r="H113" s="2891"/>
      <c r="I113" s="2891"/>
      <c r="J113" s="2891"/>
      <c r="K113" s="2891"/>
      <c r="L113" s="2891"/>
      <c r="M113" s="2891"/>
      <c r="N113" s="2891"/>
      <c r="O113" s="2891"/>
      <c r="P113" s="2891"/>
      <c r="Q113" s="2891"/>
      <c r="R113" s="2891"/>
      <c r="S113" s="2892"/>
      <c r="T113" s="2897">
        <f>ROUNDDOWN(S119,2)</f>
        <v>204</v>
      </c>
      <c r="U113" s="2890" t="s">
        <v>2</v>
      </c>
    </row>
    <row r="114" spans="2:21" x14ac:dyDescent="0.25">
      <c r="B114" s="2954"/>
      <c r="C114" s="2910"/>
      <c r="D114" s="2928" t="s">
        <v>95</v>
      </c>
      <c r="E114" s="2929" t="s">
        <v>150</v>
      </c>
      <c r="F114" s="2929"/>
      <c r="G114" s="2929" t="s">
        <v>151</v>
      </c>
      <c r="H114" s="2929"/>
      <c r="I114" s="2929" t="s">
        <v>152</v>
      </c>
      <c r="J114" s="2929"/>
      <c r="K114" s="2929" t="s">
        <v>153</v>
      </c>
      <c r="L114" s="2930"/>
      <c r="M114" s="2930" t="s">
        <v>32</v>
      </c>
      <c r="N114" s="2930"/>
      <c r="O114" s="2930" t="s">
        <v>163</v>
      </c>
      <c r="P114" s="2930"/>
      <c r="Q114" s="2930" t="s">
        <v>151</v>
      </c>
      <c r="R114" s="2930"/>
      <c r="S114" s="2931" t="s">
        <v>143</v>
      </c>
      <c r="T114" s="2897"/>
      <c r="U114" s="2890"/>
    </row>
    <row r="115" spans="2:21" x14ac:dyDescent="0.25">
      <c r="B115" s="2954"/>
      <c r="C115" s="2910"/>
      <c r="D115" s="2903" t="e">
        <f>C113</f>
        <v>#REF!</v>
      </c>
      <c r="E115" s="2904"/>
      <c r="F115" s="2905"/>
      <c r="G115" s="2904"/>
      <c r="H115" s="2905"/>
      <c r="I115" s="2904"/>
      <c r="J115" s="2905"/>
      <c r="K115" s="2904"/>
      <c r="L115" s="2904"/>
      <c r="M115" s="2904"/>
      <c r="N115" s="2904"/>
      <c r="O115" s="2904"/>
      <c r="P115" s="2904"/>
      <c r="Q115" s="2904"/>
      <c r="R115" s="2905"/>
      <c r="S115" s="2906"/>
      <c r="T115" s="2897"/>
      <c r="U115" s="2890"/>
    </row>
    <row r="116" spans="2:21" x14ac:dyDescent="0.25">
      <c r="B116" s="2954"/>
      <c r="C116" s="2910"/>
      <c r="D116" s="2907"/>
      <c r="E116" s="2887">
        <f>E108</f>
        <v>408</v>
      </c>
      <c r="F116" s="2908"/>
      <c r="G116" s="2887"/>
      <c r="H116" s="2908"/>
      <c r="I116" s="2887">
        <v>0.5</v>
      </c>
      <c r="J116" s="2908"/>
      <c r="K116" s="2887"/>
      <c r="L116" s="2887"/>
      <c r="M116" s="2887"/>
      <c r="N116" s="2887"/>
      <c r="O116" s="2887"/>
      <c r="P116" s="2887"/>
      <c r="Q116" s="2887"/>
      <c r="R116" s="2908"/>
      <c r="S116" s="2909">
        <f>I116*E116</f>
        <v>204</v>
      </c>
      <c r="T116" s="2897"/>
      <c r="U116" s="2890"/>
    </row>
    <row r="117" spans="2:21" x14ac:dyDescent="0.25">
      <c r="B117" s="2954"/>
      <c r="C117" s="2910"/>
      <c r="D117" s="2907"/>
      <c r="E117" s="2887"/>
      <c r="F117" s="2908"/>
      <c r="G117" s="2887"/>
      <c r="H117" s="2908"/>
      <c r="I117" s="2887"/>
      <c r="J117" s="2908"/>
      <c r="K117" s="2887"/>
      <c r="L117" s="2887"/>
      <c r="M117" s="2887"/>
      <c r="N117" s="2887"/>
      <c r="O117" s="2887"/>
      <c r="P117" s="2887"/>
      <c r="Q117" s="2887"/>
      <c r="R117" s="2908"/>
      <c r="S117" s="2909"/>
      <c r="T117" s="2897"/>
      <c r="U117" s="2890"/>
    </row>
    <row r="118" spans="2:21" x14ac:dyDescent="0.25">
      <c r="B118" s="2954"/>
      <c r="C118" s="2910"/>
      <c r="D118" s="2911"/>
      <c r="E118" s="2912"/>
      <c r="F118" s="2912"/>
      <c r="G118" s="2912"/>
      <c r="H118" s="2912"/>
      <c r="I118" s="2912"/>
      <c r="J118" s="2912"/>
      <c r="K118" s="2912"/>
      <c r="L118" s="2912"/>
      <c r="M118" s="2912"/>
      <c r="N118" s="2912"/>
      <c r="O118" s="2912"/>
      <c r="P118" s="2912"/>
      <c r="Q118" s="2912"/>
      <c r="R118" s="2912"/>
      <c r="S118" s="2913"/>
      <c r="T118" s="2897"/>
      <c r="U118" s="2890"/>
    </row>
    <row r="119" spans="2:21" ht="14.25" thickBot="1" x14ac:dyDescent="0.3">
      <c r="B119" s="2954"/>
      <c r="C119" s="2910"/>
      <c r="D119" s="3194" t="s">
        <v>164</v>
      </c>
      <c r="E119" s="3195"/>
      <c r="F119" s="3195"/>
      <c r="G119" s="3195"/>
      <c r="H119" s="3195"/>
      <c r="I119" s="3195"/>
      <c r="J119" s="2914"/>
      <c r="K119" s="2915"/>
      <c r="L119" s="2914"/>
      <c r="M119" s="2914"/>
      <c r="N119" s="2914"/>
      <c r="O119" s="2914"/>
      <c r="P119" s="2914"/>
      <c r="Q119" s="2914"/>
      <c r="R119" s="2914"/>
      <c r="S119" s="2916">
        <f>SUM(S116:S118)</f>
        <v>204</v>
      </c>
      <c r="T119" s="2897"/>
      <c r="U119" s="2890"/>
    </row>
    <row r="120" spans="2:21" x14ac:dyDescent="0.25">
      <c r="C120" s="2922"/>
    </row>
    <row r="121" spans="2:21" x14ac:dyDescent="0.25">
      <c r="B121" s="2956" t="e">
        <f>'RAB (2)'!#REF!</f>
        <v>#REF!</v>
      </c>
      <c r="C121" s="2897" t="e">
        <f>'RAB (2)'!#REF!</f>
        <v>#REF!</v>
      </c>
      <c r="D121" s="2897"/>
      <c r="E121" s="2890"/>
      <c r="F121" s="2890"/>
      <c r="G121" s="2890"/>
      <c r="H121" s="2890"/>
      <c r="I121" s="2890"/>
      <c r="J121" s="2890"/>
      <c r="K121" s="2890"/>
      <c r="L121" s="2890"/>
      <c r="M121" s="2890"/>
      <c r="N121" s="2890"/>
      <c r="O121" s="2890"/>
      <c r="P121" s="2890"/>
      <c r="Q121" s="2890"/>
      <c r="R121" s="2890"/>
      <c r="S121" s="2897"/>
      <c r="T121" s="2897"/>
      <c r="U121" s="2890"/>
    </row>
    <row r="122" spans="2:21" ht="14.25" thickBot="1" x14ac:dyDescent="0.3">
      <c r="B122" s="2954"/>
      <c r="C122" s="1580" t="e">
        <f>'RAB (2)'!#REF!</f>
        <v>#REF!</v>
      </c>
      <c r="D122" s="2892"/>
      <c r="E122" s="2891"/>
      <c r="F122" s="2891"/>
      <c r="G122" s="2891"/>
      <c r="H122" s="2891"/>
      <c r="I122" s="2891"/>
      <c r="J122" s="2891"/>
      <c r="K122" s="2891"/>
      <c r="L122" s="2891"/>
      <c r="M122" s="2891"/>
      <c r="N122" s="2891"/>
      <c r="O122" s="2891"/>
      <c r="P122" s="2891"/>
      <c r="Q122" s="2891"/>
      <c r="R122" s="2891"/>
      <c r="S122" s="2892"/>
      <c r="T122" s="2897" t="e">
        <f>ROUNDDOWN(S129,2)</f>
        <v>#REF!</v>
      </c>
      <c r="U122" s="2890" t="s">
        <v>3</v>
      </c>
    </row>
    <row r="123" spans="2:21" x14ac:dyDescent="0.25">
      <c r="B123" s="2954"/>
      <c r="C123" s="2910"/>
      <c r="D123" s="2928" t="s">
        <v>95</v>
      </c>
      <c r="E123" s="2929" t="s">
        <v>150</v>
      </c>
      <c r="F123" s="2929"/>
      <c r="G123" s="2929" t="s">
        <v>151</v>
      </c>
      <c r="H123" s="2929"/>
      <c r="I123" s="2929" t="s">
        <v>152</v>
      </c>
      <c r="J123" s="2929"/>
      <c r="K123" s="2929" t="s">
        <v>153</v>
      </c>
      <c r="L123" s="2930"/>
      <c r="M123" s="2930" t="s">
        <v>32</v>
      </c>
      <c r="N123" s="2930"/>
      <c r="O123" s="2930" t="s">
        <v>163</v>
      </c>
      <c r="P123" s="2930"/>
      <c r="Q123" s="2930" t="s">
        <v>151</v>
      </c>
      <c r="R123" s="2930"/>
      <c r="S123" s="2931" t="s">
        <v>143</v>
      </c>
      <c r="T123" s="2897"/>
      <c r="U123" s="2890"/>
    </row>
    <row r="124" spans="2:21" x14ac:dyDescent="0.25">
      <c r="B124" s="2954"/>
      <c r="C124" s="2910"/>
      <c r="D124" s="2903" t="e">
        <f>C122</f>
        <v>#REF!</v>
      </c>
      <c r="E124" s="2904"/>
      <c r="F124" s="2905"/>
      <c r="G124" s="2904"/>
      <c r="H124" s="2905"/>
      <c r="I124" s="2904"/>
      <c r="J124" s="2905"/>
      <c r="K124" s="2904"/>
      <c r="L124" s="2904"/>
      <c r="M124" s="2904"/>
      <c r="N124" s="2904"/>
      <c r="O124" s="2904"/>
      <c r="P124" s="2904"/>
      <c r="Q124" s="2904"/>
      <c r="R124" s="2905"/>
      <c r="S124" s="2906"/>
      <c r="T124" s="2897"/>
      <c r="U124" s="2890"/>
    </row>
    <row r="125" spans="2:21" x14ac:dyDescent="0.25">
      <c r="B125" s="2954"/>
      <c r="C125" s="2910"/>
      <c r="D125" s="2907" t="s">
        <v>1417</v>
      </c>
      <c r="E125" s="2887" t="e">
        <f>#REF!</f>
        <v>#REF!</v>
      </c>
      <c r="F125" s="2908"/>
      <c r="G125" s="2887">
        <v>0.25</v>
      </c>
      <c r="H125" s="2908"/>
      <c r="I125" s="2887">
        <v>5</v>
      </c>
      <c r="J125" s="2908"/>
      <c r="K125" s="2887"/>
      <c r="L125" s="2887"/>
      <c r="M125" s="2887"/>
      <c r="N125" s="2887"/>
      <c r="O125" s="2887"/>
      <c r="P125" s="2887"/>
      <c r="Q125" s="2887"/>
      <c r="R125" s="2908"/>
      <c r="S125" s="2909" t="e">
        <f>I125*G125*E125</f>
        <v>#REF!</v>
      </c>
      <c r="T125" s="2897"/>
      <c r="U125" s="2890"/>
    </row>
    <row r="126" spans="2:21" x14ac:dyDescent="0.25">
      <c r="B126" s="2954"/>
      <c r="C126" s="2910"/>
      <c r="D126" s="2907" t="s">
        <v>1421</v>
      </c>
      <c r="E126" s="2887" t="e">
        <f>E125</f>
        <v>#REF!</v>
      </c>
      <c r="F126" s="2908"/>
      <c r="G126" s="2887">
        <v>0.75</v>
      </c>
      <c r="H126" s="2908"/>
      <c r="I126" s="2887">
        <v>0.25</v>
      </c>
      <c r="J126" s="2908"/>
      <c r="K126" s="2887"/>
      <c r="L126" s="2887"/>
      <c r="M126" s="2887"/>
      <c r="N126" s="2887"/>
      <c r="O126" s="2887"/>
      <c r="P126" s="2887"/>
      <c r="Q126" s="2887"/>
      <c r="R126" s="2908"/>
      <c r="S126" s="2909" t="e">
        <f>I126*G126*E126</f>
        <v>#REF!</v>
      </c>
      <c r="T126" s="2897"/>
      <c r="U126" s="2890"/>
    </row>
    <row r="127" spans="2:21" x14ac:dyDescent="0.25">
      <c r="B127" s="2954"/>
      <c r="C127" s="2910"/>
      <c r="D127" s="2907"/>
      <c r="E127" s="2887"/>
      <c r="F127" s="2908"/>
      <c r="G127" s="2887"/>
      <c r="H127" s="2908"/>
      <c r="I127" s="2887"/>
      <c r="J127" s="2908"/>
      <c r="K127" s="2887"/>
      <c r="L127" s="2887"/>
      <c r="M127" s="2887"/>
      <c r="N127" s="2887"/>
      <c r="O127" s="2887"/>
      <c r="P127" s="2887"/>
      <c r="Q127" s="2887"/>
      <c r="R127" s="2908"/>
      <c r="S127" s="2909"/>
      <c r="T127" s="2897"/>
      <c r="U127" s="2890"/>
    </row>
    <row r="128" spans="2:21" x14ac:dyDescent="0.25">
      <c r="B128" s="2954"/>
      <c r="C128" s="2910"/>
      <c r="D128" s="2911"/>
      <c r="E128" s="2912"/>
      <c r="F128" s="2912"/>
      <c r="G128" s="2912"/>
      <c r="H128" s="2912"/>
      <c r="I128" s="2912"/>
      <c r="J128" s="2912"/>
      <c r="K128" s="2912"/>
      <c r="L128" s="2912"/>
      <c r="M128" s="2912"/>
      <c r="N128" s="2912"/>
      <c r="O128" s="2912"/>
      <c r="P128" s="2912"/>
      <c r="Q128" s="2912"/>
      <c r="R128" s="2912"/>
      <c r="S128" s="2913"/>
      <c r="T128" s="2897"/>
      <c r="U128" s="2890"/>
    </row>
    <row r="129" spans="2:21" ht="14.25" thickBot="1" x14ac:dyDescent="0.3">
      <c r="B129" s="2954"/>
      <c r="C129" s="2910"/>
      <c r="D129" s="3194" t="s">
        <v>164</v>
      </c>
      <c r="E129" s="3195"/>
      <c r="F129" s="3195"/>
      <c r="G129" s="3195"/>
      <c r="H129" s="3195"/>
      <c r="I129" s="3195"/>
      <c r="J129" s="2914"/>
      <c r="K129" s="2915"/>
      <c r="L129" s="2914"/>
      <c r="M129" s="2914"/>
      <c r="N129" s="2914"/>
      <c r="O129" s="2914"/>
      <c r="P129" s="2914"/>
      <c r="Q129" s="2914"/>
      <c r="R129" s="2914"/>
      <c r="S129" s="2916" t="e">
        <f>SUM(S125:S128)</f>
        <v>#REF!</v>
      </c>
      <c r="T129" s="2897"/>
      <c r="U129" s="2890"/>
    </row>
    <row r="130" spans="2:21" x14ac:dyDescent="0.25">
      <c r="C130" s="2922"/>
    </row>
    <row r="131" spans="2:21" ht="14.25" thickBot="1" x14ac:dyDescent="0.3">
      <c r="B131" s="2954"/>
      <c r="C131" s="1580" t="e">
        <f>'RAB (2)'!#REF!</f>
        <v>#REF!</v>
      </c>
      <c r="D131" s="2892"/>
      <c r="E131" s="2891"/>
      <c r="F131" s="2891"/>
      <c r="G131" s="2891"/>
      <c r="H131" s="2891"/>
      <c r="I131" s="2891"/>
      <c r="J131" s="2891"/>
      <c r="K131" s="2891"/>
      <c r="L131" s="2891"/>
      <c r="M131" s="2891"/>
      <c r="N131" s="2891"/>
      <c r="O131" s="2891"/>
      <c r="P131" s="2891"/>
      <c r="Q131" s="2891"/>
      <c r="R131" s="2891"/>
      <c r="S131" s="2892"/>
      <c r="T131" s="2897" t="e">
        <f>ROUNDDOWN(S139,2)</f>
        <v>#REF!</v>
      </c>
      <c r="U131" s="2890" t="s">
        <v>0</v>
      </c>
    </row>
    <row r="132" spans="2:21" x14ac:dyDescent="0.25">
      <c r="B132" s="2954"/>
      <c r="C132" s="2910"/>
      <c r="D132" s="2928" t="s">
        <v>95</v>
      </c>
      <c r="E132" s="2929" t="s">
        <v>150</v>
      </c>
      <c r="F132" s="2929"/>
      <c r="G132" s="2929" t="s">
        <v>151</v>
      </c>
      <c r="H132" s="2929"/>
      <c r="I132" s="2929" t="s">
        <v>152</v>
      </c>
      <c r="J132" s="2929"/>
      <c r="K132" s="2929" t="s">
        <v>153</v>
      </c>
      <c r="L132" s="2930"/>
      <c r="M132" s="2930" t="s">
        <v>32</v>
      </c>
      <c r="N132" s="2930"/>
      <c r="O132" s="2930" t="s">
        <v>163</v>
      </c>
      <c r="P132" s="2930"/>
      <c r="Q132" s="2930" t="s">
        <v>151</v>
      </c>
      <c r="R132" s="2930"/>
      <c r="S132" s="2931" t="s">
        <v>143</v>
      </c>
      <c r="T132" s="2897"/>
      <c r="U132" s="2890"/>
    </row>
    <row r="133" spans="2:21" x14ac:dyDescent="0.25">
      <c r="B133" s="2954"/>
      <c r="C133" s="2910"/>
      <c r="D133" s="2903" t="e">
        <f>C131</f>
        <v>#REF!</v>
      </c>
      <c r="E133" s="2904"/>
      <c r="F133" s="2905"/>
      <c r="G133" s="2904"/>
      <c r="H133" s="2905"/>
      <c r="I133" s="2904"/>
      <c r="J133" s="2905"/>
      <c r="K133" s="2904"/>
      <c r="L133" s="2904"/>
      <c r="M133" s="2904"/>
      <c r="N133" s="2904"/>
      <c r="O133" s="2904"/>
      <c r="P133" s="2904"/>
      <c r="Q133" s="2904"/>
      <c r="R133" s="2905"/>
      <c r="S133" s="2906"/>
      <c r="T133" s="2897"/>
      <c r="U133" s="2890"/>
    </row>
    <row r="134" spans="2:21" x14ac:dyDescent="0.25">
      <c r="B134" s="2954"/>
      <c r="C134" s="2910"/>
      <c r="D134" s="2907" t="s">
        <v>1417</v>
      </c>
      <c r="E134" s="2886" t="e">
        <f>E125</f>
        <v>#REF!</v>
      </c>
      <c r="F134" s="2908" t="s">
        <v>185</v>
      </c>
      <c r="G134" s="2886"/>
      <c r="H134" s="2934"/>
      <c r="I134" s="2886"/>
      <c r="J134" s="2934"/>
      <c r="K134" s="2886">
        <f>E135/0.2+1</f>
        <v>33.5</v>
      </c>
      <c r="L134" s="2886"/>
      <c r="M134" s="2886"/>
      <c r="N134" s="2886"/>
      <c r="O134" s="2886">
        <f>13*13*0.00625</f>
        <v>1.0562500000000001</v>
      </c>
      <c r="P134" s="2886"/>
      <c r="Q134" s="2886"/>
      <c r="R134" s="2934"/>
      <c r="S134" s="2935" t="e">
        <f>O134*K134*E134</f>
        <v>#REF!</v>
      </c>
      <c r="T134" s="2897"/>
      <c r="U134" s="2890"/>
    </row>
    <row r="135" spans="2:21" x14ac:dyDescent="0.25">
      <c r="B135" s="2954"/>
      <c r="C135" s="2910"/>
      <c r="D135" s="2933"/>
      <c r="E135" s="2886">
        <v>6.5</v>
      </c>
      <c r="F135" s="2908" t="s">
        <v>1419</v>
      </c>
      <c r="G135" s="2886"/>
      <c r="H135" s="2934"/>
      <c r="I135" s="2886"/>
      <c r="J135" s="2934"/>
      <c r="K135" s="2886" t="e">
        <f>E134/0.25+1</f>
        <v>#REF!</v>
      </c>
      <c r="L135" s="2886"/>
      <c r="M135" s="2886"/>
      <c r="N135" s="2886"/>
      <c r="O135" s="2886">
        <f>O134</f>
        <v>1.0562500000000001</v>
      </c>
      <c r="P135" s="2886"/>
      <c r="Q135" s="2886"/>
      <c r="R135" s="2934"/>
      <c r="S135" s="2935" t="e">
        <f>O135*K135*E135</f>
        <v>#REF!</v>
      </c>
      <c r="T135" s="2897"/>
      <c r="U135" s="2890"/>
    </row>
    <row r="136" spans="2:21" x14ac:dyDescent="0.25">
      <c r="B136" s="2954"/>
      <c r="C136" s="2910"/>
      <c r="D136" s="2907" t="s">
        <v>1421</v>
      </c>
      <c r="E136" s="2887" t="e">
        <f>E126</f>
        <v>#REF!</v>
      </c>
      <c r="F136" s="2908" t="s">
        <v>185</v>
      </c>
      <c r="G136" s="2887"/>
      <c r="H136" s="2908"/>
      <c r="I136" s="2887"/>
      <c r="J136" s="2908"/>
      <c r="K136" s="2887">
        <f>E137/0.2+1</f>
        <v>9.75</v>
      </c>
      <c r="L136" s="2887"/>
      <c r="M136" s="2887"/>
      <c r="N136" s="2887"/>
      <c r="O136" s="2887">
        <f>O134</f>
        <v>1.0562500000000001</v>
      </c>
      <c r="P136" s="2887"/>
      <c r="Q136" s="2887"/>
      <c r="R136" s="2908"/>
      <c r="S136" s="2935" t="e">
        <f t="shared" ref="S136:S137" si="7">O136*K136*E136</f>
        <v>#REF!</v>
      </c>
      <c r="T136" s="2897"/>
      <c r="U136" s="2890"/>
    </row>
    <row r="137" spans="2:21" x14ac:dyDescent="0.25">
      <c r="B137" s="2954"/>
      <c r="C137" s="2910"/>
      <c r="D137" s="2907"/>
      <c r="E137" s="2887">
        <v>1.75</v>
      </c>
      <c r="F137" s="2908" t="s">
        <v>1419</v>
      </c>
      <c r="G137" s="2887"/>
      <c r="H137" s="2908"/>
      <c r="I137" s="2887"/>
      <c r="J137" s="2908"/>
      <c r="K137" s="2887" t="e">
        <f>E136/0.25+1</f>
        <v>#REF!</v>
      </c>
      <c r="L137" s="2887"/>
      <c r="M137" s="2887"/>
      <c r="N137" s="2887"/>
      <c r="O137" s="2887">
        <f>O135</f>
        <v>1.0562500000000001</v>
      </c>
      <c r="P137" s="2887"/>
      <c r="Q137" s="2887"/>
      <c r="R137" s="2908"/>
      <c r="S137" s="2935" t="e">
        <f t="shared" si="7"/>
        <v>#REF!</v>
      </c>
      <c r="T137" s="2897"/>
      <c r="U137" s="2890"/>
    </row>
    <row r="138" spans="2:21" x14ac:dyDescent="0.25">
      <c r="B138" s="2954"/>
      <c r="C138" s="2910"/>
      <c r="D138" s="2911"/>
      <c r="E138" s="2912"/>
      <c r="F138" s="2912"/>
      <c r="G138" s="2912"/>
      <c r="H138" s="2912"/>
      <c r="I138" s="2912"/>
      <c r="J138" s="2912"/>
      <c r="K138" s="2912"/>
      <c r="L138" s="2912"/>
      <c r="M138" s="2912"/>
      <c r="N138" s="2912"/>
      <c r="O138" s="2912"/>
      <c r="P138" s="2912"/>
      <c r="Q138" s="2912"/>
      <c r="R138" s="2912"/>
      <c r="S138" s="2913"/>
      <c r="T138" s="2897"/>
      <c r="U138" s="2890"/>
    </row>
    <row r="139" spans="2:21" ht="14.25" thickBot="1" x14ac:dyDescent="0.3">
      <c r="B139" s="2954"/>
      <c r="C139" s="2910"/>
      <c r="D139" s="3194" t="s">
        <v>164</v>
      </c>
      <c r="E139" s="3195"/>
      <c r="F139" s="3195"/>
      <c r="G139" s="3195"/>
      <c r="H139" s="3195"/>
      <c r="I139" s="3195"/>
      <c r="J139" s="2914"/>
      <c r="K139" s="2915"/>
      <c r="L139" s="2914"/>
      <c r="M139" s="2914"/>
      <c r="N139" s="2914"/>
      <c r="O139" s="2914"/>
      <c r="P139" s="2914"/>
      <c r="Q139" s="2914"/>
      <c r="R139" s="2914"/>
      <c r="S139" s="2916" t="e">
        <f>SUM(S134:S138)</f>
        <v>#REF!</v>
      </c>
      <c r="T139" s="2897"/>
      <c r="U139" s="2890"/>
    </row>
    <row r="140" spans="2:21" x14ac:dyDescent="0.25">
      <c r="C140" s="2922"/>
    </row>
    <row r="141" spans="2:21" ht="14.25" thickBot="1" x14ac:dyDescent="0.3">
      <c r="B141" s="2954"/>
      <c r="C141" s="1580" t="e">
        <f>'RAB (2)'!#REF!</f>
        <v>#REF!</v>
      </c>
      <c r="D141" s="2892"/>
      <c r="E141" s="2891"/>
      <c r="F141" s="2891"/>
      <c r="G141" s="2891"/>
      <c r="H141" s="2891"/>
      <c r="I141" s="2891"/>
      <c r="J141" s="2891"/>
      <c r="K141" s="2891"/>
      <c r="L141" s="2891"/>
      <c r="M141" s="2891"/>
      <c r="N141" s="2891"/>
      <c r="O141" s="2891"/>
      <c r="P141" s="2891"/>
      <c r="Q141" s="2891"/>
      <c r="R141" s="2891"/>
      <c r="S141" s="2892"/>
      <c r="T141" s="2897" t="e">
        <f>ROUNDDOWN(S147,2)</f>
        <v>#REF!</v>
      </c>
      <c r="U141" s="2890" t="s">
        <v>2</v>
      </c>
    </row>
    <row r="142" spans="2:21" x14ac:dyDescent="0.25">
      <c r="B142" s="2954"/>
      <c r="C142" s="2910"/>
      <c r="D142" s="2928" t="s">
        <v>95</v>
      </c>
      <c r="E142" s="2929" t="s">
        <v>150</v>
      </c>
      <c r="F142" s="2929"/>
      <c r="G142" s="2929" t="s">
        <v>151</v>
      </c>
      <c r="H142" s="2929"/>
      <c r="I142" s="2929" t="s">
        <v>152</v>
      </c>
      <c r="J142" s="2929"/>
      <c r="K142" s="2929" t="s">
        <v>153</v>
      </c>
      <c r="L142" s="2930"/>
      <c r="M142" s="2930" t="s">
        <v>32</v>
      </c>
      <c r="N142" s="2930"/>
      <c r="O142" s="2930" t="s">
        <v>163</v>
      </c>
      <c r="P142" s="2930"/>
      <c r="Q142" s="2930" t="s">
        <v>151</v>
      </c>
      <c r="R142" s="2930"/>
      <c r="S142" s="2931" t="s">
        <v>143</v>
      </c>
      <c r="T142" s="2897"/>
      <c r="U142" s="2890"/>
    </row>
    <row r="143" spans="2:21" x14ac:dyDescent="0.25">
      <c r="B143" s="2954"/>
      <c r="C143" s="2910"/>
      <c r="D143" s="2903" t="e">
        <f>C141</f>
        <v>#REF!</v>
      </c>
      <c r="E143" s="2904"/>
      <c r="F143" s="2905"/>
      <c r="G143" s="2904"/>
      <c r="H143" s="2905"/>
      <c r="I143" s="2904"/>
      <c r="J143" s="2905"/>
      <c r="K143" s="2904"/>
      <c r="L143" s="2904"/>
      <c r="M143" s="2904"/>
      <c r="N143" s="2904"/>
      <c r="O143" s="2904"/>
      <c r="P143" s="2904"/>
      <c r="Q143" s="2904"/>
      <c r="R143" s="2905"/>
      <c r="S143" s="2906"/>
      <c r="T143" s="2897"/>
      <c r="U143" s="2890"/>
    </row>
    <row r="144" spans="2:21" x14ac:dyDescent="0.25">
      <c r="B144" s="2954"/>
      <c r="C144" s="2910"/>
      <c r="D144" s="2907" t="s">
        <v>1417</v>
      </c>
      <c r="E144" s="2887" t="e">
        <f>E134</f>
        <v>#REF!</v>
      </c>
      <c r="F144" s="2908"/>
      <c r="G144" s="2887"/>
      <c r="H144" s="2908"/>
      <c r="I144" s="2887">
        <v>3</v>
      </c>
      <c r="J144" s="2908"/>
      <c r="K144" s="2887"/>
      <c r="L144" s="2887"/>
      <c r="M144" s="2887"/>
      <c r="N144" s="2887"/>
      <c r="O144" s="2887"/>
      <c r="P144" s="2887"/>
      <c r="Q144" s="2887"/>
      <c r="R144" s="2908"/>
      <c r="S144" s="2909" t="e">
        <f>I144*E144</f>
        <v>#REF!</v>
      </c>
      <c r="T144" s="2897"/>
      <c r="U144" s="2890"/>
    </row>
    <row r="145" spans="2:21" x14ac:dyDescent="0.25">
      <c r="B145" s="2954"/>
      <c r="C145" s="2910"/>
      <c r="D145" s="2907" t="s">
        <v>1421</v>
      </c>
      <c r="E145" s="2887" t="e">
        <f>E144</f>
        <v>#REF!</v>
      </c>
      <c r="F145" s="2908"/>
      <c r="G145" s="2887"/>
      <c r="H145" s="2908"/>
      <c r="I145" s="2887">
        <v>0.5</v>
      </c>
      <c r="J145" s="2908"/>
      <c r="K145" s="2887"/>
      <c r="L145" s="2887"/>
      <c r="M145" s="2887"/>
      <c r="N145" s="2887"/>
      <c r="O145" s="2887"/>
      <c r="P145" s="2887"/>
      <c r="Q145" s="2887"/>
      <c r="R145" s="2908"/>
      <c r="S145" s="2909" t="e">
        <f>I145*E145</f>
        <v>#REF!</v>
      </c>
      <c r="T145" s="2897"/>
      <c r="U145" s="2890"/>
    </row>
    <row r="146" spans="2:21" x14ac:dyDescent="0.25">
      <c r="B146" s="2954"/>
      <c r="C146" s="2910"/>
      <c r="D146" s="2911"/>
      <c r="E146" s="2912"/>
      <c r="F146" s="2912"/>
      <c r="G146" s="2912"/>
      <c r="H146" s="2912"/>
      <c r="I146" s="2912"/>
      <c r="J146" s="2912"/>
      <c r="K146" s="2912"/>
      <c r="L146" s="2912"/>
      <c r="M146" s="2912"/>
      <c r="N146" s="2912"/>
      <c r="O146" s="2912"/>
      <c r="P146" s="2912"/>
      <c r="Q146" s="2912"/>
      <c r="R146" s="2912"/>
      <c r="S146" s="2913"/>
      <c r="T146" s="2897"/>
      <c r="U146" s="2890"/>
    </row>
    <row r="147" spans="2:21" ht="14.25" thickBot="1" x14ac:dyDescent="0.3">
      <c r="B147" s="2954"/>
      <c r="C147" s="2910"/>
      <c r="D147" s="3194" t="s">
        <v>164</v>
      </c>
      <c r="E147" s="3195"/>
      <c r="F147" s="3195"/>
      <c r="G147" s="3195"/>
      <c r="H147" s="3195"/>
      <c r="I147" s="3195"/>
      <c r="J147" s="2914"/>
      <c r="K147" s="2915"/>
      <c r="L147" s="2914"/>
      <c r="M147" s="2914"/>
      <c r="N147" s="2914"/>
      <c r="O147" s="2914"/>
      <c r="P147" s="2914"/>
      <c r="Q147" s="2914"/>
      <c r="R147" s="2914"/>
      <c r="S147" s="2916" t="e">
        <f>SUM(S144:S146)</f>
        <v>#REF!</v>
      </c>
      <c r="T147" s="2897"/>
      <c r="U147" s="2890"/>
    </row>
    <row r="148" spans="2:21" x14ac:dyDescent="0.25">
      <c r="C148" s="2922"/>
    </row>
  </sheetData>
  <mergeCells count="13">
    <mergeCell ref="D94:I94"/>
    <mergeCell ref="D40:I40"/>
    <mergeCell ref="D76:I76"/>
    <mergeCell ref="B2:U2"/>
    <mergeCell ref="D14:I14"/>
    <mergeCell ref="D31:I31"/>
    <mergeCell ref="D51:I51"/>
    <mergeCell ref="D67:I67"/>
    <mergeCell ref="D111:I111"/>
    <mergeCell ref="D119:I119"/>
    <mergeCell ref="D129:I129"/>
    <mergeCell ref="D139:I139"/>
    <mergeCell ref="D147:I147"/>
  </mergeCells>
  <printOptions horizontalCentered="1"/>
  <pageMargins left="0.75" right="0.25" top="0.75" bottom="0" header="0" footer="0"/>
  <pageSetup paperSize="9" scale="60" orientation="portrait" horizontalDpi="4294967293" r:id="rId1"/>
  <rowBreaks count="5" manualBreakCount="5">
    <brk id="95" min="1" max="20" man="1"/>
    <brk id="120" min="1" max="20" man="1"/>
    <brk id="847" min="1" max="20" man="1"/>
    <brk id="1826" min="1" max="20" man="1"/>
    <brk id="2576" min="1" max="20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711"/>
  <sheetViews>
    <sheetView showGridLines="0" view="pageBreakPreview" topLeftCell="A67" zoomScale="90" zoomScaleSheetLayoutView="90" workbookViewId="0">
      <selection activeCell="G168" sqref="G168"/>
    </sheetView>
  </sheetViews>
  <sheetFormatPr defaultColWidth="9.28515625" defaultRowHeight="16.5" x14ac:dyDescent="0.2"/>
  <cols>
    <col min="1" max="1" width="4.42578125" style="1438" customWidth="1"/>
    <col min="2" max="2" width="5.7109375" style="1376" customWidth="1"/>
    <col min="3" max="3" width="59.28515625" style="1483" customWidth="1"/>
    <col min="4" max="4" width="1.5703125" style="1484" customWidth="1"/>
    <col min="5" max="5" width="11.7109375" style="1376" customWidth="1"/>
    <col min="6" max="6" width="9.42578125" style="1485" bestFit="1" customWidth="1"/>
    <col min="7" max="7" width="17.85546875" style="1389" bestFit="1" customWidth="1"/>
    <col min="8" max="8" width="16.7109375" style="1389" customWidth="1"/>
    <col min="9" max="9" width="6.42578125" style="1416" bestFit="1" customWidth="1"/>
    <col min="10" max="10" width="6.5703125" style="1486" bestFit="1" customWidth="1"/>
    <col min="11" max="11" width="7.140625" style="1487" customWidth="1"/>
    <col min="12" max="12" width="7.140625" style="1452" customWidth="1"/>
    <col min="13" max="13" width="7.5703125" style="1375" customWidth="1"/>
    <col min="14" max="14" width="7.42578125" style="1375" customWidth="1"/>
    <col min="15" max="15" width="14.85546875" style="1488" customWidth="1"/>
    <col min="16" max="16" width="3.5703125" style="1375" bestFit="1" customWidth="1"/>
    <col min="17" max="17" width="2" style="1375" bestFit="1" customWidth="1"/>
    <col min="18" max="18" width="6.7109375" style="1375" bestFit="1" customWidth="1"/>
    <col min="19" max="19" width="3.5703125" style="1375" bestFit="1" customWidth="1"/>
    <col min="20" max="20" width="9.28515625" style="1375"/>
    <col min="21" max="16384" width="9.28515625" style="1376"/>
  </cols>
  <sheetData>
    <row r="1" spans="1:20" ht="15.6" customHeight="1" x14ac:dyDescent="0.2">
      <c r="A1" s="1367"/>
      <c r="B1" s="3201" t="s">
        <v>319</v>
      </c>
      <c r="C1" s="3201"/>
      <c r="D1" s="3201"/>
      <c r="E1" s="3201"/>
      <c r="F1" s="3201"/>
      <c r="G1" s="3201"/>
      <c r="H1" s="3201"/>
      <c r="I1" s="1368"/>
      <c r="J1" s="1369"/>
      <c r="K1" s="1370"/>
      <c r="L1" s="1371"/>
      <c r="M1" s="1372"/>
      <c r="N1" s="1370"/>
      <c r="O1" s="1373"/>
      <c r="P1" s="1374"/>
      <c r="R1" s="1376"/>
      <c r="S1" s="1376"/>
      <c r="T1" s="1376"/>
    </row>
    <row r="2" spans="1:20" ht="15.6" customHeight="1" x14ac:dyDescent="0.2">
      <c r="A2" s="1367"/>
      <c r="B2" s="3201" t="s">
        <v>320</v>
      </c>
      <c r="C2" s="3201"/>
      <c r="D2" s="3201"/>
      <c r="E2" s="3201"/>
      <c r="F2" s="3201"/>
      <c r="G2" s="3201"/>
      <c r="H2" s="3201"/>
      <c r="I2" s="1368"/>
      <c r="J2" s="1369"/>
      <c r="K2" s="1370"/>
      <c r="L2" s="1377"/>
      <c r="M2" s="1374"/>
      <c r="N2" s="1370"/>
      <c r="O2" s="1373"/>
      <c r="P2" s="1374"/>
      <c r="R2" s="1376"/>
      <c r="S2" s="1376"/>
      <c r="T2" s="1376"/>
    </row>
    <row r="3" spans="1:20" ht="7.5" customHeight="1" x14ac:dyDescent="0.2">
      <c r="A3" s="1367"/>
      <c r="B3" s="1378"/>
      <c r="C3" s="1379"/>
      <c r="D3" s="1380"/>
      <c r="E3" s="1378"/>
      <c r="F3" s="1381"/>
      <c r="G3" s="1382"/>
      <c r="H3" s="1382"/>
      <c r="I3" s="1383"/>
      <c r="J3" s="1369"/>
      <c r="K3" s="1384"/>
      <c r="L3" s="1385"/>
      <c r="M3" s="1386"/>
      <c r="N3" s="1387"/>
      <c r="O3" s="1386"/>
      <c r="P3" s="1386"/>
      <c r="R3" s="1376"/>
      <c r="S3" s="1376"/>
      <c r="T3" s="1376"/>
    </row>
    <row r="4" spans="1:20" ht="15.6" customHeight="1" x14ac:dyDescent="0.2">
      <c r="A4" s="1367">
        <v>1</v>
      </c>
      <c r="B4" s="1378" t="s">
        <v>12</v>
      </c>
      <c r="C4" s="1379"/>
      <c r="D4" s="1380" t="s">
        <v>308</v>
      </c>
      <c r="E4" s="1376" t="s">
        <v>1292</v>
      </c>
      <c r="F4" s="1381"/>
      <c r="G4" s="1382"/>
      <c r="H4" s="1382"/>
      <c r="I4" s="1383"/>
      <c r="J4" s="1369"/>
      <c r="K4" s="1384"/>
      <c r="L4" s="1385"/>
      <c r="M4" s="1386"/>
      <c r="N4" s="1387"/>
      <c r="O4" s="1386"/>
      <c r="P4" s="1386"/>
      <c r="R4" s="1376"/>
      <c r="S4" s="1376"/>
      <c r="T4" s="1376"/>
    </row>
    <row r="5" spans="1:20" ht="15.6" customHeight="1" x14ac:dyDescent="0.2">
      <c r="A5" s="1388"/>
      <c r="B5" s="1378" t="s">
        <v>321</v>
      </c>
      <c r="C5" s="1379"/>
      <c r="D5" s="1380" t="s">
        <v>308</v>
      </c>
      <c r="E5" s="1376" t="s">
        <v>322</v>
      </c>
      <c r="F5" s="1376"/>
      <c r="I5" s="1390"/>
      <c r="J5" s="1369"/>
      <c r="K5" s="1384"/>
      <c r="L5" s="1385"/>
      <c r="M5" s="1386"/>
      <c r="N5" s="1387"/>
      <c r="O5" s="1386"/>
      <c r="P5" s="1386"/>
      <c r="R5" s="1376"/>
      <c r="S5" s="1376"/>
      <c r="T5" s="1376"/>
    </row>
    <row r="6" spans="1:20" ht="15.6" customHeight="1" x14ac:dyDescent="0.2">
      <c r="A6" s="1367"/>
      <c r="B6" s="1378" t="s">
        <v>323</v>
      </c>
      <c r="C6" s="1379"/>
      <c r="D6" s="1380" t="s">
        <v>308</v>
      </c>
      <c r="E6" s="1391" t="s">
        <v>324</v>
      </c>
      <c r="F6" s="1381"/>
      <c r="G6" s="1382"/>
      <c r="H6" s="1382"/>
      <c r="I6" s="1383"/>
      <c r="J6" s="1369"/>
      <c r="K6" s="1384"/>
      <c r="L6" s="1385"/>
      <c r="M6" s="1386"/>
      <c r="N6" s="1387"/>
      <c r="O6" s="1386"/>
      <c r="P6" s="1386"/>
      <c r="R6" s="1376"/>
      <c r="S6" s="1376"/>
      <c r="T6" s="1376"/>
    </row>
    <row r="7" spans="1:20" ht="15.6" customHeight="1" x14ac:dyDescent="0.2">
      <c r="A7" s="1367"/>
      <c r="B7" s="1378" t="s">
        <v>325</v>
      </c>
      <c r="C7" s="1379"/>
      <c r="D7" s="1380" t="s">
        <v>308</v>
      </c>
      <c r="E7" s="1391" t="s">
        <v>326</v>
      </c>
      <c r="F7" s="1381"/>
      <c r="G7" s="1382"/>
      <c r="H7" s="1382"/>
      <c r="I7" s="1383"/>
      <c r="J7" s="1369"/>
      <c r="K7" s="1384"/>
      <c r="L7" s="1385"/>
      <c r="M7" s="1386"/>
      <c r="N7" s="1387"/>
      <c r="O7" s="1386"/>
      <c r="P7" s="1386"/>
      <c r="R7" s="1376"/>
      <c r="S7" s="1376"/>
      <c r="T7" s="1376"/>
    </row>
    <row r="8" spans="1:20" ht="15.6" customHeight="1" x14ac:dyDescent="0.2">
      <c r="A8" s="1367"/>
      <c r="B8" s="1378" t="s">
        <v>327</v>
      </c>
      <c r="C8" s="1379"/>
      <c r="D8" s="1380" t="s">
        <v>308</v>
      </c>
      <c r="E8" s="3202">
        <f>H81</f>
        <v>29450000</v>
      </c>
      <c r="F8" s="3202"/>
      <c r="G8" s="1382"/>
      <c r="H8" s="1382"/>
      <c r="I8" s="1383"/>
      <c r="J8" s="1369"/>
      <c r="K8" s="1384"/>
      <c r="L8" s="1385"/>
      <c r="M8" s="1386"/>
      <c r="N8" s="1387"/>
      <c r="O8" s="1386"/>
      <c r="P8" s="1386"/>
      <c r="R8" s="1376"/>
      <c r="S8" s="1376"/>
      <c r="T8" s="1376"/>
    </row>
    <row r="9" spans="1:20" ht="15.6" customHeight="1" x14ac:dyDescent="0.2">
      <c r="A9" s="1367"/>
      <c r="B9" s="1378" t="s">
        <v>328</v>
      </c>
      <c r="C9" s="1379"/>
      <c r="D9" s="1380"/>
      <c r="E9" s="1378"/>
      <c r="F9" s="1381"/>
      <c r="G9" s="1382"/>
      <c r="H9" s="1382"/>
      <c r="I9" s="1383"/>
      <c r="J9" s="1369"/>
      <c r="K9" s="1384"/>
      <c r="L9" s="1385"/>
      <c r="M9" s="1386"/>
      <c r="N9" s="1387"/>
      <c r="O9" s="1386"/>
      <c r="P9" s="1386"/>
      <c r="R9" s="1376"/>
      <c r="S9" s="1376"/>
      <c r="T9" s="1376"/>
    </row>
    <row r="10" spans="1:20" ht="15.6" customHeight="1" x14ac:dyDescent="0.2">
      <c r="A10" s="1367"/>
      <c r="B10" s="3203" t="s">
        <v>12</v>
      </c>
      <c r="C10" s="3205" t="s">
        <v>36</v>
      </c>
      <c r="D10" s="1392"/>
      <c r="E10" s="3203" t="s">
        <v>14</v>
      </c>
      <c r="F10" s="3207" t="s">
        <v>38</v>
      </c>
      <c r="G10" s="1393" t="s">
        <v>327</v>
      </c>
      <c r="H10" s="1394" t="s">
        <v>329</v>
      </c>
      <c r="I10" s="1395"/>
      <c r="J10" s="1376"/>
      <c r="K10" s="1376"/>
      <c r="L10" s="1376"/>
      <c r="M10" s="1376"/>
      <c r="N10" s="1376"/>
      <c r="O10" s="1376"/>
      <c r="P10" s="1376"/>
      <c r="Q10" s="1376"/>
      <c r="R10" s="1376"/>
      <c r="S10" s="1376"/>
      <c r="T10" s="1376"/>
    </row>
    <row r="11" spans="1:20" ht="15.6" customHeight="1" thickBot="1" x14ac:dyDescent="0.25">
      <c r="A11" s="1367"/>
      <c r="B11" s="3204"/>
      <c r="C11" s="3206"/>
      <c r="D11" s="1396"/>
      <c r="E11" s="3204"/>
      <c r="F11" s="3208"/>
      <c r="G11" s="1397" t="s">
        <v>125</v>
      </c>
      <c r="H11" s="1397" t="s">
        <v>125</v>
      </c>
      <c r="I11" s="1395"/>
      <c r="J11" s="1376"/>
      <c r="K11" s="1376"/>
      <c r="L11" s="1376"/>
      <c r="M11" s="1376"/>
      <c r="N11" s="1376"/>
      <c r="O11" s="1376"/>
      <c r="P11" s="1376"/>
      <c r="Q11" s="1376"/>
      <c r="R11" s="1376"/>
      <c r="S11" s="1376"/>
      <c r="T11" s="1376"/>
    </row>
    <row r="12" spans="1:20" ht="15.6" customHeight="1" thickTop="1" x14ac:dyDescent="0.2">
      <c r="A12" s="1367"/>
      <c r="B12" s="1398"/>
      <c r="C12" s="1399"/>
      <c r="D12" s="1400"/>
      <c r="E12" s="1398"/>
      <c r="F12" s="1401"/>
      <c r="G12" s="1402"/>
      <c r="H12" s="1402"/>
      <c r="I12" s="1403"/>
      <c r="J12" s="1376"/>
      <c r="K12" s="1376"/>
      <c r="L12" s="1376"/>
      <c r="M12" s="1376"/>
      <c r="N12" s="1376"/>
      <c r="O12" s="1376"/>
      <c r="P12" s="1376"/>
      <c r="Q12" s="1376"/>
      <c r="R12" s="1376"/>
      <c r="S12" s="1376"/>
      <c r="T12" s="1376"/>
    </row>
    <row r="13" spans="1:20" ht="15.6" customHeight="1" x14ac:dyDescent="0.2">
      <c r="A13" s="1367"/>
      <c r="B13" s="1404" t="s">
        <v>41</v>
      </c>
      <c r="C13" s="1405" t="s">
        <v>330</v>
      </c>
      <c r="D13" s="1406"/>
      <c r="E13" s="1407"/>
      <c r="F13" s="1408"/>
      <c r="G13" s="1409"/>
      <c r="H13" s="1409"/>
      <c r="I13" s="1383"/>
      <c r="J13" s="1376"/>
      <c r="K13" s="1376"/>
      <c r="L13" s="1376"/>
      <c r="M13" s="1376"/>
      <c r="N13" s="1376"/>
      <c r="O13" s="1376"/>
      <c r="P13" s="1376"/>
      <c r="Q13" s="1376"/>
      <c r="R13" s="1376"/>
      <c r="S13" s="1376"/>
      <c r="T13" s="1376"/>
    </row>
    <row r="14" spans="1:20" ht="15.6" customHeight="1" x14ac:dyDescent="0.2">
      <c r="A14" s="1367"/>
      <c r="B14" s="1410">
        <v>1</v>
      </c>
      <c r="C14" s="1411" t="s">
        <v>331</v>
      </c>
      <c r="D14" s="1412"/>
      <c r="E14" s="1413" t="s">
        <v>115</v>
      </c>
      <c r="F14" s="1414">
        <v>1</v>
      </c>
      <c r="G14" s="1415">
        <f>BAHAN!G101</f>
        <v>300000</v>
      </c>
      <c r="H14" s="1409">
        <f>F14*G14</f>
        <v>300000</v>
      </c>
      <c r="J14" s="1376"/>
      <c r="K14" s="1376"/>
      <c r="L14" s="1376"/>
      <c r="M14" s="1376"/>
      <c r="N14" s="1376"/>
      <c r="O14" s="1376"/>
      <c r="P14" s="1376"/>
      <c r="Q14" s="1376"/>
      <c r="R14" s="1376"/>
      <c r="S14" s="1376"/>
      <c r="T14" s="1376"/>
    </row>
    <row r="15" spans="1:20" ht="15.6" customHeight="1" x14ac:dyDescent="0.2">
      <c r="A15" s="1367"/>
      <c r="B15" s="1410">
        <f>B14+1</f>
        <v>2</v>
      </c>
      <c r="C15" s="1417" t="s">
        <v>652</v>
      </c>
      <c r="D15" s="1418"/>
      <c r="E15" s="1413" t="s">
        <v>115</v>
      </c>
      <c r="F15" s="1414">
        <v>1</v>
      </c>
      <c r="G15" s="1415">
        <f>BAHAN!G102</f>
        <v>200000</v>
      </c>
      <c r="H15" s="1409">
        <f>F15*G15</f>
        <v>200000</v>
      </c>
      <c r="J15" s="1376"/>
      <c r="K15" s="1376"/>
      <c r="L15" s="1376"/>
      <c r="M15" s="1376"/>
      <c r="N15" s="1376"/>
      <c r="O15" s="1376"/>
      <c r="P15" s="1376"/>
      <c r="Q15" s="1376"/>
      <c r="R15" s="1376"/>
      <c r="S15" s="1376"/>
      <c r="T15" s="1376"/>
    </row>
    <row r="16" spans="1:20" ht="15.6" customHeight="1" x14ac:dyDescent="0.2">
      <c r="A16" s="1367"/>
      <c r="B16" s="1410">
        <f>B15+1</f>
        <v>3</v>
      </c>
      <c r="C16" s="1417" t="s">
        <v>653</v>
      </c>
      <c r="D16" s="1418"/>
      <c r="E16" s="1413" t="s">
        <v>115</v>
      </c>
      <c r="F16" s="1414">
        <v>1</v>
      </c>
      <c r="G16" s="1415">
        <f>BAHAN!G103</f>
        <v>200000</v>
      </c>
      <c r="H16" s="1409">
        <f>F16*G16</f>
        <v>200000</v>
      </c>
      <c r="J16" s="1376"/>
      <c r="K16" s="1376"/>
      <c r="L16" s="1376"/>
      <c r="M16" s="1376"/>
      <c r="N16" s="1376"/>
      <c r="O16" s="1376"/>
      <c r="P16" s="1376"/>
      <c r="Q16" s="1376"/>
      <c r="R16" s="1376"/>
      <c r="S16" s="1376"/>
      <c r="T16" s="1376"/>
    </row>
    <row r="17" spans="1:20" ht="15.6" customHeight="1" x14ac:dyDescent="0.2">
      <c r="A17" s="1367"/>
      <c r="B17" s="1419"/>
      <c r="C17" s="1420"/>
      <c r="D17" s="1421"/>
      <c r="E17" s="1422"/>
      <c r="F17" s="1423"/>
      <c r="G17" s="1424"/>
      <c r="H17" s="1425"/>
      <c r="I17" s="1383"/>
      <c r="J17" s="1376"/>
      <c r="K17" s="1376"/>
      <c r="L17" s="1376"/>
      <c r="M17" s="1376"/>
      <c r="N17" s="1376"/>
      <c r="O17" s="1376"/>
      <c r="P17" s="1376"/>
      <c r="Q17" s="1376"/>
      <c r="R17" s="1376"/>
      <c r="S17" s="1376"/>
      <c r="T17" s="1376"/>
    </row>
    <row r="18" spans="1:20" ht="15.6" customHeight="1" x14ac:dyDescent="0.2">
      <c r="A18" s="1367"/>
      <c r="B18" s="1426" t="s">
        <v>53</v>
      </c>
      <c r="C18" s="1427" t="s">
        <v>333</v>
      </c>
      <c r="D18" s="1428"/>
      <c r="E18" s="1429"/>
      <c r="F18" s="1430"/>
      <c r="G18" s="1431"/>
      <c r="H18" s="1409"/>
      <c r="I18" s="1383"/>
      <c r="J18" s="1376"/>
      <c r="K18" s="1376"/>
      <c r="L18" s="1376"/>
      <c r="M18" s="1376"/>
      <c r="N18" s="1376"/>
      <c r="O18" s="1376"/>
      <c r="P18" s="1376"/>
      <c r="Q18" s="1376"/>
      <c r="R18" s="1376"/>
      <c r="S18" s="1376"/>
      <c r="T18" s="1376"/>
    </row>
    <row r="19" spans="1:20" ht="15.6" customHeight="1" x14ac:dyDescent="0.3">
      <c r="A19" s="1367"/>
      <c r="B19" s="1410">
        <v>1</v>
      </c>
      <c r="C19" s="1417" t="s">
        <v>654</v>
      </c>
      <c r="D19" s="1412"/>
      <c r="E19" s="1432" t="s">
        <v>334</v>
      </c>
      <c r="F19" s="1430">
        <v>8</v>
      </c>
      <c r="G19" s="1433">
        <f>BAHAN!G105</f>
        <v>10000</v>
      </c>
      <c r="H19" s="1409">
        <f t="shared" ref="H19:H26" si="0">F19*G19</f>
        <v>80000</v>
      </c>
      <c r="I19" s="1383"/>
      <c r="J19" s="1376"/>
      <c r="K19" s="1376"/>
      <c r="L19" s="1376"/>
      <c r="M19" s="1376"/>
      <c r="N19" s="1376"/>
      <c r="O19" s="1376"/>
      <c r="P19" s="1376"/>
      <c r="Q19" s="1376"/>
      <c r="R19" s="1376"/>
      <c r="S19" s="1376"/>
      <c r="T19" s="1376"/>
    </row>
    <row r="20" spans="1:20" x14ac:dyDescent="0.3">
      <c r="A20" s="1367"/>
      <c r="B20" s="1434">
        <f t="shared" ref="B20:B26" si="1">B19+1</f>
        <v>2</v>
      </c>
      <c r="C20" s="1417" t="s">
        <v>655</v>
      </c>
      <c r="D20" s="1435"/>
      <c r="E20" s="1432" t="s">
        <v>334</v>
      </c>
      <c r="F20" s="1436">
        <v>8</v>
      </c>
      <c r="G20" s="1433">
        <f>BAHAN!G106</f>
        <v>15000</v>
      </c>
      <c r="H20" s="1437">
        <f t="shared" si="0"/>
        <v>120000</v>
      </c>
      <c r="I20" s="1383"/>
      <c r="J20" s="1376"/>
      <c r="K20" s="1376"/>
      <c r="L20" s="1376"/>
      <c r="M20" s="1376"/>
      <c r="N20" s="1376"/>
      <c r="O20" s="1376"/>
      <c r="P20" s="1376"/>
      <c r="Q20" s="1376"/>
      <c r="R20" s="1376"/>
      <c r="S20" s="1376"/>
      <c r="T20" s="1376"/>
    </row>
    <row r="21" spans="1:20" ht="15.6" customHeight="1" x14ac:dyDescent="0.3">
      <c r="A21" s="1367"/>
      <c r="B21" s="1410">
        <f>B20+1</f>
        <v>3</v>
      </c>
      <c r="C21" s="1417" t="s">
        <v>656</v>
      </c>
      <c r="D21" s="1412"/>
      <c r="E21" s="1432"/>
      <c r="F21" s="1430"/>
      <c r="G21" s="1433"/>
      <c r="H21" s="1409"/>
      <c r="I21" s="1383"/>
      <c r="J21" s="1376"/>
      <c r="K21" s="1376"/>
      <c r="L21" s="1376"/>
      <c r="M21" s="1376"/>
      <c r="N21" s="1376"/>
      <c r="O21" s="1376"/>
      <c r="P21" s="1376"/>
      <c r="Q21" s="1376"/>
      <c r="R21" s="1376"/>
      <c r="S21" s="1376"/>
      <c r="T21" s="1376"/>
    </row>
    <row r="22" spans="1:20" ht="15.6" customHeight="1" x14ac:dyDescent="0.3">
      <c r="B22" s="1410"/>
      <c r="C22" s="1439" t="s">
        <v>660</v>
      </c>
      <c r="D22" s="1440"/>
      <c r="E22" s="1432" t="s">
        <v>334</v>
      </c>
      <c r="F22" s="1430">
        <v>8</v>
      </c>
      <c r="G22" s="1433">
        <v>0</v>
      </c>
      <c r="H22" s="1409">
        <f t="shared" si="0"/>
        <v>0</v>
      </c>
      <c r="J22" s="1376"/>
      <c r="K22" s="1376"/>
      <c r="L22" s="1376"/>
      <c r="M22" s="1376"/>
      <c r="N22" s="1376"/>
      <c r="O22" s="1376"/>
      <c r="P22" s="1376"/>
      <c r="Q22" s="1376"/>
      <c r="R22" s="1376"/>
      <c r="S22" s="1376"/>
      <c r="T22" s="1376"/>
    </row>
    <row r="23" spans="1:20" ht="15.6" customHeight="1" x14ac:dyDescent="0.3">
      <c r="B23" s="1410">
        <f>B21+1</f>
        <v>4</v>
      </c>
      <c r="C23" s="1417" t="s">
        <v>657</v>
      </c>
      <c r="D23" s="1441"/>
      <c r="E23" s="1432" t="s">
        <v>334</v>
      </c>
      <c r="F23" s="1430">
        <v>8</v>
      </c>
      <c r="G23" s="1433">
        <v>0</v>
      </c>
      <c r="H23" s="1409">
        <f t="shared" si="0"/>
        <v>0</v>
      </c>
      <c r="I23" s="1383"/>
      <c r="J23" s="1376"/>
      <c r="K23" s="1376"/>
      <c r="L23" s="1376"/>
      <c r="M23" s="1376"/>
      <c r="N23" s="1376"/>
      <c r="O23" s="1376"/>
      <c r="P23" s="1376"/>
      <c r="Q23" s="1376"/>
      <c r="R23" s="1376"/>
      <c r="S23" s="1376"/>
      <c r="T23" s="1376"/>
    </row>
    <row r="24" spans="1:20" ht="15.6" customHeight="1" x14ac:dyDescent="0.3">
      <c r="A24" s="1367"/>
      <c r="B24" s="1410">
        <f t="shared" si="1"/>
        <v>5</v>
      </c>
      <c r="C24" s="1417" t="s">
        <v>658</v>
      </c>
      <c r="D24" s="1443"/>
      <c r="E24" s="1432" t="s">
        <v>332</v>
      </c>
      <c r="F24" s="1444">
        <v>1</v>
      </c>
      <c r="G24" s="1433">
        <f>BAHAN!G110</f>
        <v>200000</v>
      </c>
      <c r="H24" s="1409">
        <f t="shared" si="0"/>
        <v>200000</v>
      </c>
      <c r="I24" s="1383"/>
      <c r="J24" s="1376"/>
      <c r="K24" s="1376"/>
      <c r="L24" s="1376"/>
      <c r="M24" s="1376"/>
      <c r="N24" s="1376"/>
      <c r="O24" s="1376"/>
      <c r="P24" s="1376"/>
      <c r="Q24" s="1376"/>
      <c r="R24" s="1376"/>
      <c r="S24" s="1376"/>
      <c r="T24" s="1376"/>
    </row>
    <row r="25" spans="1:20" ht="15.6" customHeight="1" x14ac:dyDescent="0.3">
      <c r="A25" s="1367"/>
      <c r="B25" s="1410">
        <f t="shared" si="1"/>
        <v>6</v>
      </c>
      <c r="C25" s="1417" t="s">
        <v>659</v>
      </c>
      <c r="D25" s="1443"/>
      <c r="E25" s="1432" t="s">
        <v>332</v>
      </c>
      <c r="F25" s="1444">
        <v>1</v>
      </c>
      <c r="G25" s="1433">
        <f>BAHAN!G111</f>
        <v>200000</v>
      </c>
      <c r="H25" s="1409">
        <f t="shared" si="0"/>
        <v>200000</v>
      </c>
      <c r="I25" s="1383"/>
      <c r="J25" s="1376"/>
      <c r="K25" s="1376"/>
      <c r="L25" s="1376"/>
      <c r="M25" s="1376"/>
      <c r="N25" s="1376"/>
      <c r="O25" s="1376"/>
      <c r="P25" s="1376"/>
      <c r="Q25" s="1376"/>
      <c r="R25" s="1376"/>
      <c r="S25" s="1376"/>
      <c r="T25" s="1376"/>
    </row>
    <row r="26" spans="1:20" ht="15.6" customHeight="1" x14ac:dyDescent="0.3">
      <c r="A26" s="1367"/>
      <c r="B26" s="1410">
        <f t="shared" si="1"/>
        <v>7</v>
      </c>
      <c r="C26" s="1417" t="s">
        <v>335</v>
      </c>
      <c r="D26" s="1443"/>
      <c r="E26" s="1432" t="s">
        <v>9</v>
      </c>
      <c r="F26" s="1444">
        <v>1</v>
      </c>
      <c r="G26" s="1433">
        <f>BAHAN!G112</f>
        <v>200000</v>
      </c>
      <c r="H26" s="1409">
        <f t="shared" si="0"/>
        <v>200000</v>
      </c>
      <c r="I26" s="1383"/>
      <c r="J26" s="1376"/>
      <c r="K26" s="1376"/>
      <c r="L26" s="1376"/>
      <c r="M26" s="1376"/>
      <c r="N26" s="1376"/>
      <c r="O26" s="1376"/>
      <c r="P26" s="1376"/>
      <c r="Q26" s="1376"/>
      <c r="R26" s="1376"/>
      <c r="S26" s="1376"/>
      <c r="T26" s="1376"/>
    </row>
    <row r="27" spans="1:20" ht="15.6" customHeight="1" x14ac:dyDescent="0.2">
      <c r="A27" s="1367"/>
      <c r="B27" s="1445"/>
      <c r="C27" s="1446"/>
      <c r="D27" s="1446"/>
      <c r="E27" s="1447"/>
      <c r="F27" s="1448"/>
      <c r="G27" s="1449"/>
      <c r="H27" s="1450"/>
      <c r="I27" s="1383"/>
      <c r="J27" s="1369"/>
      <c r="K27" s="1451"/>
      <c r="O27" s="1453"/>
      <c r="P27" s="1376"/>
      <c r="Q27" s="1376"/>
      <c r="R27" s="1376"/>
      <c r="S27" s="1376"/>
      <c r="T27" s="1376"/>
    </row>
    <row r="28" spans="1:20" ht="15.6" customHeight="1" x14ac:dyDescent="0.2">
      <c r="A28" s="1367"/>
      <c r="B28" s="1404" t="s">
        <v>5</v>
      </c>
      <c r="C28" s="1454" t="s">
        <v>706</v>
      </c>
      <c r="D28" s="1455"/>
      <c r="E28" s="1429"/>
      <c r="F28" s="1408"/>
      <c r="G28" s="1415"/>
      <c r="H28" s="1409"/>
      <c r="I28" s="1383"/>
      <c r="J28" s="1369"/>
      <c r="K28" s="1451"/>
      <c r="O28" s="1453"/>
      <c r="R28" s="1376"/>
      <c r="S28" s="1376"/>
      <c r="T28" s="1376"/>
    </row>
    <row r="29" spans="1:20" ht="15.6" customHeight="1" x14ac:dyDescent="0.2">
      <c r="A29" s="1367"/>
      <c r="B29" s="1410">
        <v>1</v>
      </c>
      <c r="C29" s="1417" t="s">
        <v>661</v>
      </c>
      <c r="D29" s="1456"/>
      <c r="E29" s="1457" t="s">
        <v>1</v>
      </c>
      <c r="F29" s="1430">
        <v>1</v>
      </c>
      <c r="G29" s="1415">
        <v>0</v>
      </c>
      <c r="H29" s="1437">
        <f>F29*G29</f>
        <v>0</v>
      </c>
      <c r="I29" s="1383"/>
      <c r="J29" s="1369"/>
      <c r="K29" s="1451"/>
      <c r="O29" s="1453"/>
      <c r="R29" s="1376"/>
      <c r="S29" s="1376"/>
      <c r="T29" s="1376"/>
    </row>
    <row r="30" spans="1:20" ht="15.6" customHeight="1" x14ac:dyDescent="0.2">
      <c r="A30" s="1367"/>
      <c r="B30" s="1434">
        <f>B29+1</f>
        <v>2</v>
      </c>
      <c r="C30" s="1417" t="s">
        <v>662</v>
      </c>
      <c r="D30" s="1456"/>
      <c r="E30" s="1457" t="s">
        <v>1</v>
      </c>
      <c r="F30" s="1430">
        <v>1</v>
      </c>
      <c r="G30" s="1415">
        <v>0</v>
      </c>
      <c r="H30" s="1437">
        <f t="shared" ref="H30:H42" si="2">F30*G30</f>
        <v>0</v>
      </c>
      <c r="I30" s="1383"/>
      <c r="J30" s="1369"/>
      <c r="K30" s="1451"/>
      <c r="O30" s="1453"/>
      <c r="R30" s="1376"/>
      <c r="S30" s="1376"/>
      <c r="T30" s="1376"/>
    </row>
    <row r="31" spans="1:20" ht="15.6" customHeight="1" x14ac:dyDescent="0.2">
      <c r="A31" s="1367"/>
      <c r="B31" s="1434">
        <f t="shared" ref="B31:B42" si="3">B30+1</f>
        <v>3</v>
      </c>
      <c r="C31" s="1417" t="s">
        <v>663</v>
      </c>
      <c r="D31" s="1456"/>
      <c r="E31" s="1457" t="s">
        <v>1</v>
      </c>
      <c r="F31" s="1409">
        <v>1</v>
      </c>
      <c r="G31" s="1415">
        <v>0</v>
      </c>
      <c r="H31" s="1437">
        <f t="shared" si="2"/>
        <v>0</v>
      </c>
      <c r="I31" s="1383"/>
      <c r="J31" s="1458"/>
      <c r="K31" s="1451"/>
      <c r="O31" s="1453"/>
      <c r="R31" s="1376"/>
      <c r="S31" s="1376"/>
      <c r="T31" s="1376"/>
    </row>
    <row r="32" spans="1:20" ht="15.6" customHeight="1" x14ac:dyDescent="0.2">
      <c r="A32" s="1367"/>
      <c r="B32" s="1434">
        <f t="shared" si="3"/>
        <v>4</v>
      </c>
      <c r="C32" s="1417" t="s">
        <v>664</v>
      </c>
      <c r="D32" s="1456"/>
      <c r="E32" s="1457" t="s">
        <v>1</v>
      </c>
      <c r="F32" s="1409">
        <v>1</v>
      </c>
      <c r="G32" s="1415">
        <v>0</v>
      </c>
      <c r="H32" s="1437">
        <f t="shared" si="2"/>
        <v>0</v>
      </c>
      <c r="I32" s="1395"/>
      <c r="J32" s="1458"/>
      <c r="K32" s="1451"/>
      <c r="O32" s="1453"/>
      <c r="R32" s="1376"/>
      <c r="S32" s="1376"/>
      <c r="T32" s="1376"/>
    </row>
    <row r="33" spans="1:20" ht="15.6" customHeight="1" x14ac:dyDescent="0.2">
      <c r="A33" s="1367"/>
      <c r="B33" s="1434">
        <f t="shared" si="3"/>
        <v>5</v>
      </c>
      <c r="C33" s="1417" t="s">
        <v>665</v>
      </c>
      <c r="D33" s="1456"/>
      <c r="E33" s="1457" t="s">
        <v>9</v>
      </c>
      <c r="F33" s="1409">
        <v>8</v>
      </c>
      <c r="G33" s="1415">
        <f>BAHAN!G118</f>
        <v>75000</v>
      </c>
      <c r="H33" s="1437">
        <f t="shared" si="2"/>
        <v>600000</v>
      </c>
      <c r="I33" s="1395"/>
      <c r="J33" s="1378"/>
      <c r="K33" s="1378"/>
      <c r="L33" s="1378"/>
      <c r="M33" s="1378"/>
      <c r="N33" s="1378"/>
      <c r="O33" s="1378"/>
      <c r="R33" s="1376"/>
      <c r="S33" s="1376"/>
      <c r="T33" s="1376"/>
    </row>
    <row r="34" spans="1:20" s="1378" customFormat="1" ht="15.6" customHeight="1" x14ac:dyDescent="0.2">
      <c r="B34" s="1434">
        <f t="shared" si="3"/>
        <v>6</v>
      </c>
      <c r="C34" s="1417" t="s">
        <v>666</v>
      </c>
      <c r="D34" s="1456"/>
      <c r="E34" s="1457" t="s">
        <v>129</v>
      </c>
      <c r="F34" s="1409">
        <v>2</v>
      </c>
      <c r="G34" s="1415">
        <f>BAHAN!G119</f>
        <v>25000</v>
      </c>
      <c r="H34" s="1437">
        <f t="shared" si="2"/>
        <v>50000</v>
      </c>
    </row>
    <row r="35" spans="1:20" s="1378" customFormat="1" ht="15.6" customHeight="1" x14ac:dyDescent="0.2">
      <c r="B35" s="1434">
        <f t="shared" si="3"/>
        <v>7</v>
      </c>
      <c r="C35" s="1417" t="s">
        <v>667</v>
      </c>
      <c r="D35" s="1456"/>
      <c r="E35" s="1457" t="s">
        <v>9</v>
      </c>
      <c r="F35" s="1409">
        <v>2</v>
      </c>
      <c r="G35" s="1415">
        <v>0</v>
      </c>
      <c r="H35" s="1437">
        <f t="shared" si="2"/>
        <v>0</v>
      </c>
    </row>
    <row r="36" spans="1:20" s="1378" customFormat="1" ht="15.6" customHeight="1" x14ac:dyDescent="0.2">
      <c r="B36" s="1434">
        <f t="shared" si="3"/>
        <v>8</v>
      </c>
      <c r="C36" s="1417" t="s">
        <v>668</v>
      </c>
      <c r="D36" s="1456"/>
      <c r="E36" s="1457" t="s">
        <v>9</v>
      </c>
      <c r="F36" s="1409">
        <v>8</v>
      </c>
      <c r="G36" s="1415">
        <f>BAHAN!G121</f>
        <v>50000</v>
      </c>
      <c r="H36" s="1437">
        <f t="shared" si="2"/>
        <v>400000</v>
      </c>
    </row>
    <row r="37" spans="1:20" s="1378" customFormat="1" ht="15.6" customHeight="1" x14ac:dyDescent="0.2">
      <c r="B37" s="1434">
        <f t="shared" si="3"/>
        <v>9</v>
      </c>
      <c r="C37" s="1417" t="s">
        <v>669</v>
      </c>
      <c r="D37" s="1456"/>
      <c r="E37" s="1457" t="s">
        <v>129</v>
      </c>
      <c r="F37" s="1409">
        <v>8</v>
      </c>
      <c r="G37" s="1415">
        <f>BAHAN!G122</f>
        <v>5000</v>
      </c>
      <c r="H37" s="1437">
        <f t="shared" si="2"/>
        <v>40000</v>
      </c>
    </row>
    <row r="38" spans="1:20" s="1378" customFormat="1" ht="15.6" customHeight="1" x14ac:dyDescent="0.2">
      <c r="B38" s="1434">
        <f t="shared" si="3"/>
        <v>10</v>
      </c>
      <c r="C38" s="1417" t="s">
        <v>670</v>
      </c>
      <c r="D38" s="1456"/>
      <c r="E38" s="1457" t="s">
        <v>129</v>
      </c>
      <c r="F38" s="1409">
        <v>8</v>
      </c>
      <c r="G38" s="1415">
        <f>BAHAN!G123</f>
        <v>145000</v>
      </c>
      <c r="H38" s="1437">
        <f t="shared" si="2"/>
        <v>1160000</v>
      </c>
    </row>
    <row r="39" spans="1:20" s="1378" customFormat="1" ht="15.6" customHeight="1" x14ac:dyDescent="0.2">
      <c r="B39" s="1434">
        <f t="shared" si="3"/>
        <v>11</v>
      </c>
      <c r="C39" s="1417" t="s">
        <v>671</v>
      </c>
      <c r="D39" s="1456"/>
      <c r="E39" s="1457" t="s">
        <v>9</v>
      </c>
      <c r="F39" s="1430">
        <v>1</v>
      </c>
      <c r="G39" s="1415">
        <v>0</v>
      </c>
      <c r="H39" s="1437">
        <f t="shared" si="2"/>
        <v>0</v>
      </c>
    </row>
    <row r="40" spans="1:20" s="1378" customFormat="1" ht="15.6" customHeight="1" x14ac:dyDescent="0.2">
      <c r="B40" s="1434">
        <f t="shared" si="3"/>
        <v>12</v>
      </c>
      <c r="C40" s="1417" t="s">
        <v>672</v>
      </c>
      <c r="D40" s="1456"/>
      <c r="E40" s="1457" t="s">
        <v>9</v>
      </c>
      <c r="F40" s="1409">
        <v>8</v>
      </c>
      <c r="G40" s="1415">
        <f>BAHAN!G126</f>
        <v>25000</v>
      </c>
      <c r="H40" s="1437">
        <f t="shared" si="2"/>
        <v>200000</v>
      </c>
    </row>
    <row r="41" spans="1:20" s="1378" customFormat="1" ht="15.6" customHeight="1" x14ac:dyDescent="0.2">
      <c r="B41" s="1434">
        <f t="shared" si="3"/>
        <v>13</v>
      </c>
      <c r="C41" s="1417" t="s">
        <v>673</v>
      </c>
      <c r="D41" s="1456"/>
      <c r="E41" s="1457" t="s">
        <v>9</v>
      </c>
      <c r="F41" s="1409">
        <v>1</v>
      </c>
      <c r="G41" s="1415">
        <v>0</v>
      </c>
      <c r="H41" s="1437">
        <f t="shared" si="2"/>
        <v>0</v>
      </c>
    </row>
    <row r="42" spans="1:20" s="1378" customFormat="1" ht="15.6" customHeight="1" x14ac:dyDescent="0.2">
      <c r="B42" s="1434">
        <f t="shared" si="3"/>
        <v>14</v>
      </c>
      <c r="C42" s="1417" t="s">
        <v>674</v>
      </c>
      <c r="D42" s="1456"/>
      <c r="E42" s="1457" t="s">
        <v>9</v>
      </c>
      <c r="F42" s="1409">
        <v>4</v>
      </c>
      <c r="G42" s="1415">
        <f>BAHAN!G128</f>
        <v>500000</v>
      </c>
      <c r="H42" s="1437">
        <f t="shared" si="2"/>
        <v>2000000</v>
      </c>
    </row>
    <row r="43" spans="1:20" s="1378" customFormat="1" ht="15.6" customHeight="1" x14ac:dyDescent="0.2">
      <c r="B43" s="1434"/>
      <c r="C43" s="1417"/>
      <c r="D43" s="1456"/>
      <c r="E43" s="1457"/>
      <c r="F43" s="1430"/>
      <c r="G43" s="1415"/>
      <c r="H43" s="1437"/>
    </row>
    <row r="44" spans="1:20" s="1378" customFormat="1" ht="15.6" customHeight="1" x14ac:dyDescent="0.2">
      <c r="B44" s="1459" t="s">
        <v>6</v>
      </c>
      <c r="C44" s="1454" t="s">
        <v>337</v>
      </c>
      <c r="D44" s="1455"/>
      <c r="E44" s="1460"/>
      <c r="F44" s="1460"/>
      <c r="G44" s="1449"/>
      <c r="H44" s="1461"/>
    </row>
    <row r="45" spans="1:20" s="1378" customFormat="1" ht="15.6" customHeight="1" x14ac:dyDescent="0.2">
      <c r="B45" s="1410">
        <v>1</v>
      </c>
      <c r="C45" s="1417" t="s">
        <v>675</v>
      </c>
      <c r="D45" s="1456"/>
      <c r="E45" s="1457" t="s">
        <v>1</v>
      </c>
      <c r="F45" s="1409">
        <v>8</v>
      </c>
      <c r="G45" s="1415">
        <f>BAHAN!G130</f>
        <v>400000</v>
      </c>
      <c r="H45" s="1437">
        <f>F45*G45</f>
        <v>3200000</v>
      </c>
    </row>
    <row r="46" spans="1:20" s="1378" customFormat="1" ht="15.6" customHeight="1" x14ac:dyDescent="0.2">
      <c r="B46" s="1434"/>
      <c r="C46" s="1417"/>
      <c r="D46" s="1456"/>
      <c r="E46" s="1457"/>
      <c r="F46" s="1430"/>
      <c r="G46" s="1415"/>
      <c r="H46" s="1437"/>
    </row>
    <row r="47" spans="1:20" s="1378" customFormat="1" ht="15.6" customHeight="1" x14ac:dyDescent="0.2">
      <c r="B47" s="1404" t="s">
        <v>7</v>
      </c>
      <c r="C47" s="1454" t="s">
        <v>338</v>
      </c>
      <c r="D47" s="1455"/>
      <c r="E47" s="1407"/>
      <c r="F47" s="1407"/>
      <c r="G47" s="1415"/>
      <c r="H47" s="1407"/>
    </row>
    <row r="48" spans="1:20" s="1378" customFormat="1" ht="15.6" customHeight="1" x14ac:dyDescent="0.2">
      <c r="B48" s="1410">
        <v>1</v>
      </c>
      <c r="C48" s="3197" t="s">
        <v>676</v>
      </c>
      <c r="D48" s="3198"/>
      <c r="E48" s="1457" t="s">
        <v>339</v>
      </c>
      <c r="F48" s="1409">
        <v>2</v>
      </c>
      <c r="G48" s="1415">
        <f>UPAH!F20</f>
        <v>7500000</v>
      </c>
      <c r="H48" s="1437">
        <f>F48*G48</f>
        <v>15000000</v>
      </c>
    </row>
    <row r="49" spans="2:8" s="1378" customFormat="1" ht="15.6" customHeight="1" x14ac:dyDescent="0.2">
      <c r="B49" s="1410"/>
      <c r="C49" s="1462"/>
      <c r="D49" s="1463"/>
      <c r="E49" s="1457"/>
      <c r="F49" s="1409"/>
      <c r="G49" s="1415"/>
      <c r="H49" s="1437"/>
    </row>
    <row r="50" spans="2:8" s="1378" customFormat="1" ht="15.6" customHeight="1" x14ac:dyDescent="0.2">
      <c r="B50" s="1404" t="s">
        <v>63</v>
      </c>
      <c r="C50" s="3199" t="s">
        <v>680</v>
      </c>
      <c r="D50" s="3200"/>
      <c r="E50" s="1457"/>
      <c r="F50" s="1409"/>
      <c r="G50" s="1415"/>
      <c r="H50" s="1437"/>
    </row>
    <row r="51" spans="2:8" s="1378" customFormat="1" ht="15.6" customHeight="1" x14ac:dyDescent="0.2">
      <c r="B51" s="1410">
        <v>1</v>
      </c>
      <c r="C51" s="1464" t="s">
        <v>677</v>
      </c>
      <c r="D51" s="1463"/>
      <c r="E51" s="1457" t="s">
        <v>339</v>
      </c>
      <c r="F51" s="1409">
        <v>0</v>
      </c>
      <c r="G51" s="1415">
        <v>0</v>
      </c>
      <c r="H51" s="1437">
        <f>F51*G51</f>
        <v>0</v>
      </c>
    </row>
    <row r="52" spans="2:8" s="1378" customFormat="1" ht="15.6" customHeight="1" x14ac:dyDescent="0.2">
      <c r="B52" s="1434">
        <f>B51+1</f>
        <v>2</v>
      </c>
      <c r="C52" s="1464" t="s">
        <v>678</v>
      </c>
      <c r="D52" s="1463"/>
      <c r="E52" s="1457" t="s">
        <v>339</v>
      </c>
      <c r="F52" s="1409">
        <v>0</v>
      </c>
      <c r="G52" s="1415">
        <v>0</v>
      </c>
      <c r="H52" s="1437">
        <f>F52*G52</f>
        <v>0</v>
      </c>
    </row>
    <row r="53" spans="2:8" s="1378" customFormat="1" ht="15.6" customHeight="1" x14ac:dyDescent="0.2">
      <c r="B53" s="1434">
        <f>B52+1</f>
        <v>3</v>
      </c>
      <c r="C53" s="1464" t="s">
        <v>679</v>
      </c>
      <c r="D53" s="1463"/>
      <c r="E53" s="1457" t="s">
        <v>339</v>
      </c>
      <c r="F53" s="1409">
        <v>0</v>
      </c>
      <c r="G53" s="1415">
        <v>0</v>
      </c>
      <c r="H53" s="1437">
        <f>F53*G53</f>
        <v>0</v>
      </c>
    </row>
    <row r="54" spans="2:8" s="1378" customFormat="1" ht="15.6" customHeight="1" x14ac:dyDescent="0.2">
      <c r="B54" s="1407"/>
      <c r="C54" s="1464"/>
      <c r="D54" s="1456"/>
      <c r="E54" s="1407"/>
      <c r="F54" s="1407"/>
      <c r="G54" s="1415"/>
      <c r="H54" s="1437">
        <f>F54*G54</f>
        <v>0</v>
      </c>
    </row>
    <row r="55" spans="2:8" s="1378" customFormat="1" ht="15.6" customHeight="1" x14ac:dyDescent="0.2">
      <c r="B55" s="1404" t="s">
        <v>311</v>
      </c>
      <c r="C55" s="1454" t="s">
        <v>340</v>
      </c>
      <c r="D55" s="1455"/>
      <c r="E55" s="1407"/>
      <c r="F55" s="1407"/>
      <c r="G55" s="1415"/>
      <c r="H55" s="1437"/>
    </row>
    <row r="56" spans="2:8" s="1378" customFormat="1" ht="15.6" customHeight="1" x14ac:dyDescent="0.2">
      <c r="B56" s="1410">
        <v>1</v>
      </c>
      <c r="C56" s="1464" t="s">
        <v>681</v>
      </c>
      <c r="D56" s="1456"/>
      <c r="E56" s="1457" t="s">
        <v>1</v>
      </c>
      <c r="F56" s="1409">
        <v>1</v>
      </c>
      <c r="G56" s="1415">
        <f>BAHAN!G132</f>
        <v>1000000</v>
      </c>
      <c r="H56" s="1437">
        <f>F56*G56</f>
        <v>1000000</v>
      </c>
    </row>
    <row r="57" spans="2:8" s="1378" customFormat="1" ht="15.6" customHeight="1" x14ac:dyDescent="0.2">
      <c r="B57" s="1434">
        <f>B56+1</f>
        <v>2</v>
      </c>
      <c r="C57" s="1464" t="s">
        <v>682</v>
      </c>
      <c r="D57" s="1456"/>
      <c r="E57" s="1457" t="s">
        <v>1</v>
      </c>
      <c r="F57" s="1409">
        <v>1</v>
      </c>
      <c r="G57" s="1415">
        <v>0</v>
      </c>
      <c r="H57" s="1437">
        <f>F57*G57</f>
        <v>0</v>
      </c>
    </row>
    <row r="58" spans="2:8" s="1378" customFormat="1" ht="15.6" customHeight="1" x14ac:dyDescent="0.2">
      <c r="B58" s="1407"/>
      <c r="C58" s="1464"/>
      <c r="D58" s="1456"/>
      <c r="E58" s="1407"/>
      <c r="F58" s="1407"/>
      <c r="G58" s="1415"/>
      <c r="H58" s="1407"/>
    </row>
    <row r="59" spans="2:8" s="1378" customFormat="1" ht="15.6" customHeight="1" x14ac:dyDescent="0.2">
      <c r="B59" s="1404" t="s">
        <v>313</v>
      </c>
      <c r="C59" s="1454" t="s">
        <v>683</v>
      </c>
      <c r="D59" s="1455"/>
      <c r="E59" s="1407"/>
      <c r="F59" s="1407"/>
      <c r="G59" s="1415"/>
      <c r="H59" s="1407"/>
    </row>
    <row r="60" spans="2:8" s="1378" customFormat="1" ht="15.6" customHeight="1" x14ac:dyDescent="0.2">
      <c r="B60" s="1410">
        <v>1</v>
      </c>
      <c r="C60" s="1465" t="s">
        <v>684</v>
      </c>
      <c r="D60" s="1456"/>
      <c r="E60" s="1457" t="s">
        <v>9</v>
      </c>
      <c r="F60" s="1409">
        <v>2</v>
      </c>
      <c r="G60" s="1415">
        <f>BAHAN!G135</f>
        <v>25000</v>
      </c>
      <c r="H60" s="1437">
        <v>0</v>
      </c>
    </row>
    <row r="61" spans="2:8" s="1378" customFormat="1" ht="15.6" customHeight="1" x14ac:dyDescent="0.2">
      <c r="B61" s="1434">
        <f>B60+1</f>
        <v>2</v>
      </c>
      <c r="C61" s="1465" t="s">
        <v>685</v>
      </c>
      <c r="D61" s="1456"/>
      <c r="E61" s="1457" t="s">
        <v>9</v>
      </c>
      <c r="F61" s="1409">
        <v>2</v>
      </c>
      <c r="G61" s="1415">
        <f>BAHAN!G136</f>
        <v>25000</v>
      </c>
      <c r="H61" s="1437">
        <v>0</v>
      </c>
    </row>
    <row r="62" spans="2:8" s="1378" customFormat="1" ht="15.6" customHeight="1" x14ac:dyDescent="0.2">
      <c r="B62" s="1434">
        <f>B61+1</f>
        <v>3</v>
      </c>
      <c r="C62" s="1465" t="s">
        <v>686</v>
      </c>
      <c r="D62" s="1456"/>
      <c r="E62" s="1457" t="s">
        <v>9</v>
      </c>
      <c r="F62" s="1409">
        <v>2</v>
      </c>
      <c r="G62" s="1415">
        <f>BAHAN!G137</f>
        <v>25000</v>
      </c>
      <c r="H62" s="1437">
        <v>0</v>
      </c>
    </row>
    <row r="63" spans="2:8" s="1378" customFormat="1" ht="15.6" customHeight="1" x14ac:dyDescent="0.2">
      <c r="B63" s="1434">
        <f>B62+1</f>
        <v>4</v>
      </c>
      <c r="C63" s="1465" t="s">
        <v>687</v>
      </c>
      <c r="D63" s="1456"/>
      <c r="E63" s="1457" t="s">
        <v>9</v>
      </c>
      <c r="F63" s="1409">
        <v>2</v>
      </c>
      <c r="G63" s="1415">
        <f>BAHAN!G138</f>
        <v>25000</v>
      </c>
      <c r="H63" s="1437">
        <v>0</v>
      </c>
    </row>
    <row r="64" spans="2:8" s="1378" customFormat="1" ht="15.6" customHeight="1" x14ac:dyDescent="0.2">
      <c r="B64" s="1434">
        <f>B63+1</f>
        <v>5</v>
      </c>
      <c r="C64" s="1465" t="s">
        <v>688</v>
      </c>
      <c r="D64" s="1456"/>
      <c r="E64" s="1457" t="s">
        <v>9</v>
      </c>
      <c r="F64" s="1409">
        <v>2</v>
      </c>
      <c r="G64" s="1415">
        <f>BAHAN!G139</f>
        <v>25000</v>
      </c>
      <c r="H64" s="1437">
        <v>0</v>
      </c>
    </row>
    <row r="65" spans="2:8" s="1378" customFormat="1" ht="15.6" customHeight="1" x14ac:dyDescent="0.2">
      <c r="B65" s="1434">
        <f>B64+1</f>
        <v>6</v>
      </c>
      <c r="C65" s="1465" t="s">
        <v>689</v>
      </c>
      <c r="D65" s="1456"/>
      <c r="E65" s="1457" t="s">
        <v>1</v>
      </c>
      <c r="F65" s="1409">
        <v>2</v>
      </c>
      <c r="G65" s="1415">
        <f>BAHAN!G140</f>
        <v>25000</v>
      </c>
      <c r="H65" s="1437">
        <v>0</v>
      </c>
    </row>
    <row r="66" spans="2:8" s="1378" customFormat="1" ht="15.6" customHeight="1" x14ac:dyDescent="0.2">
      <c r="B66" s="1434"/>
      <c r="C66" s="1464"/>
      <c r="D66" s="1456"/>
      <c r="E66" s="1457"/>
      <c r="F66" s="1409"/>
      <c r="G66" s="1415"/>
      <c r="H66" s="1437"/>
    </row>
    <row r="67" spans="2:8" s="1378" customFormat="1" ht="15.6" customHeight="1" x14ac:dyDescent="0.2">
      <c r="B67" s="1404" t="s">
        <v>31</v>
      </c>
      <c r="C67" s="1454" t="s">
        <v>341</v>
      </c>
      <c r="D67" s="1455"/>
      <c r="E67" s="1407"/>
      <c r="F67" s="1407"/>
      <c r="G67" s="1415"/>
      <c r="H67" s="1407"/>
    </row>
    <row r="68" spans="2:8" s="1378" customFormat="1" ht="15.6" customHeight="1" x14ac:dyDescent="0.2">
      <c r="B68" s="1410">
        <v>1</v>
      </c>
      <c r="C68" s="1465" t="s">
        <v>690</v>
      </c>
      <c r="D68" s="1456"/>
      <c r="E68" s="1457" t="s">
        <v>9</v>
      </c>
      <c r="F68" s="1409">
        <v>2</v>
      </c>
      <c r="G68" s="1415">
        <f>BAHAN!G143</f>
        <v>550000</v>
      </c>
      <c r="H68" s="1437">
        <f t="shared" ref="H68:H79" si="4">F68*G68</f>
        <v>1100000</v>
      </c>
    </row>
    <row r="69" spans="2:8" s="1378" customFormat="1" ht="15.6" customHeight="1" x14ac:dyDescent="0.2">
      <c r="B69" s="1434">
        <f t="shared" ref="B69:B79" si="5">B68+1</f>
        <v>2</v>
      </c>
      <c r="C69" s="1465" t="s">
        <v>691</v>
      </c>
      <c r="D69" s="1456"/>
      <c r="E69" s="1457" t="s">
        <v>9</v>
      </c>
      <c r="F69" s="1409">
        <v>1</v>
      </c>
      <c r="G69" s="1415">
        <f>BAHAN!G144</f>
        <v>150000</v>
      </c>
      <c r="H69" s="1437">
        <f t="shared" si="4"/>
        <v>150000</v>
      </c>
    </row>
    <row r="70" spans="2:8" s="1378" customFormat="1" ht="15.6" customHeight="1" x14ac:dyDescent="0.2">
      <c r="B70" s="1434">
        <f t="shared" si="5"/>
        <v>3</v>
      </c>
      <c r="C70" s="1465" t="s">
        <v>692</v>
      </c>
      <c r="D70" s="1456"/>
      <c r="E70" s="1457" t="s">
        <v>1</v>
      </c>
      <c r="F70" s="1409">
        <v>1</v>
      </c>
      <c r="G70" s="1415">
        <f>BAHAN!G145</f>
        <v>500000</v>
      </c>
      <c r="H70" s="1437">
        <f t="shared" si="4"/>
        <v>500000</v>
      </c>
    </row>
    <row r="71" spans="2:8" s="1378" customFormat="1" ht="15.6" customHeight="1" x14ac:dyDescent="0.2">
      <c r="B71" s="1434">
        <f t="shared" si="5"/>
        <v>4</v>
      </c>
      <c r="C71" s="1465" t="s">
        <v>342</v>
      </c>
      <c r="D71" s="1456"/>
      <c r="E71" s="1457" t="s">
        <v>1</v>
      </c>
      <c r="F71" s="1409">
        <v>1</v>
      </c>
      <c r="G71" s="1415">
        <f>BAHAN!G146</f>
        <v>300000</v>
      </c>
      <c r="H71" s="1437">
        <f t="shared" si="4"/>
        <v>300000</v>
      </c>
    </row>
    <row r="72" spans="2:8" s="1378" customFormat="1" ht="15.6" customHeight="1" x14ac:dyDescent="0.2">
      <c r="B72" s="1434">
        <f t="shared" si="5"/>
        <v>5</v>
      </c>
      <c r="C72" s="1465" t="s">
        <v>693</v>
      </c>
      <c r="D72" s="1456"/>
      <c r="E72" s="1457" t="s">
        <v>332</v>
      </c>
      <c r="F72" s="1409">
        <v>15</v>
      </c>
      <c r="G72" s="1415">
        <v>0</v>
      </c>
      <c r="H72" s="1437">
        <f t="shared" si="4"/>
        <v>0</v>
      </c>
    </row>
    <row r="73" spans="2:8" s="1378" customFormat="1" ht="15.6" customHeight="1" x14ac:dyDescent="0.2">
      <c r="B73" s="1434"/>
      <c r="C73" s="1464"/>
      <c r="D73" s="1456"/>
      <c r="E73" s="1457"/>
      <c r="F73" s="1409"/>
      <c r="G73" s="1415"/>
      <c r="H73" s="1437"/>
    </row>
    <row r="74" spans="2:8" s="1378" customFormat="1" ht="15.6" customHeight="1" x14ac:dyDescent="0.2">
      <c r="B74" s="1466" t="s">
        <v>584</v>
      </c>
      <c r="C74" s="1454" t="s">
        <v>707</v>
      </c>
      <c r="D74" s="1456"/>
      <c r="E74" s="1457"/>
      <c r="F74" s="1467"/>
      <c r="G74" s="1415"/>
      <c r="H74" s="1437"/>
    </row>
    <row r="75" spans="2:8" s="1378" customFormat="1" ht="15.6" customHeight="1" x14ac:dyDescent="0.2">
      <c r="B75" s="1410">
        <v>1</v>
      </c>
      <c r="C75" s="1465" t="s">
        <v>694</v>
      </c>
      <c r="D75" s="1456"/>
      <c r="E75" s="1457" t="s">
        <v>9</v>
      </c>
      <c r="F75" s="1467">
        <v>2</v>
      </c>
      <c r="G75" s="1415">
        <v>0</v>
      </c>
      <c r="H75" s="1437">
        <f t="shared" si="4"/>
        <v>0</v>
      </c>
    </row>
    <row r="76" spans="2:8" s="1378" customFormat="1" ht="15.6" customHeight="1" x14ac:dyDescent="0.2">
      <c r="B76" s="1434">
        <f t="shared" si="5"/>
        <v>2</v>
      </c>
      <c r="C76" s="1465" t="s">
        <v>695</v>
      </c>
      <c r="D76" s="1456"/>
      <c r="E76" s="1457" t="s">
        <v>9</v>
      </c>
      <c r="F76" s="1467">
        <v>8</v>
      </c>
      <c r="G76" s="1415">
        <f>BAHAN!G151</f>
        <v>150000</v>
      </c>
      <c r="H76" s="1437">
        <f t="shared" si="4"/>
        <v>1200000</v>
      </c>
    </row>
    <row r="77" spans="2:8" s="1378" customFormat="1" ht="15.6" customHeight="1" x14ac:dyDescent="0.2">
      <c r="B77" s="1434">
        <f t="shared" si="5"/>
        <v>3</v>
      </c>
      <c r="C77" s="1465" t="s">
        <v>696</v>
      </c>
      <c r="D77" s="1456"/>
      <c r="E77" s="1457" t="s">
        <v>9</v>
      </c>
      <c r="F77" s="1467">
        <v>1</v>
      </c>
      <c r="G77" s="1415">
        <f>BAHAN!G152</f>
        <v>750000</v>
      </c>
      <c r="H77" s="1437">
        <f t="shared" si="4"/>
        <v>750000</v>
      </c>
    </row>
    <row r="78" spans="2:8" s="1378" customFormat="1" ht="15.6" customHeight="1" x14ac:dyDescent="0.2">
      <c r="B78" s="1434">
        <f t="shared" si="5"/>
        <v>4</v>
      </c>
      <c r="C78" s="1465" t="s">
        <v>697</v>
      </c>
      <c r="D78" s="1468"/>
      <c r="E78" s="1457" t="s">
        <v>698</v>
      </c>
      <c r="F78" s="1467">
        <v>50</v>
      </c>
      <c r="G78" s="1415">
        <v>0</v>
      </c>
      <c r="H78" s="1437">
        <f t="shared" si="4"/>
        <v>0</v>
      </c>
    </row>
    <row r="79" spans="2:8" s="1378" customFormat="1" ht="15.6" customHeight="1" x14ac:dyDescent="0.2">
      <c r="B79" s="1434">
        <f t="shared" si="5"/>
        <v>5</v>
      </c>
      <c r="C79" s="1465" t="s">
        <v>699</v>
      </c>
      <c r="D79" s="1469"/>
      <c r="E79" s="1457" t="s">
        <v>32</v>
      </c>
      <c r="F79" s="1467">
        <v>1</v>
      </c>
      <c r="G79" s="1415">
        <f>BAHAN!G154</f>
        <v>300000</v>
      </c>
      <c r="H79" s="1437">
        <f t="shared" si="4"/>
        <v>300000</v>
      </c>
    </row>
    <row r="80" spans="2:8" s="1378" customFormat="1" ht="15.6" customHeight="1" x14ac:dyDescent="0.2">
      <c r="B80" s="1470"/>
      <c r="C80" s="1471"/>
      <c r="D80" s="1472"/>
      <c r="E80" s="1473"/>
      <c r="F80" s="1473"/>
      <c r="G80" s="1470"/>
      <c r="H80" s="1470"/>
    </row>
    <row r="81" spans="1:20" s="1378" customFormat="1" ht="15.6" customHeight="1" x14ac:dyDescent="0.2">
      <c r="B81" s="1474"/>
      <c r="C81" s="1475"/>
      <c r="D81" s="1476"/>
      <c r="E81" s="1476"/>
      <c r="F81" s="1476"/>
      <c r="G81" s="1477" t="s">
        <v>329</v>
      </c>
      <c r="H81" s="1478">
        <f>SUM(H14:H80)</f>
        <v>29450000</v>
      </c>
    </row>
    <row r="82" spans="1:20" s="1378" customFormat="1" ht="15.6" customHeight="1" x14ac:dyDescent="0.2">
      <c r="B82" s="1479"/>
      <c r="C82" s="1480"/>
      <c r="D82" s="1479"/>
      <c r="E82" s="1479"/>
      <c r="F82" s="1479"/>
      <c r="G82" s="1481"/>
      <c r="H82" s="1482"/>
    </row>
    <row r="83" spans="1:20" ht="15.6" hidden="1" customHeight="1" x14ac:dyDescent="0.2">
      <c r="A83" s="1367">
        <v>1</v>
      </c>
      <c r="B83" s="1378" t="s">
        <v>12</v>
      </c>
      <c r="C83" s="1379"/>
      <c r="D83" s="1380" t="s">
        <v>308</v>
      </c>
      <c r="E83" s="1376" t="s">
        <v>1293</v>
      </c>
      <c r="F83" s="1381"/>
      <c r="G83" s="1382"/>
      <c r="H83" s="1382"/>
      <c r="I83" s="1383"/>
      <c r="J83" s="1369"/>
      <c r="K83" s="1384"/>
      <c r="L83" s="1385"/>
      <c r="M83" s="1386"/>
      <c r="N83" s="1387"/>
      <c r="O83" s="1386"/>
      <c r="P83" s="1386"/>
      <c r="R83" s="1376"/>
      <c r="S83" s="1376"/>
      <c r="T83" s="1376"/>
    </row>
    <row r="84" spans="1:20" ht="15.6" hidden="1" customHeight="1" x14ac:dyDescent="0.2">
      <c r="A84" s="1388"/>
      <c r="B84" s="1378" t="s">
        <v>321</v>
      </c>
      <c r="C84" s="1379"/>
      <c r="D84" s="1380" t="s">
        <v>308</v>
      </c>
      <c r="E84" s="1376" t="s">
        <v>1294</v>
      </c>
      <c r="F84" s="1376"/>
      <c r="I84" s="1390"/>
      <c r="J84" s="1369"/>
      <c r="K84" s="1384"/>
      <c r="L84" s="1385"/>
      <c r="M84" s="1386"/>
      <c r="N84" s="1387"/>
      <c r="O84" s="1386"/>
      <c r="P84" s="1386"/>
      <c r="R84" s="1376"/>
      <c r="S84" s="1376"/>
      <c r="T84" s="1376"/>
    </row>
    <row r="85" spans="1:20" ht="15.6" hidden="1" customHeight="1" x14ac:dyDescent="0.2">
      <c r="A85" s="1367"/>
      <c r="B85" s="1378" t="s">
        <v>323</v>
      </c>
      <c r="C85" s="1379"/>
      <c r="D85" s="1380" t="s">
        <v>308</v>
      </c>
      <c r="E85" s="1391" t="s">
        <v>324</v>
      </c>
      <c r="F85" s="1381"/>
      <c r="G85" s="1382"/>
      <c r="H85" s="1382"/>
      <c r="I85" s="1383"/>
      <c r="J85" s="1369"/>
      <c r="K85" s="1384"/>
      <c r="L85" s="1385"/>
      <c r="M85" s="1386"/>
      <c r="N85" s="1387"/>
      <c r="O85" s="1386"/>
      <c r="P85" s="1386"/>
      <c r="R85" s="1376"/>
      <c r="S85" s="1376"/>
      <c r="T85" s="1376"/>
    </row>
    <row r="86" spans="1:20" ht="15.6" hidden="1" customHeight="1" x14ac:dyDescent="0.2">
      <c r="A86" s="1367"/>
      <c r="B86" s="1378" t="s">
        <v>325</v>
      </c>
      <c r="C86" s="1379"/>
      <c r="D86" s="1380" t="s">
        <v>308</v>
      </c>
      <c r="E86" s="1391" t="s">
        <v>326</v>
      </c>
      <c r="F86" s="1381"/>
      <c r="G86" s="1382"/>
      <c r="H86" s="1382"/>
      <c r="I86" s="1383"/>
      <c r="J86" s="1369"/>
      <c r="K86" s="1384"/>
      <c r="L86" s="1385"/>
      <c r="M86" s="1386"/>
      <c r="N86" s="1387"/>
      <c r="O86" s="1386"/>
      <c r="P86" s="1386"/>
      <c r="R86" s="1376"/>
      <c r="S86" s="1376"/>
      <c r="T86" s="1376"/>
    </row>
    <row r="87" spans="1:20" ht="15.6" hidden="1" customHeight="1" x14ac:dyDescent="0.2">
      <c r="A87" s="1367"/>
      <c r="B87" s="1378" t="s">
        <v>327</v>
      </c>
      <c r="C87" s="1379"/>
      <c r="D87" s="1380" t="s">
        <v>308</v>
      </c>
      <c r="E87" s="3202">
        <f>H160</f>
        <v>40225000</v>
      </c>
      <c r="F87" s="3202"/>
      <c r="G87" s="1382"/>
      <c r="H87" s="1382"/>
      <c r="I87" s="1383"/>
      <c r="J87" s="1369"/>
      <c r="K87" s="1384"/>
      <c r="L87" s="1385"/>
      <c r="M87" s="1386"/>
      <c r="N87" s="1387"/>
      <c r="O87" s="1386"/>
      <c r="P87" s="1386"/>
      <c r="R87" s="1376"/>
      <c r="S87" s="1376"/>
      <c r="T87" s="1376"/>
    </row>
    <row r="88" spans="1:20" ht="15.6" hidden="1" customHeight="1" x14ac:dyDescent="0.2">
      <c r="A88" s="1367"/>
      <c r="B88" s="1378" t="s">
        <v>328</v>
      </c>
      <c r="C88" s="1379"/>
      <c r="D88" s="1380"/>
      <c r="E88" s="1378"/>
      <c r="F88" s="1381"/>
      <c r="G88" s="1382"/>
      <c r="H88" s="1382"/>
      <c r="I88" s="1383"/>
      <c r="J88" s="1369"/>
      <c r="K88" s="1384"/>
      <c r="L88" s="1385"/>
      <c r="M88" s="1386"/>
      <c r="N88" s="1387"/>
      <c r="O88" s="1386"/>
      <c r="P88" s="1386"/>
      <c r="R88" s="1376"/>
      <c r="S88" s="1376"/>
      <c r="T88" s="1376"/>
    </row>
    <row r="89" spans="1:20" ht="15.6" hidden="1" customHeight="1" x14ac:dyDescent="0.2">
      <c r="A89" s="1367"/>
      <c r="B89" s="3203" t="s">
        <v>12</v>
      </c>
      <c r="C89" s="3205" t="s">
        <v>36</v>
      </c>
      <c r="D89" s="1392"/>
      <c r="E89" s="3203" t="s">
        <v>14</v>
      </c>
      <c r="F89" s="3207" t="s">
        <v>38</v>
      </c>
      <c r="G89" s="1393" t="s">
        <v>327</v>
      </c>
      <c r="H89" s="1394" t="s">
        <v>329</v>
      </c>
      <c r="I89" s="1395"/>
      <c r="J89" s="1376"/>
      <c r="K89" s="1376"/>
      <c r="L89" s="1376"/>
      <c r="M89" s="1376"/>
      <c r="N89" s="1376"/>
      <c r="O89" s="1376"/>
      <c r="P89" s="1376"/>
      <c r="Q89" s="1376"/>
      <c r="R89" s="1376"/>
      <c r="S89" s="1376"/>
      <c r="T89" s="1376"/>
    </row>
    <row r="90" spans="1:20" ht="15.6" hidden="1" customHeight="1" thickBot="1" x14ac:dyDescent="0.25">
      <c r="A90" s="1367"/>
      <c r="B90" s="3204"/>
      <c r="C90" s="3206"/>
      <c r="D90" s="1396"/>
      <c r="E90" s="3204"/>
      <c r="F90" s="3208"/>
      <c r="G90" s="1397" t="s">
        <v>125</v>
      </c>
      <c r="H90" s="1397" t="s">
        <v>125</v>
      </c>
      <c r="I90" s="1395"/>
      <c r="J90" s="1376"/>
      <c r="K90" s="1376"/>
      <c r="L90" s="1376"/>
      <c r="M90" s="1376"/>
      <c r="N90" s="1376"/>
      <c r="O90" s="1376"/>
      <c r="P90" s="1376"/>
      <c r="Q90" s="1376"/>
      <c r="R90" s="1376"/>
      <c r="S90" s="1376"/>
      <c r="T90" s="1376"/>
    </row>
    <row r="91" spans="1:20" ht="15.6" hidden="1" customHeight="1" thickTop="1" x14ac:dyDescent="0.2">
      <c r="A91" s="1367"/>
      <c r="B91" s="1398"/>
      <c r="C91" s="1399"/>
      <c r="D91" s="1400"/>
      <c r="E91" s="1398"/>
      <c r="F91" s="1401"/>
      <c r="G91" s="1402"/>
      <c r="H91" s="1402"/>
      <c r="I91" s="1403"/>
      <c r="J91" s="1376"/>
      <c r="K91" s="1376"/>
      <c r="L91" s="1376"/>
      <c r="M91" s="1376"/>
      <c r="N91" s="1376"/>
      <c r="O91" s="1376"/>
      <c r="P91" s="1376"/>
      <c r="Q91" s="1376"/>
      <c r="R91" s="1376"/>
      <c r="S91" s="1376"/>
      <c r="T91" s="1376"/>
    </row>
    <row r="92" spans="1:20" ht="15.6" hidden="1" customHeight="1" x14ac:dyDescent="0.2">
      <c r="A92" s="1367"/>
      <c r="B92" s="1404" t="s">
        <v>41</v>
      </c>
      <c r="C92" s="1405" t="s">
        <v>330</v>
      </c>
      <c r="D92" s="1406"/>
      <c r="E92" s="1407"/>
      <c r="F92" s="1408"/>
      <c r="G92" s="1409"/>
      <c r="H92" s="1409"/>
      <c r="I92" s="1383"/>
      <c r="J92" s="1376"/>
      <c r="K92" s="1376"/>
      <c r="L92" s="1376"/>
      <c r="M92" s="1376"/>
      <c r="N92" s="1376"/>
      <c r="O92" s="1376"/>
      <c r="P92" s="1376"/>
      <c r="Q92" s="1376"/>
      <c r="R92" s="1376"/>
      <c r="S92" s="1376"/>
      <c r="T92" s="1376"/>
    </row>
    <row r="93" spans="1:20" ht="15.6" hidden="1" customHeight="1" x14ac:dyDescent="0.2">
      <c r="A93" s="1367"/>
      <c r="B93" s="1410">
        <v>1</v>
      </c>
      <c r="C93" s="1411" t="s">
        <v>331</v>
      </c>
      <c r="D93" s="1412"/>
      <c r="E93" s="1413" t="s">
        <v>115</v>
      </c>
      <c r="F93" s="1414">
        <v>1</v>
      </c>
      <c r="G93" s="1415">
        <f>G14</f>
        <v>300000</v>
      </c>
      <c r="H93" s="1409">
        <f>F93*G93</f>
        <v>300000</v>
      </c>
      <c r="J93" s="1376"/>
      <c r="K93" s="1376"/>
      <c r="L93" s="1376"/>
      <c r="M93" s="1376"/>
      <c r="N93" s="1376"/>
      <c r="O93" s="1376"/>
      <c r="P93" s="1376"/>
      <c r="Q93" s="1376"/>
      <c r="R93" s="1376"/>
      <c r="S93" s="1376"/>
      <c r="T93" s="1376"/>
    </row>
    <row r="94" spans="1:20" ht="15.6" hidden="1" customHeight="1" x14ac:dyDescent="0.2">
      <c r="A94" s="1367"/>
      <c r="B94" s="1410">
        <f>B93+1</f>
        <v>2</v>
      </c>
      <c r="C94" s="1417" t="s">
        <v>652</v>
      </c>
      <c r="D94" s="1418"/>
      <c r="E94" s="1413" t="s">
        <v>115</v>
      </c>
      <c r="F94" s="1414">
        <v>1</v>
      </c>
      <c r="G94" s="1415">
        <f>G15</f>
        <v>200000</v>
      </c>
      <c r="H94" s="1409">
        <f>F94*G94</f>
        <v>200000</v>
      </c>
      <c r="J94" s="1376"/>
      <c r="K94" s="1376"/>
      <c r="L94" s="1376"/>
      <c r="M94" s="1376"/>
      <c r="N94" s="1376"/>
      <c r="O94" s="1376"/>
      <c r="P94" s="1376"/>
      <c r="Q94" s="1376"/>
      <c r="R94" s="1376"/>
      <c r="S94" s="1376"/>
      <c r="T94" s="1376"/>
    </row>
    <row r="95" spans="1:20" ht="15.6" hidden="1" customHeight="1" x14ac:dyDescent="0.2">
      <c r="A95" s="1367"/>
      <c r="B95" s="1410">
        <f>B94+1</f>
        <v>3</v>
      </c>
      <c r="C95" s="1417" t="s">
        <v>653</v>
      </c>
      <c r="D95" s="1418"/>
      <c r="E95" s="1413" t="s">
        <v>115</v>
      </c>
      <c r="F95" s="1414">
        <v>1</v>
      </c>
      <c r="G95" s="1415">
        <f>G16</f>
        <v>200000</v>
      </c>
      <c r="H95" s="1409">
        <f>F95*G95</f>
        <v>200000</v>
      </c>
      <c r="J95" s="1376"/>
      <c r="K95" s="1376"/>
      <c r="L95" s="1376"/>
      <c r="M95" s="1376"/>
      <c r="N95" s="1376"/>
      <c r="O95" s="1376"/>
      <c r="P95" s="1376"/>
      <c r="Q95" s="1376"/>
      <c r="R95" s="1376"/>
      <c r="S95" s="1376"/>
      <c r="T95" s="1376"/>
    </row>
    <row r="96" spans="1:20" ht="15.6" hidden="1" customHeight="1" x14ac:dyDescent="0.2">
      <c r="A96" s="1367"/>
      <c r="B96" s="1419"/>
      <c r="C96" s="1420"/>
      <c r="D96" s="1421"/>
      <c r="E96" s="1422"/>
      <c r="F96" s="1423"/>
      <c r="G96" s="1415"/>
      <c r="H96" s="1425"/>
      <c r="I96" s="1383"/>
      <c r="J96" s="1376"/>
      <c r="K96" s="1376"/>
      <c r="L96" s="1376"/>
      <c r="M96" s="1376"/>
      <c r="N96" s="1376"/>
      <c r="O96" s="1376"/>
      <c r="P96" s="1376"/>
      <c r="Q96" s="1376"/>
      <c r="R96" s="1376"/>
      <c r="S96" s="1376"/>
      <c r="T96" s="1376"/>
    </row>
    <row r="97" spans="1:20" ht="15.6" hidden="1" customHeight="1" x14ac:dyDescent="0.2">
      <c r="A97" s="1367"/>
      <c r="B97" s="1426" t="s">
        <v>53</v>
      </c>
      <c r="C97" s="1427" t="s">
        <v>333</v>
      </c>
      <c r="D97" s="1428"/>
      <c r="E97" s="1429"/>
      <c r="F97" s="1430"/>
      <c r="G97" s="1415"/>
      <c r="H97" s="1409"/>
      <c r="I97" s="1383"/>
      <c r="J97" s="1376"/>
      <c r="K97" s="1376"/>
      <c r="L97" s="1376"/>
      <c r="M97" s="1376"/>
      <c r="N97" s="1376"/>
      <c r="O97" s="1376"/>
      <c r="P97" s="1376"/>
      <c r="Q97" s="1376"/>
      <c r="R97" s="1376"/>
      <c r="S97" s="1376"/>
      <c r="T97" s="1376"/>
    </row>
    <row r="98" spans="1:20" ht="15.6" hidden="1" customHeight="1" x14ac:dyDescent="0.3">
      <c r="A98" s="1367"/>
      <c r="B98" s="1410">
        <v>1</v>
      </c>
      <c r="C98" s="1417" t="s">
        <v>654</v>
      </c>
      <c r="D98" s="1412"/>
      <c r="E98" s="1432" t="s">
        <v>334</v>
      </c>
      <c r="F98" s="1430">
        <v>20</v>
      </c>
      <c r="G98" s="1415">
        <f>G19</f>
        <v>10000</v>
      </c>
      <c r="H98" s="1409">
        <f>F98*G98</f>
        <v>200000</v>
      </c>
      <c r="I98" s="1383"/>
      <c r="J98" s="1376"/>
      <c r="K98" s="1376"/>
      <c r="L98" s="1376"/>
      <c r="M98" s="1376"/>
      <c r="N98" s="1376"/>
      <c r="O98" s="1376"/>
      <c r="P98" s="1376"/>
      <c r="Q98" s="1376"/>
      <c r="R98" s="1376"/>
      <c r="S98" s="1376"/>
      <c r="T98" s="1376"/>
    </row>
    <row r="99" spans="1:20" hidden="1" x14ac:dyDescent="0.3">
      <c r="A99" s="1367"/>
      <c r="B99" s="1434">
        <f t="shared" ref="B99:B105" si="6">B98+1</f>
        <v>2</v>
      </c>
      <c r="C99" s="1417" t="s">
        <v>655</v>
      </c>
      <c r="D99" s="1435"/>
      <c r="E99" s="1432" t="s">
        <v>334</v>
      </c>
      <c r="F99" s="1436">
        <v>20</v>
      </c>
      <c r="G99" s="1415">
        <f>G20</f>
        <v>15000</v>
      </c>
      <c r="H99" s="1437">
        <f>F99*G99</f>
        <v>300000</v>
      </c>
      <c r="I99" s="1383"/>
      <c r="J99" s="1376"/>
      <c r="K99" s="1376"/>
      <c r="L99" s="1376"/>
      <c r="M99" s="1376"/>
      <c r="N99" s="1376"/>
      <c r="O99" s="1376"/>
      <c r="P99" s="1376"/>
      <c r="Q99" s="1376"/>
      <c r="R99" s="1376"/>
      <c r="S99" s="1376"/>
      <c r="T99" s="1376"/>
    </row>
    <row r="100" spans="1:20" ht="15.6" hidden="1" customHeight="1" x14ac:dyDescent="0.3">
      <c r="A100" s="1367"/>
      <c r="B100" s="1410">
        <f>B99+1</f>
        <v>3</v>
      </c>
      <c r="C100" s="1417" t="s">
        <v>656</v>
      </c>
      <c r="D100" s="1412"/>
      <c r="E100" s="1432"/>
      <c r="F100" s="1430"/>
      <c r="G100" s="1415"/>
      <c r="H100" s="1409"/>
      <c r="I100" s="1383"/>
      <c r="J100" s="1376"/>
      <c r="K100" s="1376"/>
      <c r="L100" s="1376"/>
      <c r="M100" s="1376"/>
      <c r="N100" s="1376"/>
      <c r="O100" s="1376"/>
      <c r="P100" s="1376"/>
      <c r="Q100" s="1376"/>
      <c r="R100" s="1376"/>
      <c r="S100" s="1376"/>
      <c r="T100" s="1376"/>
    </row>
    <row r="101" spans="1:20" ht="15.6" hidden="1" customHeight="1" x14ac:dyDescent="0.3">
      <c r="B101" s="1410"/>
      <c r="C101" s="1439" t="s">
        <v>660</v>
      </c>
      <c r="D101" s="1440"/>
      <c r="E101" s="1432" t="s">
        <v>334</v>
      </c>
      <c r="F101" s="1414">
        <v>20</v>
      </c>
      <c r="G101" s="1415">
        <f>G22</f>
        <v>0</v>
      </c>
      <c r="H101" s="1409">
        <f>F101*G101</f>
        <v>0</v>
      </c>
      <c r="J101" s="1376"/>
      <c r="K101" s="1376"/>
      <c r="L101" s="1376"/>
      <c r="M101" s="1376"/>
      <c r="N101" s="1376"/>
      <c r="O101" s="1376"/>
      <c r="P101" s="1376"/>
      <c r="Q101" s="1376"/>
      <c r="R101" s="1376"/>
      <c r="S101" s="1376"/>
      <c r="T101" s="1376"/>
    </row>
    <row r="102" spans="1:20" ht="15.6" hidden="1" customHeight="1" x14ac:dyDescent="0.3">
      <c r="B102" s="1410">
        <f>B100+1</f>
        <v>4</v>
      </c>
      <c r="C102" s="1417" t="s">
        <v>657</v>
      </c>
      <c r="D102" s="1441"/>
      <c r="E102" s="1432" t="s">
        <v>334</v>
      </c>
      <c r="F102" s="1442">
        <v>20</v>
      </c>
      <c r="G102" s="1415">
        <f>G23</f>
        <v>0</v>
      </c>
      <c r="H102" s="1409">
        <f>F102*G102</f>
        <v>0</v>
      </c>
      <c r="I102" s="1383"/>
      <c r="J102" s="1376"/>
      <c r="K102" s="1376"/>
      <c r="L102" s="1376"/>
      <c r="M102" s="1376"/>
      <c r="N102" s="1376"/>
      <c r="O102" s="1376"/>
      <c r="P102" s="1376"/>
      <c r="Q102" s="1376"/>
      <c r="R102" s="1376"/>
      <c r="S102" s="1376"/>
      <c r="T102" s="1376"/>
    </row>
    <row r="103" spans="1:20" ht="15.6" hidden="1" customHeight="1" x14ac:dyDescent="0.3">
      <c r="A103" s="1367"/>
      <c r="B103" s="1410">
        <f t="shared" si="6"/>
        <v>5</v>
      </c>
      <c r="C103" s="1417" t="s">
        <v>658</v>
      </c>
      <c r="D103" s="1443"/>
      <c r="E103" s="1432" t="s">
        <v>332</v>
      </c>
      <c r="F103" s="1444">
        <v>1</v>
      </c>
      <c r="G103" s="1415">
        <f>G24</f>
        <v>200000</v>
      </c>
      <c r="H103" s="1409">
        <f>F103*G103</f>
        <v>200000</v>
      </c>
      <c r="I103" s="1383"/>
      <c r="J103" s="1376"/>
      <c r="K103" s="1376"/>
      <c r="L103" s="1376"/>
      <c r="M103" s="1376"/>
      <c r="N103" s="1376"/>
      <c r="O103" s="1376"/>
      <c r="P103" s="1376"/>
      <c r="Q103" s="1376"/>
      <c r="R103" s="1376"/>
      <c r="S103" s="1376"/>
      <c r="T103" s="1376"/>
    </row>
    <row r="104" spans="1:20" ht="15.6" hidden="1" customHeight="1" x14ac:dyDescent="0.3">
      <c r="A104" s="1367"/>
      <c r="B104" s="1410">
        <f t="shared" si="6"/>
        <v>6</v>
      </c>
      <c r="C104" s="1417" t="s">
        <v>659</v>
      </c>
      <c r="D104" s="1443"/>
      <c r="E104" s="1432" t="s">
        <v>332</v>
      </c>
      <c r="F104" s="1444">
        <v>1</v>
      </c>
      <c r="G104" s="1415">
        <f>G25</f>
        <v>200000</v>
      </c>
      <c r="H104" s="1409">
        <f>F104*G104</f>
        <v>200000</v>
      </c>
      <c r="I104" s="1383"/>
      <c r="J104" s="1376"/>
      <c r="K104" s="1376"/>
      <c r="L104" s="1376"/>
      <c r="M104" s="1376"/>
      <c r="N104" s="1376"/>
      <c r="O104" s="1376"/>
      <c r="P104" s="1376"/>
      <c r="Q104" s="1376"/>
      <c r="R104" s="1376"/>
      <c r="S104" s="1376"/>
      <c r="T104" s="1376"/>
    </row>
    <row r="105" spans="1:20" ht="15.6" hidden="1" customHeight="1" x14ac:dyDescent="0.3">
      <c r="A105" s="1367"/>
      <c r="B105" s="1410">
        <f t="shared" si="6"/>
        <v>7</v>
      </c>
      <c r="C105" s="1417" t="s">
        <v>335</v>
      </c>
      <c r="D105" s="1443"/>
      <c r="E105" s="1432" t="s">
        <v>9</v>
      </c>
      <c r="F105" s="1444">
        <v>1</v>
      </c>
      <c r="G105" s="1415">
        <f>G26</f>
        <v>200000</v>
      </c>
      <c r="H105" s="1409">
        <f>F105*G105</f>
        <v>200000</v>
      </c>
      <c r="I105" s="1383"/>
      <c r="J105" s="1376"/>
      <c r="K105" s="1376"/>
      <c r="L105" s="1376"/>
      <c r="M105" s="1376"/>
      <c r="N105" s="1376"/>
      <c r="O105" s="1376"/>
      <c r="P105" s="1376"/>
      <c r="Q105" s="1376"/>
      <c r="R105" s="1376"/>
      <c r="S105" s="1376"/>
      <c r="T105" s="1376"/>
    </row>
    <row r="106" spans="1:20" ht="15.6" hidden="1" customHeight="1" x14ac:dyDescent="0.2">
      <c r="A106" s="1367"/>
      <c r="B106" s="1445"/>
      <c r="C106" s="1446"/>
      <c r="D106" s="1446"/>
      <c r="E106" s="1447"/>
      <c r="F106" s="1448"/>
      <c r="G106" s="1415"/>
      <c r="H106" s="1450"/>
      <c r="I106" s="1383"/>
      <c r="J106" s="1369"/>
      <c r="K106" s="1451"/>
      <c r="O106" s="1453"/>
      <c r="P106" s="1376"/>
      <c r="Q106" s="1376"/>
      <c r="R106" s="1376"/>
      <c r="S106" s="1376"/>
      <c r="T106" s="1376"/>
    </row>
    <row r="107" spans="1:20" ht="15.6" hidden="1" customHeight="1" x14ac:dyDescent="0.2">
      <c r="A107" s="1367"/>
      <c r="B107" s="1404" t="s">
        <v>5</v>
      </c>
      <c r="C107" s="1454" t="s">
        <v>706</v>
      </c>
      <c r="D107" s="1455"/>
      <c r="E107" s="1429"/>
      <c r="F107" s="1408"/>
      <c r="G107" s="1415"/>
      <c r="H107" s="1409"/>
      <c r="I107" s="1383"/>
      <c r="J107" s="1369"/>
      <c r="K107" s="1451"/>
      <c r="O107" s="1453"/>
      <c r="R107" s="1376"/>
      <c r="S107" s="1376"/>
      <c r="T107" s="1376"/>
    </row>
    <row r="108" spans="1:20" ht="15.6" hidden="1" customHeight="1" x14ac:dyDescent="0.2">
      <c r="A108" s="1367"/>
      <c r="B108" s="1410">
        <v>1</v>
      </c>
      <c r="C108" s="1417" t="s">
        <v>661</v>
      </c>
      <c r="D108" s="1456"/>
      <c r="E108" s="1457" t="s">
        <v>1</v>
      </c>
      <c r="F108" s="1430">
        <v>1</v>
      </c>
      <c r="G108" s="1415">
        <f t="shared" ref="G108:G121" si="7">G29</f>
        <v>0</v>
      </c>
      <c r="H108" s="1437">
        <f>F108*G108</f>
        <v>0</v>
      </c>
      <c r="I108" s="1383"/>
      <c r="J108" s="1369"/>
      <c r="K108" s="1451"/>
      <c r="O108" s="1453"/>
      <c r="R108" s="1376"/>
      <c r="S108" s="1376"/>
      <c r="T108" s="1376"/>
    </row>
    <row r="109" spans="1:20" ht="15.6" hidden="1" customHeight="1" x14ac:dyDescent="0.2">
      <c r="A109" s="1367"/>
      <c r="B109" s="1434">
        <f>B108+1</f>
        <v>2</v>
      </c>
      <c r="C109" s="1417" t="s">
        <v>662</v>
      </c>
      <c r="D109" s="1456"/>
      <c r="E109" s="1457" t="s">
        <v>1</v>
      </c>
      <c r="F109" s="1430">
        <v>1</v>
      </c>
      <c r="G109" s="1415">
        <f t="shared" si="7"/>
        <v>0</v>
      </c>
      <c r="H109" s="1437">
        <f t="shared" ref="H109:H121" si="8">F109*G109</f>
        <v>0</v>
      </c>
      <c r="I109" s="1383"/>
      <c r="J109" s="1369"/>
      <c r="K109" s="1451"/>
      <c r="O109" s="1453"/>
      <c r="R109" s="1376"/>
      <c r="S109" s="1376"/>
      <c r="T109" s="1376"/>
    </row>
    <row r="110" spans="1:20" ht="15.6" hidden="1" customHeight="1" x14ac:dyDescent="0.2">
      <c r="A110" s="1367"/>
      <c r="B110" s="1434">
        <f t="shared" ref="B110:B121" si="9">B109+1</f>
        <v>3</v>
      </c>
      <c r="C110" s="1417" t="s">
        <v>663</v>
      </c>
      <c r="D110" s="1456"/>
      <c r="E110" s="1457" t="s">
        <v>1</v>
      </c>
      <c r="F110" s="1409">
        <v>1</v>
      </c>
      <c r="G110" s="1415">
        <f t="shared" si="7"/>
        <v>0</v>
      </c>
      <c r="H110" s="1437">
        <f t="shared" si="8"/>
        <v>0</v>
      </c>
      <c r="I110" s="1383"/>
      <c r="J110" s="1458"/>
      <c r="K110" s="1451"/>
      <c r="O110" s="1453"/>
      <c r="R110" s="1376"/>
      <c r="S110" s="1376"/>
      <c r="T110" s="1376"/>
    </row>
    <row r="111" spans="1:20" ht="15.6" hidden="1" customHeight="1" x14ac:dyDescent="0.2">
      <c r="A111" s="1367"/>
      <c r="B111" s="1434">
        <f t="shared" si="9"/>
        <v>4</v>
      </c>
      <c r="C111" s="1417" t="s">
        <v>664</v>
      </c>
      <c r="D111" s="1456"/>
      <c r="E111" s="1457" t="s">
        <v>1</v>
      </c>
      <c r="F111" s="1409">
        <v>1</v>
      </c>
      <c r="G111" s="1415">
        <f t="shared" si="7"/>
        <v>0</v>
      </c>
      <c r="H111" s="1437">
        <f t="shared" si="8"/>
        <v>0</v>
      </c>
      <c r="I111" s="1395"/>
      <c r="J111" s="1458"/>
      <c r="K111" s="1451"/>
      <c r="O111" s="1453"/>
      <c r="R111" s="1376"/>
      <c r="S111" s="1376"/>
      <c r="T111" s="1376"/>
    </row>
    <row r="112" spans="1:20" ht="15.6" hidden="1" customHeight="1" x14ac:dyDescent="0.2">
      <c r="A112" s="1367"/>
      <c r="B112" s="1434">
        <f t="shared" si="9"/>
        <v>5</v>
      </c>
      <c r="C112" s="1417" t="s">
        <v>665</v>
      </c>
      <c r="D112" s="1456"/>
      <c r="E112" s="1457" t="s">
        <v>9</v>
      </c>
      <c r="F112" s="1409">
        <v>20</v>
      </c>
      <c r="G112" s="1415">
        <f t="shared" si="7"/>
        <v>75000</v>
      </c>
      <c r="H112" s="1437">
        <f t="shared" si="8"/>
        <v>1500000</v>
      </c>
      <c r="I112" s="1395"/>
      <c r="J112" s="1378"/>
      <c r="K112" s="1378"/>
      <c r="L112" s="1378"/>
      <c r="M112" s="1378"/>
      <c r="N112" s="1378"/>
      <c r="O112" s="1378"/>
      <c r="R112" s="1376"/>
      <c r="S112" s="1376"/>
      <c r="T112" s="1376"/>
    </row>
    <row r="113" spans="2:8" s="1378" customFormat="1" ht="15.6" hidden="1" customHeight="1" x14ac:dyDescent="0.2">
      <c r="B113" s="1434">
        <f t="shared" si="9"/>
        <v>6</v>
      </c>
      <c r="C113" s="1417" t="s">
        <v>666</v>
      </c>
      <c r="D113" s="1456"/>
      <c r="E113" s="1457" t="s">
        <v>129</v>
      </c>
      <c r="F113" s="1409">
        <v>1</v>
      </c>
      <c r="G113" s="1415">
        <f t="shared" si="7"/>
        <v>25000</v>
      </c>
      <c r="H113" s="1437">
        <f t="shared" si="8"/>
        <v>25000</v>
      </c>
    </row>
    <row r="114" spans="2:8" s="1378" customFormat="1" ht="15.6" hidden="1" customHeight="1" x14ac:dyDescent="0.2">
      <c r="B114" s="1434">
        <f t="shared" si="9"/>
        <v>7</v>
      </c>
      <c r="C114" s="1417" t="s">
        <v>667</v>
      </c>
      <c r="D114" s="1456"/>
      <c r="E114" s="1457" t="s">
        <v>9</v>
      </c>
      <c r="F114" s="1409">
        <v>1</v>
      </c>
      <c r="G114" s="1415">
        <f t="shared" si="7"/>
        <v>0</v>
      </c>
      <c r="H114" s="1437">
        <f t="shared" si="8"/>
        <v>0</v>
      </c>
    </row>
    <row r="115" spans="2:8" s="1378" customFormat="1" ht="15.6" hidden="1" customHeight="1" x14ac:dyDescent="0.2">
      <c r="B115" s="1434">
        <f t="shared" si="9"/>
        <v>8</v>
      </c>
      <c r="C115" s="1417" t="s">
        <v>668</v>
      </c>
      <c r="D115" s="1456"/>
      <c r="E115" s="1457" t="s">
        <v>9</v>
      </c>
      <c r="F115" s="1430">
        <v>20</v>
      </c>
      <c r="G115" s="1415">
        <f t="shared" si="7"/>
        <v>50000</v>
      </c>
      <c r="H115" s="1437">
        <f t="shared" si="8"/>
        <v>1000000</v>
      </c>
    </row>
    <row r="116" spans="2:8" s="1378" customFormat="1" ht="15.6" hidden="1" customHeight="1" x14ac:dyDescent="0.2">
      <c r="B116" s="1434">
        <f t="shared" si="9"/>
        <v>9</v>
      </c>
      <c r="C116" s="1417" t="s">
        <v>669</v>
      </c>
      <c r="D116" s="1456"/>
      <c r="E116" s="1457" t="s">
        <v>129</v>
      </c>
      <c r="F116" s="1409">
        <v>20</v>
      </c>
      <c r="G116" s="1415">
        <f t="shared" si="7"/>
        <v>5000</v>
      </c>
      <c r="H116" s="1437">
        <f t="shared" si="8"/>
        <v>100000</v>
      </c>
    </row>
    <row r="117" spans="2:8" s="1378" customFormat="1" ht="15.6" hidden="1" customHeight="1" x14ac:dyDescent="0.2">
      <c r="B117" s="1434">
        <f t="shared" si="9"/>
        <v>10</v>
      </c>
      <c r="C117" s="1417" t="s">
        <v>670</v>
      </c>
      <c r="D117" s="1456"/>
      <c r="E117" s="1457" t="s">
        <v>129</v>
      </c>
      <c r="F117" s="1409">
        <v>20</v>
      </c>
      <c r="G117" s="1415">
        <f t="shared" si="7"/>
        <v>145000</v>
      </c>
      <c r="H117" s="1437">
        <f t="shared" si="8"/>
        <v>2900000</v>
      </c>
    </row>
    <row r="118" spans="2:8" s="1378" customFormat="1" ht="15.6" hidden="1" customHeight="1" x14ac:dyDescent="0.2">
      <c r="B118" s="1434">
        <f t="shared" si="9"/>
        <v>11</v>
      </c>
      <c r="C118" s="1417" t="s">
        <v>671</v>
      </c>
      <c r="D118" s="1456"/>
      <c r="E118" s="1457" t="s">
        <v>9</v>
      </c>
      <c r="F118" s="1430">
        <v>1</v>
      </c>
      <c r="G118" s="1415">
        <f t="shared" si="7"/>
        <v>0</v>
      </c>
      <c r="H118" s="1437">
        <f t="shared" si="8"/>
        <v>0</v>
      </c>
    </row>
    <row r="119" spans="2:8" s="1378" customFormat="1" ht="15.6" hidden="1" customHeight="1" x14ac:dyDescent="0.2">
      <c r="B119" s="1434">
        <f t="shared" si="9"/>
        <v>12</v>
      </c>
      <c r="C119" s="1417" t="s">
        <v>672</v>
      </c>
      <c r="D119" s="1456"/>
      <c r="E119" s="1457" t="s">
        <v>9</v>
      </c>
      <c r="F119" s="1409">
        <v>20</v>
      </c>
      <c r="G119" s="1415">
        <f t="shared" si="7"/>
        <v>25000</v>
      </c>
      <c r="H119" s="1437">
        <f t="shared" si="8"/>
        <v>500000</v>
      </c>
    </row>
    <row r="120" spans="2:8" s="1378" customFormat="1" ht="15.6" hidden="1" customHeight="1" x14ac:dyDescent="0.2">
      <c r="B120" s="1434">
        <f t="shared" si="9"/>
        <v>13</v>
      </c>
      <c r="C120" s="1417" t="s">
        <v>673</v>
      </c>
      <c r="D120" s="1456"/>
      <c r="E120" s="1457" t="s">
        <v>9</v>
      </c>
      <c r="F120" s="1409">
        <v>1</v>
      </c>
      <c r="G120" s="1415">
        <f t="shared" si="7"/>
        <v>0</v>
      </c>
      <c r="H120" s="1437">
        <f t="shared" si="8"/>
        <v>0</v>
      </c>
    </row>
    <row r="121" spans="2:8" s="1378" customFormat="1" ht="15.6" hidden="1" customHeight="1" x14ac:dyDescent="0.2">
      <c r="B121" s="1434">
        <f t="shared" si="9"/>
        <v>14</v>
      </c>
      <c r="C121" s="1417" t="s">
        <v>674</v>
      </c>
      <c r="D121" s="1456"/>
      <c r="E121" s="1457" t="s">
        <v>9</v>
      </c>
      <c r="F121" s="1409">
        <v>4</v>
      </c>
      <c r="G121" s="1415">
        <f t="shared" si="7"/>
        <v>500000</v>
      </c>
      <c r="H121" s="1437">
        <f t="shared" si="8"/>
        <v>2000000</v>
      </c>
    </row>
    <row r="122" spans="2:8" s="1378" customFormat="1" ht="15.6" hidden="1" customHeight="1" x14ac:dyDescent="0.2">
      <c r="B122" s="1434"/>
      <c r="C122" s="1417"/>
      <c r="D122" s="1456"/>
      <c r="E122" s="1457"/>
      <c r="F122" s="1430"/>
      <c r="G122" s="1415"/>
      <c r="H122" s="1437"/>
    </row>
    <row r="123" spans="2:8" s="1378" customFormat="1" ht="15.6" hidden="1" customHeight="1" x14ac:dyDescent="0.2">
      <c r="B123" s="1459" t="s">
        <v>6</v>
      </c>
      <c r="C123" s="1454" t="s">
        <v>337</v>
      </c>
      <c r="D123" s="1455"/>
      <c r="E123" s="1460"/>
      <c r="F123" s="1460"/>
      <c r="G123" s="1415"/>
      <c r="H123" s="1461"/>
    </row>
    <row r="124" spans="2:8" s="1378" customFormat="1" ht="15.6" hidden="1" customHeight="1" x14ac:dyDescent="0.2">
      <c r="B124" s="1410">
        <v>1</v>
      </c>
      <c r="C124" s="1417" t="s">
        <v>675</v>
      </c>
      <c r="D124" s="1456"/>
      <c r="E124" s="1457" t="s">
        <v>1</v>
      </c>
      <c r="F124" s="1409">
        <v>20</v>
      </c>
      <c r="G124" s="1415">
        <f>G45</f>
        <v>400000</v>
      </c>
      <c r="H124" s="1437">
        <f>F124*G124</f>
        <v>8000000</v>
      </c>
    </row>
    <row r="125" spans="2:8" s="1378" customFormat="1" ht="15.6" hidden="1" customHeight="1" x14ac:dyDescent="0.2">
      <c r="B125" s="1434"/>
      <c r="C125" s="1417"/>
      <c r="D125" s="1456"/>
      <c r="E125" s="1457"/>
      <c r="F125" s="1430"/>
      <c r="G125" s="1415"/>
      <c r="H125" s="1437"/>
    </row>
    <row r="126" spans="2:8" s="1378" customFormat="1" ht="15.6" hidden="1" customHeight="1" x14ac:dyDescent="0.2">
      <c r="B126" s="1404" t="s">
        <v>7</v>
      </c>
      <c r="C126" s="1454" t="s">
        <v>338</v>
      </c>
      <c r="D126" s="1455"/>
      <c r="E126" s="1407"/>
      <c r="F126" s="1407"/>
      <c r="G126" s="1415"/>
      <c r="H126" s="1407"/>
    </row>
    <row r="127" spans="2:8" s="1378" customFormat="1" ht="15.6" hidden="1" customHeight="1" x14ac:dyDescent="0.2">
      <c r="B127" s="1410">
        <v>1</v>
      </c>
      <c r="C127" s="3197" t="s">
        <v>676</v>
      </c>
      <c r="D127" s="3198"/>
      <c r="E127" s="1457" t="s">
        <v>339</v>
      </c>
      <c r="F127" s="1409">
        <v>2</v>
      </c>
      <c r="G127" s="1415">
        <f>G48</f>
        <v>7500000</v>
      </c>
      <c r="H127" s="1437">
        <f>F127*G127</f>
        <v>15000000</v>
      </c>
    </row>
    <row r="128" spans="2:8" s="1378" customFormat="1" ht="15.6" hidden="1" customHeight="1" x14ac:dyDescent="0.2">
      <c r="B128" s="1410"/>
      <c r="C128" s="1462"/>
      <c r="D128" s="1463"/>
      <c r="E128" s="1457"/>
      <c r="F128" s="1409"/>
      <c r="G128" s="1415"/>
      <c r="H128" s="1437"/>
    </row>
    <row r="129" spans="2:8" s="1378" customFormat="1" ht="15.6" hidden="1" customHeight="1" x14ac:dyDescent="0.2">
      <c r="B129" s="1404" t="s">
        <v>63</v>
      </c>
      <c r="C129" s="3199" t="s">
        <v>680</v>
      </c>
      <c r="D129" s="3200"/>
      <c r="E129" s="1457"/>
      <c r="F129" s="1409"/>
      <c r="G129" s="1415"/>
      <c r="H129" s="1437"/>
    </row>
    <row r="130" spans="2:8" s="1378" customFormat="1" ht="15.6" hidden="1" customHeight="1" x14ac:dyDescent="0.2">
      <c r="B130" s="1410">
        <v>1</v>
      </c>
      <c r="C130" s="1464" t="s">
        <v>677</v>
      </c>
      <c r="D130" s="1463"/>
      <c r="E130" s="1457" t="s">
        <v>339</v>
      </c>
      <c r="F130" s="1409">
        <v>0</v>
      </c>
      <c r="G130" s="1415">
        <f>G51</f>
        <v>0</v>
      </c>
      <c r="H130" s="1437">
        <f>F130*G130</f>
        <v>0</v>
      </c>
    </row>
    <row r="131" spans="2:8" s="1378" customFormat="1" ht="15.6" hidden="1" customHeight="1" x14ac:dyDescent="0.2">
      <c r="B131" s="1434">
        <f>B130+1</f>
        <v>2</v>
      </c>
      <c r="C131" s="1464" t="s">
        <v>678</v>
      </c>
      <c r="D131" s="1463"/>
      <c r="E131" s="1457" t="s">
        <v>339</v>
      </c>
      <c r="F131" s="1409">
        <v>0</v>
      </c>
      <c r="G131" s="1415">
        <f>G52</f>
        <v>0</v>
      </c>
      <c r="H131" s="1437">
        <f>F131*G131</f>
        <v>0</v>
      </c>
    </row>
    <row r="132" spans="2:8" s="1378" customFormat="1" ht="15.6" hidden="1" customHeight="1" x14ac:dyDescent="0.2">
      <c r="B132" s="1434">
        <f>B131+1</f>
        <v>3</v>
      </c>
      <c r="C132" s="1464" t="s">
        <v>679</v>
      </c>
      <c r="D132" s="1463"/>
      <c r="E132" s="1457" t="s">
        <v>339</v>
      </c>
      <c r="F132" s="1409">
        <v>0</v>
      </c>
      <c r="G132" s="1415">
        <f>G53</f>
        <v>0</v>
      </c>
      <c r="H132" s="1437">
        <f>F132*G132</f>
        <v>0</v>
      </c>
    </row>
    <row r="133" spans="2:8" s="1378" customFormat="1" ht="15.6" hidden="1" customHeight="1" x14ac:dyDescent="0.2">
      <c r="B133" s="1407"/>
      <c r="C133" s="1464"/>
      <c r="D133" s="1456"/>
      <c r="E133" s="1407"/>
      <c r="F133" s="1407"/>
      <c r="G133" s="1415"/>
      <c r="H133" s="1437">
        <f>F133*G133</f>
        <v>0</v>
      </c>
    </row>
    <row r="134" spans="2:8" s="1378" customFormat="1" ht="15.6" hidden="1" customHeight="1" x14ac:dyDescent="0.2">
      <c r="B134" s="1404" t="s">
        <v>311</v>
      </c>
      <c r="C134" s="1454" t="s">
        <v>340</v>
      </c>
      <c r="D134" s="1455"/>
      <c r="E134" s="1407"/>
      <c r="F134" s="1407"/>
      <c r="G134" s="1415"/>
      <c r="H134" s="1437"/>
    </row>
    <row r="135" spans="2:8" s="1378" customFormat="1" ht="15.6" hidden="1" customHeight="1" x14ac:dyDescent="0.2">
      <c r="B135" s="1410">
        <v>1</v>
      </c>
      <c r="C135" s="1464" t="s">
        <v>681</v>
      </c>
      <c r="D135" s="1456"/>
      <c r="E135" s="1457" t="s">
        <v>1</v>
      </c>
      <c r="F135" s="1409">
        <v>1</v>
      </c>
      <c r="G135" s="1415">
        <f>G56</f>
        <v>1000000</v>
      </c>
      <c r="H135" s="1437">
        <f>F135*G135</f>
        <v>1000000</v>
      </c>
    </row>
    <row r="136" spans="2:8" s="1378" customFormat="1" ht="15.6" hidden="1" customHeight="1" x14ac:dyDescent="0.2">
      <c r="B136" s="1434">
        <f>B135+1</f>
        <v>2</v>
      </c>
      <c r="C136" s="1464" t="s">
        <v>682</v>
      </c>
      <c r="D136" s="1456"/>
      <c r="E136" s="1457" t="s">
        <v>1</v>
      </c>
      <c r="F136" s="1409">
        <v>1</v>
      </c>
      <c r="G136" s="1415">
        <f>G57</f>
        <v>0</v>
      </c>
      <c r="H136" s="1437">
        <f>F136*G136</f>
        <v>0</v>
      </c>
    </row>
    <row r="137" spans="2:8" s="1378" customFormat="1" ht="15.6" hidden="1" customHeight="1" x14ac:dyDescent="0.2">
      <c r="B137" s="1407"/>
      <c r="C137" s="1464"/>
      <c r="D137" s="1456"/>
      <c r="E137" s="1407"/>
      <c r="F137" s="1407"/>
      <c r="G137" s="1415"/>
      <c r="H137" s="1407"/>
    </row>
    <row r="138" spans="2:8" s="1378" customFormat="1" ht="15.6" hidden="1" customHeight="1" x14ac:dyDescent="0.2">
      <c r="B138" s="1404" t="s">
        <v>313</v>
      </c>
      <c r="C138" s="1454" t="s">
        <v>683</v>
      </c>
      <c r="D138" s="1455"/>
      <c r="E138" s="1407"/>
      <c r="F138" s="1407"/>
      <c r="G138" s="1415"/>
      <c r="H138" s="1407"/>
    </row>
    <row r="139" spans="2:8" s="1378" customFormat="1" ht="15.6" hidden="1" customHeight="1" x14ac:dyDescent="0.2">
      <c r="B139" s="1410">
        <v>1</v>
      </c>
      <c r="C139" s="1465" t="s">
        <v>684</v>
      </c>
      <c r="D139" s="1456"/>
      <c r="E139" s="1457" t="s">
        <v>9</v>
      </c>
      <c r="F139" s="1409">
        <v>2</v>
      </c>
      <c r="G139" s="1415">
        <f t="shared" ref="G139:G144" si="10">G60</f>
        <v>25000</v>
      </c>
      <c r="H139" s="1437">
        <f t="shared" ref="H139:H144" si="11">F139*G139</f>
        <v>50000</v>
      </c>
    </row>
    <row r="140" spans="2:8" s="1378" customFormat="1" ht="15.6" hidden="1" customHeight="1" x14ac:dyDescent="0.2">
      <c r="B140" s="1434">
        <f>B139+1</f>
        <v>2</v>
      </c>
      <c r="C140" s="1465" t="s">
        <v>685</v>
      </c>
      <c r="D140" s="1456"/>
      <c r="E140" s="1457" t="s">
        <v>9</v>
      </c>
      <c r="F140" s="1409">
        <v>2</v>
      </c>
      <c r="G140" s="1415">
        <f t="shared" si="10"/>
        <v>25000</v>
      </c>
      <c r="H140" s="1437">
        <f t="shared" si="11"/>
        <v>50000</v>
      </c>
    </row>
    <row r="141" spans="2:8" s="1378" customFormat="1" ht="15.6" hidden="1" customHeight="1" x14ac:dyDescent="0.2">
      <c r="B141" s="1434">
        <f>B140+1</f>
        <v>3</v>
      </c>
      <c r="C141" s="1465" t="s">
        <v>686</v>
      </c>
      <c r="D141" s="1456"/>
      <c r="E141" s="1457" t="s">
        <v>9</v>
      </c>
      <c r="F141" s="1409">
        <v>2</v>
      </c>
      <c r="G141" s="1415">
        <f t="shared" si="10"/>
        <v>25000</v>
      </c>
      <c r="H141" s="1437">
        <f t="shared" si="11"/>
        <v>50000</v>
      </c>
    </row>
    <row r="142" spans="2:8" s="1378" customFormat="1" ht="15.6" hidden="1" customHeight="1" x14ac:dyDescent="0.2">
      <c r="B142" s="1434">
        <f>B141+1</f>
        <v>4</v>
      </c>
      <c r="C142" s="1465" t="s">
        <v>687</v>
      </c>
      <c r="D142" s="1456"/>
      <c r="E142" s="1457" t="s">
        <v>9</v>
      </c>
      <c r="F142" s="1409">
        <v>2</v>
      </c>
      <c r="G142" s="1415">
        <f t="shared" si="10"/>
        <v>25000</v>
      </c>
      <c r="H142" s="1437">
        <f t="shared" si="11"/>
        <v>50000</v>
      </c>
    </row>
    <row r="143" spans="2:8" s="1378" customFormat="1" ht="15.6" hidden="1" customHeight="1" x14ac:dyDescent="0.2">
      <c r="B143" s="1434">
        <f>B142+1</f>
        <v>5</v>
      </c>
      <c r="C143" s="1465" t="s">
        <v>688</v>
      </c>
      <c r="D143" s="1456"/>
      <c r="E143" s="1457" t="s">
        <v>9</v>
      </c>
      <c r="F143" s="1409">
        <v>2</v>
      </c>
      <c r="G143" s="1415">
        <f t="shared" si="10"/>
        <v>25000</v>
      </c>
      <c r="H143" s="1437">
        <f t="shared" si="11"/>
        <v>50000</v>
      </c>
    </row>
    <row r="144" spans="2:8" s="1378" customFormat="1" ht="15.6" hidden="1" customHeight="1" x14ac:dyDescent="0.2">
      <c r="B144" s="1434">
        <f>B143+1</f>
        <v>6</v>
      </c>
      <c r="C144" s="1465" t="s">
        <v>689</v>
      </c>
      <c r="D144" s="1456"/>
      <c r="E144" s="1457" t="s">
        <v>1</v>
      </c>
      <c r="F144" s="1409">
        <v>2</v>
      </c>
      <c r="G144" s="1415">
        <f t="shared" si="10"/>
        <v>25000</v>
      </c>
      <c r="H144" s="1437">
        <f t="shared" si="11"/>
        <v>50000</v>
      </c>
    </row>
    <row r="145" spans="2:8" s="1378" customFormat="1" ht="15.6" hidden="1" customHeight="1" x14ac:dyDescent="0.2">
      <c r="B145" s="1434"/>
      <c r="C145" s="1464"/>
      <c r="D145" s="1456"/>
      <c r="E145" s="1457"/>
      <c r="F145" s="1409"/>
      <c r="G145" s="1415"/>
      <c r="H145" s="1437"/>
    </row>
    <row r="146" spans="2:8" s="1378" customFormat="1" ht="15.6" hidden="1" customHeight="1" x14ac:dyDescent="0.2">
      <c r="B146" s="1404" t="s">
        <v>31</v>
      </c>
      <c r="C146" s="1454" t="s">
        <v>341</v>
      </c>
      <c r="D146" s="1455"/>
      <c r="E146" s="1407"/>
      <c r="F146" s="1407"/>
      <c r="G146" s="1415"/>
      <c r="H146" s="1407"/>
    </row>
    <row r="147" spans="2:8" s="1378" customFormat="1" ht="15.6" hidden="1" customHeight="1" x14ac:dyDescent="0.2">
      <c r="B147" s="1410">
        <v>1</v>
      </c>
      <c r="C147" s="1465" t="s">
        <v>690</v>
      </c>
      <c r="D147" s="1456"/>
      <c r="E147" s="1457" t="s">
        <v>9</v>
      </c>
      <c r="F147" s="1409">
        <v>2</v>
      </c>
      <c r="G147" s="1415">
        <f>G68</f>
        <v>550000</v>
      </c>
      <c r="H147" s="1437">
        <f>F147*G147</f>
        <v>1100000</v>
      </c>
    </row>
    <row r="148" spans="2:8" s="1378" customFormat="1" ht="15.6" hidden="1" customHeight="1" x14ac:dyDescent="0.2">
      <c r="B148" s="1434">
        <f t="shared" ref="B148:B158" si="12">B147+1</f>
        <v>2</v>
      </c>
      <c r="C148" s="1465" t="s">
        <v>691</v>
      </c>
      <c r="D148" s="1456"/>
      <c r="E148" s="1457" t="s">
        <v>9</v>
      </c>
      <c r="F148" s="1409">
        <v>1</v>
      </c>
      <c r="G148" s="1415">
        <f>G69</f>
        <v>150000</v>
      </c>
      <c r="H148" s="1437">
        <f>F148*G148</f>
        <v>150000</v>
      </c>
    </row>
    <row r="149" spans="2:8" s="1378" customFormat="1" ht="15.6" hidden="1" customHeight="1" x14ac:dyDescent="0.2">
      <c r="B149" s="1434">
        <f t="shared" si="12"/>
        <v>3</v>
      </c>
      <c r="C149" s="1465" t="s">
        <v>692</v>
      </c>
      <c r="D149" s="1456"/>
      <c r="E149" s="1457" t="s">
        <v>1</v>
      </c>
      <c r="F149" s="1409">
        <v>1</v>
      </c>
      <c r="G149" s="1415">
        <f>G70</f>
        <v>500000</v>
      </c>
      <c r="H149" s="1437">
        <f>F149*G149</f>
        <v>500000</v>
      </c>
    </row>
    <row r="150" spans="2:8" s="1378" customFormat="1" ht="15.6" hidden="1" customHeight="1" x14ac:dyDescent="0.2">
      <c r="B150" s="1434">
        <f t="shared" si="12"/>
        <v>4</v>
      </c>
      <c r="C150" s="1465" t="s">
        <v>342</v>
      </c>
      <c r="D150" s="1456"/>
      <c r="E150" s="1457" t="s">
        <v>1</v>
      </c>
      <c r="F150" s="1409">
        <v>1</v>
      </c>
      <c r="G150" s="1415">
        <f>G71</f>
        <v>300000</v>
      </c>
      <c r="H150" s="1437">
        <f>F150*G150</f>
        <v>300000</v>
      </c>
    </row>
    <row r="151" spans="2:8" s="1378" customFormat="1" ht="15.6" hidden="1" customHeight="1" x14ac:dyDescent="0.2">
      <c r="B151" s="1434">
        <f t="shared" si="12"/>
        <v>5</v>
      </c>
      <c r="C151" s="1465" t="s">
        <v>693</v>
      </c>
      <c r="D151" s="1456"/>
      <c r="E151" s="1457" t="s">
        <v>332</v>
      </c>
      <c r="F151" s="1409">
        <v>20</v>
      </c>
      <c r="G151" s="1415">
        <f>G72</f>
        <v>0</v>
      </c>
      <c r="H151" s="1437">
        <f>F151*G151</f>
        <v>0</v>
      </c>
    </row>
    <row r="152" spans="2:8" s="1378" customFormat="1" ht="15.6" hidden="1" customHeight="1" x14ac:dyDescent="0.2">
      <c r="B152" s="1434"/>
      <c r="C152" s="1464"/>
      <c r="D152" s="1456"/>
      <c r="E152" s="1457"/>
      <c r="F152" s="1409"/>
      <c r="G152" s="1415"/>
      <c r="H152" s="1437"/>
    </row>
    <row r="153" spans="2:8" s="1378" customFormat="1" ht="15.6" hidden="1" customHeight="1" x14ac:dyDescent="0.2">
      <c r="B153" s="1466" t="s">
        <v>584</v>
      </c>
      <c r="C153" s="1454" t="s">
        <v>707</v>
      </c>
      <c r="D153" s="1456"/>
      <c r="E153" s="1457"/>
      <c r="F153" s="1467"/>
      <c r="G153" s="1415"/>
      <c r="H153" s="1437"/>
    </row>
    <row r="154" spans="2:8" s="1378" customFormat="1" ht="15.6" hidden="1" customHeight="1" x14ac:dyDescent="0.2">
      <c r="B154" s="1410">
        <v>1</v>
      </c>
      <c r="C154" s="1465" t="s">
        <v>694</v>
      </c>
      <c r="D154" s="1456"/>
      <c r="E154" s="1457" t="s">
        <v>9</v>
      </c>
      <c r="F154" s="1467">
        <v>1</v>
      </c>
      <c r="G154" s="1415">
        <f>G75</f>
        <v>0</v>
      </c>
      <c r="H154" s="1437">
        <f>F154*G154</f>
        <v>0</v>
      </c>
    </row>
    <row r="155" spans="2:8" s="1378" customFormat="1" ht="15.6" hidden="1" customHeight="1" x14ac:dyDescent="0.2">
      <c r="B155" s="1434">
        <f t="shared" si="12"/>
        <v>2</v>
      </c>
      <c r="C155" s="1465" t="s">
        <v>695</v>
      </c>
      <c r="D155" s="1456"/>
      <c r="E155" s="1457" t="s">
        <v>9</v>
      </c>
      <c r="F155" s="1467">
        <v>20</v>
      </c>
      <c r="G155" s="1415">
        <f>G76</f>
        <v>150000</v>
      </c>
      <c r="H155" s="1437">
        <f>F155*G155</f>
        <v>3000000</v>
      </c>
    </row>
    <row r="156" spans="2:8" s="1378" customFormat="1" ht="15.6" hidden="1" customHeight="1" x14ac:dyDescent="0.2">
      <c r="B156" s="1434">
        <f t="shared" si="12"/>
        <v>3</v>
      </c>
      <c r="C156" s="1465" t="s">
        <v>696</v>
      </c>
      <c r="D156" s="1456"/>
      <c r="E156" s="1457" t="s">
        <v>9</v>
      </c>
      <c r="F156" s="1467">
        <v>1</v>
      </c>
      <c r="G156" s="1415">
        <f>G77</f>
        <v>750000</v>
      </c>
      <c r="H156" s="1437">
        <f>F156*G156</f>
        <v>750000</v>
      </c>
    </row>
    <row r="157" spans="2:8" s="1378" customFormat="1" ht="15.6" hidden="1" customHeight="1" x14ac:dyDescent="0.2">
      <c r="B157" s="1434">
        <f t="shared" si="12"/>
        <v>4</v>
      </c>
      <c r="C157" s="1465" t="s">
        <v>697</v>
      </c>
      <c r="D157" s="1468"/>
      <c r="E157" s="1457" t="s">
        <v>698</v>
      </c>
      <c r="F157" s="1467">
        <v>50</v>
      </c>
      <c r="G157" s="1415">
        <f>G78</f>
        <v>0</v>
      </c>
      <c r="H157" s="1437">
        <f>F157*G157</f>
        <v>0</v>
      </c>
    </row>
    <row r="158" spans="2:8" s="1378" customFormat="1" ht="15.6" hidden="1" customHeight="1" x14ac:dyDescent="0.2">
      <c r="B158" s="1434">
        <f t="shared" si="12"/>
        <v>5</v>
      </c>
      <c r="C158" s="1465" t="s">
        <v>699</v>
      </c>
      <c r="D158" s="1469"/>
      <c r="E158" s="1457" t="s">
        <v>32</v>
      </c>
      <c r="F158" s="1467">
        <v>1</v>
      </c>
      <c r="G158" s="1415">
        <f>G79</f>
        <v>300000</v>
      </c>
      <c r="H158" s="1437">
        <f>F158*G158</f>
        <v>300000</v>
      </c>
    </row>
    <row r="159" spans="2:8" s="1378" customFormat="1" ht="15.6" hidden="1" customHeight="1" x14ac:dyDescent="0.2">
      <c r="B159" s="1470"/>
      <c r="C159" s="1471"/>
      <c r="D159" s="1472"/>
      <c r="E159" s="1473"/>
      <c r="F159" s="1473"/>
      <c r="G159" s="1470"/>
      <c r="H159" s="1470"/>
    </row>
    <row r="160" spans="2:8" s="1378" customFormat="1" ht="15.6" hidden="1" customHeight="1" x14ac:dyDescent="0.2">
      <c r="B160" s="1474"/>
      <c r="C160" s="1475"/>
      <c r="D160" s="1476"/>
      <c r="E160" s="1476"/>
      <c r="F160" s="1476"/>
      <c r="G160" s="1477" t="s">
        <v>329</v>
      </c>
      <c r="H160" s="1478">
        <f>SUM(H93:H159)</f>
        <v>40225000</v>
      </c>
    </row>
    <row r="161" spans="2:8" s="1378" customFormat="1" ht="15.6" customHeight="1" x14ac:dyDescent="0.2">
      <c r="B161" s="1479"/>
      <c r="C161" s="1480"/>
      <c r="D161" s="1479"/>
      <c r="E161" s="1479"/>
      <c r="F161" s="1479"/>
      <c r="G161" s="1481"/>
      <c r="H161" s="1482"/>
    </row>
    <row r="162" spans="2:8" s="1378" customFormat="1" ht="15.6" customHeight="1" x14ac:dyDescent="0.2">
      <c r="C162" s="1391"/>
    </row>
    <row r="163" spans="2:8" s="1378" customFormat="1" ht="15.6" customHeight="1" x14ac:dyDescent="0.2">
      <c r="C163" s="1391"/>
    </row>
    <row r="164" spans="2:8" s="1378" customFormat="1" ht="15.6" customHeight="1" x14ac:dyDescent="0.2">
      <c r="C164" s="1391"/>
    </row>
    <row r="165" spans="2:8" s="1378" customFormat="1" ht="15.6" customHeight="1" x14ac:dyDescent="0.2">
      <c r="C165" s="1391"/>
    </row>
    <row r="166" spans="2:8" s="1378" customFormat="1" ht="15.6" customHeight="1" x14ac:dyDescent="0.2">
      <c r="C166" s="1391"/>
    </row>
    <row r="167" spans="2:8" s="1378" customFormat="1" ht="15.6" customHeight="1" x14ac:dyDescent="0.2">
      <c r="C167" s="1391"/>
    </row>
    <row r="168" spans="2:8" s="1378" customFormat="1" ht="15.6" customHeight="1" x14ac:dyDescent="0.2">
      <c r="C168" s="1391"/>
    </row>
    <row r="169" spans="2:8" s="1378" customFormat="1" ht="15.6" customHeight="1" x14ac:dyDescent="0.2">
      <c r="C169" s="1391"/>
    </row>
    <row r="170" spans="2:8" s="1378" customFormat="1" ht="15.6" customHeight="1" x14ac:dyDescent="0.2">
      <c r="C170" s="1391"/>
    </row>
    <row r="171" spans="2:8" s="1378" customFormat="1" ht="15.6" customHeight="1" x14ac:dyDescent="0.2">
      <c r="C171" s="1391"/>
    </row>
    <row r="172" spans="2:8" s="1378" customFormat="1" ht="15.6" customHeight="1" x14ac:dyDescent="0.2">
      <c r="C172" s="1391"/>
    </row>
    <row r="173" spans="2:8" s="1378" customFormat="1" ht="15.6" customHeight="1" x14ac:dyDescent="0.2">
      <c r="C173" s="1391"/>
    </row>
    <row r="174" spans="2:8" s="1378" customFormat="1" ht="15.6" customHeight="1" x14ac:dyDescent="0.2">
      <c r="C174" s="1391"/>
    </row>
    <row r="175" spans="2:8" s="1378" customFormat="1" ht="15.6" customHeight="1" x14ac:dyDescent="0.2">
      <c r="C175" s="1391"/>
    </row>
    <row r="176" spans="2:8" s="1378" customFormat="1" ht="15.6" customHeight="1" x14ac:dyDescent="0.2">
      <c r="C176" s="1391"/>
    </row>
    <row r="177" spans="3:3" s="1378" customFormat="1" ht="15.6" customHeight="1" x14ac:dyDescent="0.2">
      <c r="C177" s="1391"/>
    </row>
    <row r="178" spans="3:3" s="1378" customFormat="1" ht="15.6" customHeight="1" x14ac:dyDescent="0.2">
      <c r="C178" s="1391"/>
    </row>
    <row r="179" spans="3:3" s="1378" customFormat="1" ht="15.6" customHeight="1" x14ac:dyDescent="0.2">
      <c r="C179" s="1391"/>
    </row>
    <row r="180" spans="3:3" s="1378" customFormat="1" ht="15.6" customHeight="1" x14ac:dyDescent="0.2">
      <c r="C180" s="1391"/>
    </row>
    <row r="181" spans="3:3" s="1378" customFormat="1" ht="15.6" customHeight="1" x14ac:dyDescent="0.2">
      <c r="C181" s="1391"/>
    </row>
    <row r="182" spans="3:3" s="1378" customFormat="1" ht="15.6" customHeight="1" x14ac:dyDescent="0.2">
      <c r="C182" s="1391"/>
    </row>
    <row r="183" spans="3:3" s="1378" customFormat="1" ht="15.6" customHeight="1" x14ac:dyDescent="0.2">
      <c r="C183" s="1391"/>
    </row>
    <row r="184" spans="3:3" s="1378" customFormat="1" ht="15.6" customHeight="1" x14ac:dyDescent="0.2">
      <c r="C184" s="1391"/>
    </row>
    <row r="185" spans="3:3" s="1378" customFormat="1" ht="15.6" customHeight="1" x14ac:dyDescent="0.2">
      <c r="C185" s="1391"/>
    </row>
    <row r="186" spans="3:3" s="1378" customFormat="1" ht="15.6" customHeight="1" x14ac:dyDescent="0.2">
      <c r="C186" s="1391"/>
    </row>
    <row r="187" spans="3:3" s="1378" customFormat="1" ht="15.6" customHeight="1" x14ac:dyDescent="0.2">
      <c r="C187" s="1391"/>
    </row>
    <row r="188" spans="3:3" s="1378" customFormat="1" ht="15.6" customHeight="1" x14ac:dyDescent="0.2">
      <c r="C188" s="1391"/>
    </row>
    <row r="189" spans="3:3" s="1378" customFormat="1" ht="15.6" customHeight="1" x14ac:dyDescent="0.2">
      <c r="C189" s="1391"/>
    </row>
    <row r="190" spans="3:3" s="1378" customFormat="1" ht="15.6" customHeight="1" x14ac:dyDescent="0.2">
      <c r="C190" s="1391"/>
    </row>
    <row r="191" spans="3:3" s="1378" customFormat="1" ht="15.6" customHeight="1" x14ac:dyDescent="0.2">
      <c r="C191" s="1391"/>
    </row>
    <row r="192" spans="3:3" s="1378" customFormat="1" ht="15.6" customHeight="1" x14ac:dyDescent="0.2">
      <c r="C192" s="1391"/>
    </row>
    <row r="193" spans="3:3" s="1378" customFormat="1" ht="15.6" customHeight="1" x14ac:dyDescent="0.2">
      <c r="C193" s="1391"/>
    </row>
    <row r="194" spans="3:3" s="1378" customFormat="1" ht="15.6" customHeight="1" x14ac:dyDescent="0.2">
      <c r="C194" s="1391"/>
    </row>
    <row r="195" spans="3:3" s="1378" customFormat="1" ht="15.6" customHeight="1" x14ac:dyDescent="0.2">
      <c r="C195" s="1391"/>
    </row>
    <row r="196" spans="3:3" s="1378" customFormat="1" ht="15.6" customHeight="1" x14ac:dyDescent="0.2">
      <c r="C196" s="1391"/>
    </row>
    <row r="197" spans="3:3" s="1378" customFormat="1" ht="15.6" customHeight="1" x14ac:dyDescent="0.2">
      <c r="C197" s="1391"/>
    </row>
    <row r="198" spans="3:3" s="1378" customFormat="1" ht="15.6" customHeight="1" x14ac:dyDescent="0.2">
      <c r="C198" s="1391"/>
    </row>
    <row r="199" spans="3:3" s="1378" customFormat="1" ht="15.6" customHeight="1" x14ac:dyDescent="0.2">
      <c r="C199" s="1391"/>
    </row>
    <row r="200" spans="3:3" s="1378" customFormat="1" ht="15.6" customHeight="1" x14ac:dyDescent="0.2">
      <c r="C200" s="1391"/>
    </row>
    <row r="201" spans="3:3" s="1378" customFormat="1" ht="15.6" customHeight="1" x14ac:dyDescent="0.2">
      <c r="C201" s="1391"/>
    </row>
    <row r="202" spans="3:3" s="1378" customFormat="1" ht="15.6" customHeight="1" x14ac:dyDescent="0.2">
      <c r="C202" s="1391"/>
    </row>
    <row r="203" spans="3:3" s="1378" customFormat="1" ht="15.6" customHeight="1" x14ac:dyDescent="0.2">
      <c r="C203" s="1391"/>
    </row>
    <row r="204" spans="3:3" s="1378" customFormat="1" ht="15.6" customHeight="1" x14ac:dyDescent="0.2">
      <c r="C204" s="1391"/>
    </row>
    <row r="205" spans="3:3" s="1378" customFormat="1" ht="15.6" customHeight="1" x14ac:dyDescent="0.2">
      <c r="C205" s="1391"/>
    </row>
    <row r="206" spans="3:3" s="1378" customFormat="1" ht="15.6" customHeight="1" x14ac:dyDescent="0.2">
      <c r="C206" s="1391"/>
    </row>
    <row r="207" spans="3:3" s="1378" customFormat="1" ht="15.6" customHeight="1" x14ac:dyDescent="0.2">
      <c r="C207" s="1391"/>
    </row>
    <row r="208" spans="3:3" s="1378" customFormat="1" ht="15.6" customHeight="1" x14ac:dyDescent="0.2">
      <c r="C208" s="1391"/>
    </row>
    <row r="209" spans="3:3" s="1378" customFormat="1" ht="15.6" customHeight="1" x14ac:dyDescent="0.2">
      <c r="C209" s="1391"/>
    </row>
    <row r="210" spans="3:3" s="1378" customFormat="1" ht="15.6" customHeight="1" x14ac:dyDescent="0.2">
      <c r="C210" s="1391"/>
    </row>
    <row r="211" spans="3:3" s="1378" customFormat="1" ht="15.6" customHeight="1" x14ac:dyDescent="0.2">
      <c r="C211" s="1391"/>
    </row>
    <row r="212" spans="3:3" s="1378" customFormat="1" ht="15.6" customHeight="1" x14ac:dyDescent="0.2">
      <c r="C212" s="1391"/>
    </row>
    <row r="213" spans="3:3" s="1378" customFormat="1" ht="15.6" customHeight="1" x14ac:dyDescent="0.2">
      <c r="C213" s="1391"/>
    </row>
    <row r="214" spans="3:3" s="1378" customFormat="1" ht="15.6" customHeight="1" x14ac:dyDescent="0.2">
      <c r="C214" s="1391"/>
    </row>
    <row r="215" spans="3:3" s="1378" customFormat="1" ht="15.6" customHeight="1" x14ac:dyDescent="0.2">
      <c r="C215" s="1391"/>
    </row>
    <row r="216" spans="3:3" s="1378" customFormat="1" ht="15.6" customHeight="1" x14ac:dyDescent="0.2">
      <c r="C216" s="1391"/>
    </row>
    <row r="217" spans="3:3" s="1378" customFormat="1" ht="15.6" customHeight="1" x14ac:dyDescent="0.2">
      <c r="C217" s="1391"/>
    </row>
    <row r="218" spans="3:3" s="1378" customFormat="1" ht="15.6" customHeight="1" x14ac:dyDescent="0.2">
      <c r="C218" s="1391"/>
    </row>
    <row r="219" spans="3:3" s="1378" customFormat="1" ht="15.6" customHeight="1" x14ac:dyDescent="0.2">
      <c r="C219" s="1391"/>
    </row>
    <row r="220" spans="3:3" s="1378" customFormat="1" ht="15.6" customHeight="1" x14ac:dyDescent="0.2">
      <c r="C220" s="1391"/>
    </row>
    <row r="221" spans="3:3" s="1378" customFormat="1" ht="15.6" customHeight="1" x14ac:dyDescent="0.2">
      <c r="C221" s="1391"/>
    </row>
    <row r="222" spans="3:3" s="1378" customFormat="1" ht="15.6" customHeight="1" x14ac:dyDescent="0.2">
      <c r="C222" s="1391"/>
    </row>
    <row r="223" spans="3:3" s="1378" customFormat="1" ht="15.6" customHeight="1" x14ac:dyDescent="0.2">
      <c r="C223" s="1391"/>
    </row>
    <row r="224" spans="3:3" s="1378" customFormat="1" ht="15.6" customHeight="1" x14ac:dyDescent="0.2">
      <c r="C224" s="1391"/>
    </row>
    <row r="225" spans="3:3" s="1378" customFormat="1" ht="15.6" customHeight="1" x14ac:dyDescent="0.2">
      <c r="C225" s="1391"/>
    </row>
    <row r="226" spans="3:3" s="1378" customFormat="1" ht="15.6" customHeight="1" x14ac:dyDescent="0.2">
      <c r="C226" s="1391"/>
    </row>
    <row r="227" spans="3:3" s="1378" customFormat="1" ht="15.6" customHeight="1" x14ac:dyDescent="0.2">
      <c r="C227" s="1391"/>
    </row>
    <row r="228" spans="3:3" s="1378" customFormat="1" ht="15.6" customHeight="1" x14ac:dyDescent="0.2">
      <c r="C228" s="1391"/>
    </row>
    <row r="229" spans="3:3" s="1378" customFormat="1" ht="15.6" customHeight="1" x14ac:dyDescent="0.2">
      <c r="C229" s="1391"/>
    </row>
    <row r="230" spans="3:3" s="1378" customFormat="1" ht="15.6" customHeight="1" x14ac:dyDescent="0.2">
      <c r="C230" s="1391"/>
    </row>
    <row r="231" spans="3:3" s="1378" customFormat="1" ht="15.6" customHeight="1" x14ac:dyDescent="0.2">
      <c r="C231" s="1391"/>
    </row>
    <row r="232" spans="3:3" s="1378" customFormat="1" ht="15.6" customHeight="1" x14ac:dyDescent="0.2">
      <c r="C232" s="1391"/>
    </row>
    <row r="233" spans="3:3" s="1378" customFormat="1" ht="15.6" customHeight="1" x14ac:dyDescent="0.2">
      <c r="C233" s="1391"/>
    </row>
    <row r="234" spans="3:3" s="1378" customFormat="1" ht="15.6" customHeight="1" x14ac:dyDescent="0.2">
      <c r="C234" s="1391"/>
    </row>
    <row r="235" spans="3:3" s="1378" customFormat="1" ht="15.6" customHeight="1" x14ac:dyDescent="0.2">
      <c r="C235" s="1391"/>
    </row>
    <row r="236" spans="3:3" s="1378" customFormat="1" ht="15.6" customHeight="1" x14ac:dyDescent="0.2">
      <c r="C236" s="1391"/>
    </row>
    <row r="237" spans="3:3" s="1378" customFormat="1" ht="15.6" customHeight="1" x14ac:dyDescent="0.2">
      <c r="C237" s="1391"/>
    </row>
    <row r="238" spans="3:3" s="1378" customFormat="1" ht="15.6" customHeight="1" x14ac:dyDescent="0.2">
      <c r="C238" s="1391"/>
    </row>
    <row r="239" spans="3:3" s="1378" customFormat="1" ht="15.6" customHeight="1" x14ac:dyDescent="0.2">
      <c r="C239" s="1391"/>
    </row>
    <row r="240" spans="3:3" s="1378" customFormat="1" ht="15.6" customHeight="1" x14ac:dyDescent="0.2">
      <c r="C240" s="1391"/>
    </row>
    <row r="241" spans="3:3" s="1378" customFormat="1" ht="15.6" customHeight="1" x14ac:dyDescent="0.2">
      <c r="C241" s="1391"/>
    </row>
    <row r="242" spans="3:3" s="1378" customFormat="1" ht="15.6" customHeight="1" x14ac:dyDescent="0.2">
      <c r="C242" s="1391"/>
    </row>
    <row r="243" spans="3:3" s="1378" customFormat="1" ht="15.6" customHeight="1" x14ac:dyDescent="0.2">
      <c r="C243" s="1391"/>
    </row>
    <row r="244" spans="3:3" s="1378" customFormat="1" ht="15.6" customHeight="1" x14ac:dyDescent="0.2">
      <c r="C244" s="1391"/>
    </row>
    <row r="245" spans="3:3" s="1378" customFormat="1" ht="15.6" customHeight="1" x14ac:dyDescent="0.2">
      <c r="C245" s="1391"/>
    </row>
    <row r="246" spans="3:3" s="1378" customFormat="1" ht="15.6" customHeight="1" x14ac:dyDescent="0.2">
      <c r="C246" s="1391"/>
    </row>
    <row r="247" spans="3:3" s="1378" customFormat="1" ht="15.6" customHeight="1" x14ac:dyDescent="0.2">
      <c r="C247" s="1391"/>
    </row>
    <row r="248" spans="3:3" s="1378" customFormat="1" ht="15.6" customHeight="1" x14ac:dyDescent="0.2">
      <c r="C248" s="1391"/>
    </row>
    <row r="249" spans="3:3" s="1378" customFormat="1" ht="15.6" customHeight="1" x14ac:dyDescent="0.2">
      <c r="C249" s="1391"/>
    </row>
    <row r="250" spans="3:3" s="1378" customFormat="1" ht="15.6" customHeight="1" x14ac:dyDescent="0.2">
      <c r="C250" s="1391"/>
    </row>
    <row r="251" spans="3:3" s="1378" customFormat="1" ht="15.6" customHeight="1" x14ac:dyDescent="0.2">
      <c r="C251" s="1391"/>
    </row>
    <row r="252" spans="3:3" s="1378" customFormat="1" ht="15.6" customHeight="1" x14ac:dyDescent="0.2">
      <c r="C252" s="1391"/>
    </row>
    <row r="253" spans="3:3" s="1378" customFormat="1" ht="15.6" customHeight="1" x14ac:dyDescent="0.2">
      <c r="C253" s="1391"/>
    </row>
    <row r="254" spans="3:3" s="1378" customFormat="1" ht="15.6" customHeight="1" x14ac:dyDescent="0.2">
      <c r="C254" s="1391"/>
    </row>
    <row r="255" spans="3:3" s="1378" customFormat="1" ht="15.6" customHeight="1" x14ac:dyDescent="0.2">
      <c r="C255" s="1391"/>
    </row>
    <row r="256" spans="3:3" s="1378" customFormat="1" ht="15.6" customHeight="1" x14ac:dyDescent="0.2">
      <c r="C256" s="1391"/>
    </row>
    <row r="257" spans="3:3" s="1378" customFormat="1" ht="15.6" customHeight="1" x14ac:dyDescent="0.2">
      <c r="C257" s="1391"/>
    </row>
    <row r="258" spans="3:3" s="1378" customFormat="1" ht="15.6" customHeight="1" x14ac:dyDescent="0.2">
      <c r="C258" s="1391"/>
    </row>
    <row r="259" spans="3:3" s="1378" customFormat="1" ht="15.6" customHeight="1" x14ac:dyDescent="0.2">
      <c r="C259" s="1391"/>
    </row>
    <row r="260" spans="3:3" s="1378" customFormat="1" ht="15.6" customHeight="1" x14ac:dyDescent="0.2">
      <c r="C260" s="1391"/>
    </row>
    <row r="261" spans="3:3" s="1378" customFormat="1" ht="15.6" customHeight="1" x14ac:dyDescent="0.2">
      <c r="C261" s="1391"/>
    </row>
    <row r="262" spans="3:3" s="1378" customFormat="1" ht="15.6" customHeight="1" x14ac:dyDescent="0.2">
      <c r="C262" s="1391"/>
    </row>
    <row r="263" spans="3:3" s="1378" customFormat="1" ht="15.6" customHeight="1" x14ac:dyDescent="0.2">
      <c r="C263" s="1391"/>
    </row>
    <row r="264" spans="3:3" s="1378" customFormat="1" ht="15.6" customHeight="1" x14ac:dyDescent="0.2">
      <c r="C264" s="1391"/>
    </row>
    <row r="265" spans="3:3" s="1378" customFormat="1" ht="15.6" customHeight="1" x14ac:dyDescent="0.2">
      <c r="C265" s="1391"/>
    </row>
    <row r="266" spans="3:3" s="1378" customFormat="1" ht="15.6" customHeight="1" x14ac:dyDescent="0.2">
      <c r="C266" s="1391"/>
    </row>
    <row r="267" spans="3:3" s="1378" customFormat="1" ht="15.6" customHeight="1" x14ac:dyDescent="0.2">
      <c r="C267" s="1391"/>
    </row>
    <row r="268" spans="3:3" s="1378" customFormat="1" ht="15.6" customHeight="1" x14ac:dyDescent="0.2">
      <c r="C268" s="1391"/>
    </row>
    <row r="269" spans="3:3" s="1378" customFormat="1" ht="15.6" customHeight="1" x14ac:dyDescent="0.2">
      <c r="C269" s="1391"/>
    </row>
    <row r="270" spans="3:3" s="1378" customFormat="1" ht="15.6" customHeight="1" x14ac:dyDescent="0.2">
      <c r="C270" s="1391"/>
    </row>
    <row r="271" spans="3:3" s="1378" customFormat="1" ht="15.6" customHeight="1" x14ac:dyDescent="0.2">
      <c r="C271" s="1391"/>
    </row>
    <row r="272" spans="3:3" s="1378" customFormat="1" ht="15.6" customHeight="1" x14ac:dyDescent="0.2">
      <c r="C272" s="1391"/>
    </row>
    <row r="273" spans="3:3" s="1378" customFormat="1" ht="15.6" customHeight="1" x14ac:dyDescent="0.2">
      <c r="C273" s="1391"/>
    </row>
    <row r="274" spans="3:3" s="1378" customFormat="1" ht="15.6" customHeight="1" x14ac:dyDescent="0.2">
      <c r="C274" s="1391"/>
    </row>
    <row r="275" spans="3:3" s="1378" customFormat="1" ht="15.6" customHeight="1" x14ac:dyDescent="0.2">
      <c r="C275" s="1391"/>
    </row>
    <row r="276" spans="3:3" s="1378" customFormat="1" ht="15.6" customHeight="1" x14ac:dyDescent="0.2">
      <c r="C276" s="1391"/>
    </row>
    <row r="277" spans="3:3" s="1378" customFormat="1" ht="15.6" customHeight="1" x14ac:dyDescent="0.2">
      <c r="C277" s="1391"/>
    </row>
    <row r="278" spans="3:3" s="1378" customFormat="1" ht="15.6" customHeight="1" x14ac:dyDescent="0.2">
      <c r="C278" s="1391"/>
    </row>
    <row r="279" spans="3:3" s="1378" customFormat="1" ht="15.6" customHeight="1" x14ac:dyDescent="0.2">
      <c r="C279" s="1391"/>
    </row>
    <row r="280" spans="3:3" s="1378" customFormat="1" ht="15.6" customHeight="1" x14ac:dyDescent="0.2">
      <c r="C280" s="1391"/>
    </row>
    <row r="281" spans="3:3" s="1378" customFormat="1" ht="15.6" customHeight="1" x14ac:dyDescent="0.2">
      <c r="C281" s="1391"/>
    </row>
    <row r="282" spans="3:3" s="1378" customFormat="1" ht="15.6" customHeight="1" x14ac:dyDescent="0.2">
      <c r="C282" s="1391"/>
    </row>
    <row r="283" spans="3:3" s="1378" customFormat="1" ht="15.6" customHeight="1" x14ac:dyDescent="0.2">
      <c r="C283" s="1391"/>
    </row>
    <row r="284" spans="3:3" s="1378" customFormat="1" ht="15.6" customHeight="1" x14ac:dyDescent="0.2">
      <c r="C284" s="1391"/>
    </row>
    <row r="285" spans="3:3" s="1378" customFormat="1" ht="15.6" customHeight="1" x14ac:dyDescent="0.2">
      <c r="C285" s="1391"/>
    </row>
    <row r="286" spans="3:3" s="1378" customFormat="1" ht="15.6" customHeight="1" x14ac:dyDescent="0.2">
      <c r="C286" s="1391"/>
    </row>
    <row r="287" spans="3:3" s="1378" customFormat="1" ht="15.6" customHeight="1" x14ac:dyDescent="0.2">
      <c r="C287" s="1391"/>
    </row>
    <row r="288" spans="3:3" s="1378" customFormat="1" ht="15.6" customHeight="1" x14ac:dyDescent="0.2">
      <c r="C288" s="1391"/>
    </row>
    <row r="289" spans="3:3" s="1378" customFormat="1" ht="15.6" customHeight="1" x14ac:dyDescent="0.2">
      <c r="C289" s="1391"/>
    </row>
    <row r="290" spans="3:3" s="1378" customFormat="1" ht="15.6" customHeight="1" x14ac:dyDescent="0.2">
      <c r="C290" s="1391"/>
    </row>
    <row r="291" spans="3:3" s="1378" customFormat="1" ht="15.6" customHeight="1" x14ac:dyDescent="0.2">
      <c r="C291" s="1391"/>
    </row>
    <row r="292" spans="3:3" s="1378" customFormat="1" ht="15.6" customHeight="1" x14ac:dyDescent="0.2">
      <c r="C292" s="1391"/>
    </row>
    <row r="293" spans="3:3" s="1378" customFormat="1" ht="15.6" customHeight="1" x14ac:dyDescent="0.2">
      <c r="C293" s="1391"/>
    </row>
    <row r="294" spans="3:3" s="1378" customFormat="1" ht="15.6" customHeight="1" x14ac:dyDescent="0.2">
      <c r="C294" s="1391"/>
    </row>
    <row r="295" spans="3:3" s="1378" customFormat="1" ht="15.6" customHeight="1" x14ac:dyDescent="0.2">
      <c r="C295" s="1391"/>
    </row>
    <row r="296" spans="3:3" s="1378" customFormat="1" ht="15.6" customHeight="1" x14ac:dyDescent="0.2">
      <c r="C296" s="1391"/>
    </row>
    <row r="297" spans="3:3" s="1378" customFormat="1" ht="15.6" customHeight="1" x14ac:dyDescent="0.2">
      <c r="C297" s="1391"/>
    </row>
    <row r="298" spans="3:3" s="1378" customFormat="1" ht="15.6" customHeight="1" x14ac:dyDescent="0.2">
      <c r="C298" s="1391"/>
    </row>
    <row r="299" spans="3:3" s="1378" customFormat="1" ht="15.6" customHeight="1" x14ac:dyDescent="0.2">
      <c r="C299" s="1391"/>
    </row>
    <row r="300" spans="3:3" s="1378" customFormat="1" ht="15.6" customHeight="1" x14ac:dyDescent="0.2">
      <c r="C300" s="1391"/>
    </row>
    <row r="301" spans="3:3" s="1378" customFormat="1" ht="15.6" customHeight="1" x14ac:dyDescent="0.2">
      <c r="C301" s="1391"/>
    </row>
    <row r="302" spans="3:3" s="1378" customFormat="1" ht="15.6" customHeight="1" x14ac:dyDescent="0.2">
      <c r="C302" s="1391"/>
    </row>
    <row r="303" spans="3:3" s="1378" customFormat="1" ht="15.6" customHeight="1" x14ac:dyDescent="0.2">
      <c r="C303" s="1391"/>
    </row>
    <row r="304" spans="3:3" s="1378" customFormat="1" ht="15.6" customHeight="1" x14ac:dyDescent="0.2">
      <c r="C304" s="1391"/>
    </row>
    <row r="305" spans="3:3" s="1378" customFormat="1" ht="15.6" customHeight="1" x14ac:dyDescent="0.2">
      <c r="C305" s="1391"/>
    </row>
    <row r="306" spans="3:3" s="1378" customFormat="1" ht="15.6" customHeight="1" x14ac:dyDescent="0.2">
      <c r="C306" s="1391"/>
    </row>
    <row r="307" spans="3:3" s="1378" customFormat="1" ht="15.6" customHeight="1" x14ac:dyDescent="0.2">
      <c r="C307" s="1391"/>
    </row>
    <row r="308" spans="3:3" s="1378" customFormat="1" ht="15.6" customHeight="1" x14ac:dyDescent="0.2">
      <c r="C308" s="1391"/>
    </row>
    <row r="309" spans="3:3" s="1378" customFormat="1" ht="15.6" customHeight="1" x14ac:dyDescent="0.2">
      <c r="C309" s="1391"/>
    </row>
    <row r="310" spans="3:3" s="1378" customFormat="1" ht="15.6" customHeight="1" x14ac:dyDescent="0.2">
      <c r="C310" s="1391"/>
    </row>
    <row r="311" spans="3:3" s="1378" customFormat="1" ht="15.6" customHeight="1" x14ac:dyDescent="0.2">
      <c r="C311" s="1391"/>
    </row>
    <row r="312" spans="3:3" s="1378" customFormat="1" ht="15.6" customHeight="1" x14ac:dyDescent="0.2">
      <c r="C312" s="1391"/>
    </row>
    <row r="313" spans="3:3" s="1378" customFormat="1" ht="15.6" customHeight="1" x14ac:dyDescent="0.2">
      <c r="C313" s="1391"/>
    </row>
    <row r="314" spans="3:3" s="1378" customFormat="1" ht="15.6" customHeight="1" x14ac:dyDescent="0.2">
      <c r="C314" s="1391"/>
    </row>
    <row r="315" spans="3:3" s="1378" customFormat="1" ht="15.6" customHeight="1" x14ac:dyDescent="0.2">
      <c r="C315" s="1391"/>
    </row>
    <row r="316" spans="3:3" s="1378" customFormat="1" ht="15.6" customHeight="1" x14ac:dyDescent="0.2">
      <c r="C316" s="1391"/>
    </row>
    <row r="317" spans="3:3" s="1378" customFormat="1" ht="15.6" customHeight="1" x14ac:dyDescent="0.2">
      <c r="C317" s="1391"/>
    </row>
    <row r="318" spans="3:3" s="1378" customFormat="1" ht="15.6" customHeight="1" x14ac:dyDescent="0.2">
      <c r="C318" s="1391"/>
    </row>
    <row r="319" spans="3:3" s="1378" customFormat="1" ht="15.6" customHeight="1" x14ac:dyDescent="0.2">
      <c r="C319" s="1391"/>
    </row>
    <row r="320" spans="3:3" s="1378" customFormat="1" ht="15.6" customHeight="1" x14ac:dyDescent="0.2">
      <c r="C320" s="1391"/>
    </row>
    <row r="321" spans="3:3" s="1378" customFormat="1" ht="15.6" customHeight="1" x14ac:dyDescent="0.2">
      <c r="C321" s="1391"/>
    </row>
    <row r="322" spans="3:3" s="1378" customFormat="1" ht="15.6" customHeight="1" x14ac:dyDescent="0.2">
      <c r="C322" s="1391"/>
    </row>
    <row r="323" spans="3:3" s="1378" customFormat="1" ht="15.6" customHeight="1" x14ac:dyDescent="0.2">
      <c r="C323" s="1391"/>
    </row>
    <row r="324" spans="3:3" s="1378" customFormat="1" ht="15.6" customHeight="1" x14ac:dyDescent="0.2">
      <c r="C324" s="1391"/>
    </row>
    <row r="325" spans="3:3" s="1378" customFormat="1" ht="15.6" customHeight="1" x14ac:dyDescent="0.2">
      <c r="C325" s="1391"/>
    </row>
    <row r="326" spans="3:3" s="1378" customFormat="1" ht="15.6" customHeight="1" x14ac:dyDescent="0.2">
      <c r="C326" s="1391"/>
    </row>
    <row r="327" spans="3:3" s="1378" customFormat="1" ht="15.6" customHeight="1" x14ac:dyDescent="0.2">
      <c r="C327" s="1391"/>
    </row>
    <row r="328" spans="3:3" s="1378" customFormat="1" ht="15.6" customHeight="1" x14ac:dyDescent="0.2">
      <c r="C328" s="1391"/>
    </row>
    <row r="329" spans="3:3" s="1378" customFormat="1" ht="15.6" customHeight="1" x14ac:dyDescent="0.2">
      <c r="C329" s="1391"/>
    </row>
    <row r="330" spans="3:3" s="1378" customFormat="1" ht="15.6" customHeight="1" x14ac:dyDescent="0.2">
      <c r="C330" s="1391"/>
    </row>
    <row r="331" spans="3:3" s="1378" customFormat="1" ht="15.6" customHeight="1" x14ac:dyDescent="0.2">
      <c r="C331" s="1391"/>
    </row>
    <row r="332" spans="3:3" s="1378" customFormat="1" ht="15.6" customHeight="1" x14ac:dyDescent="0.2">
      <c r="C332" s="1391"/>
    </row>
    <row r="333" spans="3:3" s="1378" customFormat="1" ht="15.6" customHeight="1" x14ac:dyDescent="0.2">
      <c r="C333" s="1391"/>
    </row>
    <row r="334" spans="3:3" s="1378" customFormat="1" ht="15.6" customHeight="1" x14ac:dyDescent="0.2">
      <c r="C334" s="1391"/>
    </row>
    <row r="335" spans="3:3" s="1378" customFormat="1" ht="15.6" customHeight="1" x14ac:dyDescent="0.2">
      <c r="C335" s="1391"/>
    </row>
    <row r="336" spans="3:3" s="1378" customFormat="1" ht="15.6" customHeight="1" x14ac:dyDescent="0.2">
      <c r="C336" s="1391"/>
    </row>
    <row r="337" spans="3:3" s="1378" customFormat="1" ht="15.6" customHeight="1" x14ac:dyDescent="0.2">
      <c r="C337" s="1391"/>
    </row>
    <row r="338" spans="3:3" s="1378" customFormat="1" ht="15.6" customHeight="1" x14ac:dyDescent="0.2">
      <c r="C338" s="1391"/>
    </row>
    <row r="339" spans="3:3" s="1378" customFormat="1" ht="15.6" customHeight="1" x14ac:dyDescent="0.2">
      <c r="C339" s="1391"/>
    </row>
    <row r="340" spans="3:3" s="1378" customFormat="1" ht="15.6" customHeight="1" x14ac:dyDescent="0.2">
      <c r="C340" s="1391"/>
    </row>
    <row r="341" spans="3:3" s="1378" customFormat="1" ht="15.6" customHeight="1" x14ac:dyDescent="0.2">
      <c r="C341" s="1391"/>
    </row>
    <row r="342" spans="3:3" s="1378" customFormat="1" ht="15.6" customHeight="1" x14ac:dyDescent="0.2">
      <c r="C342" s="1391"/>
    </row>
    <row r="343" spans="3:3" s="1378" customFormat="1" ht="15.6" customHeight="1" x14ac:dyDescent="0.2">
      <c r="C343" s="1391"/>
    </row>
    <row r="344" spans="3:3" s="1378" customFormat="1" ht="15.6" customHeight="1" x14ac:dyDescent="0.2">
      <c r="C344" s="1391"/>
    </row>
    <row r="345" spans="3:3" s="1378" customFormat="1" ht="15.6" customHeight="1" x14ac:dyDescent="0.2">
      <c r="C345" s="1391"/>
    </row>
    <row r="346" spans="3:3" s="1378" customFormat="1" ht="15.6" customHeight="1" x14ac:dyDescent="0.2">
      <c r="C346" s="1391"/>
    </row>
    <row r="347" spans="3:3" s="1378" customFormat="1" ht="15.6" customHeight="1" x14ac:dyDescent="0.2">
      <c r="C347" s="1391"/>
    </row>
    <row r="348" spans="3:3" s="1378" customFormat="1" ht="15.6" customHeight="1" x14ac:dyDescent="0.2">
      <c r="C348" s="1391"/>
    </row>
    <row r="349" spans="3:3" s="1378" customFormat="1" ht="15.6" customHeight="1" x14ac:dyDescent="0.2">
      <c r="C349" s="1391"/>
    </row>
    <row r="350" spans="3:3" s="1378" customFormat="1" ht="15.6" customHeight="1" x14ac:dyDescent="0.2">
      <c r="C350" s="1391"/>
    </row>
    <row r="351" spans="3:3" s="1378" customFormat="1" ht="15.6" customHeight="1" x14ac:dyDescent="0.2">
      <c r="C351" s="1391"/>
    </row>
    <row r="352" spans="3:3" s="1378" customFormat="1" ht="15.6" customHeight="1" x14ac:dyDescent="0.2">
      <c r="C352" s="1391"/>
    </row>
    <row r="353" spans="3:3" s="1378" customFormat="1" ht="15.6" customHeight="1" x14ac:dyDescent="0.2">
      <c r="C353" s="1391"/>
    </row>
    <row r="354" spans="3:3" s="1378" customFormat="1" ht="15.6" customHeight="1" x14ac:dyDescent="0.2">
      <c r="C354" s="1391"/>
    </row>
    <row r="355" spans="3:3" s="1378" customFormat="1" ht="15.6" customHeight="1" x14ac:dyDescent="0.2">
      <c r="C355" s="1391"/>
    </row>
    <row r="356" spans="3:3" s="1378" customFormat="1" ht="15.6" customHeight="1" x14ac:dyDescent="0.2">
      <c r="C356" s="1391"/>
    </row>
    <row r="357" spans="3:3" s="1378" customFormat="1" ht="15.6" customHeight="1" x14ac:dyDescent="0.2">
      <c r="C357" s="1391"/>
    </row>
    <row r="358" spans="3:3" s="1378" customFormat="1" ht="15.6" customHeight="1" x14ac:dyDescent="0.2">
      <c r="C358" s="1391"/>
    </row>
    <row r="359" spans="3:3" s="1378" customFormat="1" ht="15.6" customHeight="1" x14ac:dyDescent="0.2">
      <c r="C359" s="1391"/>
    </row>
    <row r="360" spans="3:3" s="1378" customFormat="1" ht="15.6" customHeight="1" x14ac:dyDescent="0.2">
      <c r="C360" s="1391"/>
    </row>
    <row r="361" spans="3:3" s="1378" customFormat="1" ht="15.6" customHeight="1" x14ac:dyDescent="0.2">
      <c r="C361" s="1391"/>
    </row>
    <row r="362" spans="3:3" s="1378" customFormat="1" ht="15.6" customHeight="1" x14ac:dyDescent="0.2">
      <c r="C362" s="1391"/>
    </row>
    <row r="363" spans="3:3" s="1378" customFormat="1" ht="15.6" customHeight="1" x14ac:dyDescent="0.2">
      <c r="C363" s="1391"/>
    </row>
    <row r="364" spans="3:3" s="1378" customFormat="1" ht="15.6" customHeight="1" x14ac:dyDescent="0.2">
      <c r="C364" s="1391"/>
    </row>
    <row r="365" spans="3:3" s="1378" customFormat="1" ht="15.6" customHeight="1" x14ac:dyDescent="0.2">
      <c r="C365" s="1391"/>
    </row>
    <row r="366" spans="3:3" s="1378" customFormat="1" ht="15.6" customHeight="1" x14ac:dyDescent="0.2">
      <c r="C366" s="1391"/>
    </row>
    <row r="367" spans="3:3" s="1378" customFormat="1" ht="15.6" customHeight="1" x14ac:dyDescent="0.2">
      <c r="C367" s="1391"/>
    </row>
    <row r="368" spans="3:3" s="1378" customFormat="1" ht="15.6" customHeight="1" x14ac:dyDescent="0.2">
      <c r="C368" s="1391"/>
    </row>
    <row r="369" spans="3:3" s="1378" customFormat="1" ht="15.6" customHeight="1" x14ac:dyDescent="0.2">
      <c r="C369" s="1391"/>
    </row>
    <row r="370" spans="3:3" s="1378" customFormat="1" ht="15.6" customHeight="1" x14ac:dyDescent="0.2">
      <c r="C370" s="1391"/>
    </row>
    <row r="371" spans="3:3" s="1378" customFormat="1" ht="15.6" customHeight="1" x14ac:dyDescent="0.2">
      <c r="C371" s="1391"/>
    </row>
    <row r="372" spans="3:3" s="1378" customFormat="1" ht="15.6" customHeight="1" x14ac:dyDescent="0.2">
      <c r="C372" s="1391"/>
    </row>
    <row r="373" spans="3:3" s="1378" customFormat="1" ht="15.6" customHeight="1" x14ac:dyDescent="0.2">
      <c r="C373" s="1391"/>
    </row>
    <row r="374" spans="3:3" s="1378" customFormat="1" ht="15.6" customHeight="1" x14ac:dyDescent="0.2">
      <c r="C374" s="1391"/>
    </row>
    <row r="375" spans="3:3" s="1378" customFormat="1" ht="15.6" customHeight="1" x14ac:dyDescent="0.2">
      <c r="C375" s="1391"/>
    </row>
    <row r="376" spans="3:3" s="1378" customFormat="1" ht="15.6" customHeight="1" x14ac:dyDescent="0.2">
      <c r="C376" s="1391"/>
    </row>
    <row r="377" spans="3:3" s="1378" customFormat="1" ht="15.6" customHeight="1" x14ac:dyDescent="0.2">
      <c r="C377" s="1391"/>
    </row>
    <row r="378" spans="3:3" s="1378" customFormat="1" ht="15.6" customHeight="1" x14ac:dyDescent="0.2">
      <c r="C378" s="1391"/>
    </row>
    <row r="379" spans="3:3" s="1378" customFormat="1" ht="15.6" customHeight="1" x14ac:dyDescent="0.2">
      <c r="C379" s="1391"/>
    </row>
    <row r="380" spans="3:3" s="1378" customFormat="1" ht="15.6" customHeight="1" x14ac:dyDescent="0.2">
      <c r="C380" s="1391"/>
    </row>
    <row r="381" spans="3:3" s="1378" customFormat="1" ht="15.6" customHeight="1" x14ac:dyDescent="0.2">
      <c r="C381" s="1391"/>
    </row>
    <row r="382" spans="3:3" s="1378" customFormat="1" ht="15.6" customHeight="1" x14ac:dyDescent="0.2">
      <c r="C382" s="1391"/>
    </row>
    <row r="383" spans="3:3" s="1378" customFormat="1" ht="15.6" customHeight="1" x14ac:dyDescent="0.2">
      <c r="C383" s="1391"/>
    </row>
    <row r="384" spans="3:3" s="1378" customFormat="1" ht="15.6" customHeight="1" x14ac:dyDescent="0.2">
      <c r="C384" s="1391"/>
    </row>
    <row r="385" spans="3:3" s="1378" customFormat="1" ht="15.6" customHeight="1" x14ac:dyDescent="0.2">
      <c r="C385" s="1391"/>
    </row>
    <row r="386" spans="3:3" s="1378" customFormat="1" ht="15.6" customHeight="1" x14ac:dyDescent="0.2">
      <c r="C386" s="1391"/>
    </row>
    <row r="387" spans="3:3" s="1378" customFormat="1" ht="15.6" customHeight="1" x14ac:dyDescent="0.2">
      <c r="C387" s="1391"/>
    </row>
    <row r="388" spans="3:3" s="1378" customFormat="1" ht="15.6" customHeight="1" x14ac:dyDescent="0.2">
      <c r="C388" s="1391"/>
    </row>
    <row r="389" spans="3:3" s="1378" customFormat="1" ht="15.6" customHeight="1" x14ac:dyDescent="0.2">
      <c r="C389" s="1391"/>
    </row>
    <row r="390" spans="3:3" s="1378" customFormat="1" ht="15.6" customHeight="1" x14ac:dyDescent="0.2">
      <c r="C390" s="1391"/>
    </row>
    <row r="391" spans="3:3" s="1378" customFormat="1" ht="15.6" customHeight="1" x14ac:dyDescent="0.2">
      <c r="C391" s="1391"/>
    </row>
    <row r="392" spans="3:3" s="1378" customFormat="1" ht="15.6" customHeight="1" x14ac:dyDescent="0.2">
      <c r="C392" s="1391"/>
    </row>
    <row r="393" spans="3:3" s="1378" customFormat="1" ht="15.6" customHeight="1" x14ac:dyDescent="0.2">
      <c r="C393" s="1391"/>
    </row>
    <row r="394" spans="3:3" s="1378" customFormat="1" ht="15.6" customHeight="1" x14ac:dyDescent="0.2">
      <c r="C394" s="1391"/>
    </row>
    <row r="395" spans="3:3" s="1378" customFormat="1" ht="15.6" customHeight="1" x14ac:dyDescent="0.2">
      <c r="C395" s="1391"/>
    </row>
    <row r="396" spans="3:3" s="1378" customFormat="1" ht="15.6" customHeight="1" x14ac:dyDescent="0.2">
      <c r="C396" s="1391"/>
    </row>
    <row r="397" spans="3:3" s="1378" customFormat="1" ht="15.6" customHeight="1" x14ac:dyDescent="0.2">
      <c r="C397" s="1391"/>
    </row>
    <row r="398" spans="3:3" s="1378" customFormat="1" ht="15.6" customHeight="1" x14ac:dyDescent="0.2">
      <c r="C398" s="1391"/>
    </row>
    <row r="399" spans="3:3" s="1378" customFormat="1" ht="15.6" customHeight="1" x14ac:dyDescent="0.2">
      <c r="C399" s="1391"/>
    </row>
    <row r="400" spans="3:3" s="1378" customFormat="1" ht="15.6" customHeight="1" x14ac:dyDescent="0.2">
      <c r="C400" s="1391"/>
    </row>
    <row r="401" spans="3:3" s="1378" customFormat="1" ht="15.6" customHeight="1" x14ac:dyDescent="0.2">
      <c r="C401" s="1391"/>
    </row>
    <row r="402" spans="3:3" s="1378" customFormat="1" ht="15.6" customHeight="1" x14ac:dyDescent="0.2">
      <c r="C402" s="1391"/>
    </row>
    <row r="403" spans="3:3" s="1378" customFormat="1" ht="15.6" customHeight="1" x14ac:dyDescent="0.2">
      <c r="C403" s="1391"/>
    </row>
    <row r="404" spans="3:3" s="1378" customFormat="1" ht="15.6" customHeight="1" x14ac:dyDescent="0.2">
      <c r="C404" s="1391"/>
    </row>
    <row r="405" spans="3:3" s="1378" customFormat="1" ht="15.6" customHeight="1" x14ac:dyDescent="0.2">
      <c r="C405" s="1391"/>
    </row>
    <row r="406" spans="3:3" s="1378" customFormat="1" ht="15.6" customHeight="1" x14ac:dyDescent="0.2">
      <c r="C406" s="1391"/>
    </row>
    <row r="407" spans="3:3" s="1378" customFormat="1" ht="15.6" customHeight="1" x14ac:dyDescent="0.2">
      <c r="C407" s="1391"/>
    </row>
    <row r="408" spans="3:3" s="1378" customFormat="1" ht="15.6" customHeight="1" x14ac:dyDescent="0.2">
      <c r="C408" s="1391"/>
    </row>
    <row r="409" spans="3:3" s="1378" customFormat="1" ht="15.6" customHeight="1" x14ac:dyDescent="0.2">
      <c r="C409" s="1391"/>
    </row>
    <row r="410" spans="3:3" s="1378" customFormat="1" ht="15.6" customHeight="1" x14ac:dyDescent="0.2">
      <c r="C410" s="1391"/>
    </row>
    <row r="411" spans="3:3" s="1378" customFormat="1" ht="15.6" customHeight="1" x14ac:dyDescent="0.2">
      <c r="C411" s="1391"/>
    </row>
    <row r="412" spans="3:3" s="1378" customFormat="1" ht="15.6" customHeight="1" x14ac:dyDescent="0.2">
      <c r="C412" s="1391"/>
    </row>
    <row r="413" spans="3:3" s="1378" customFormat="1" ht="15.6" customHeight="1" x14ac:dyDescent="0.2">
      <c r="C413" s="1391"/>
    </row>
    <row r="414" spans="3:3" s="1378" customFormat="1" ht="15.6" customHeight="1" x14ac:dyDescent="0.2">
      <c r="C414" s="1391"/>
    </row>
    <row r="415" spans="3:3" s="1378" customFormat="1" ht="15.6" customHeight="1" x14ac:dyDescent="0.2">
      <c r="C415" s="1391"/>
    </row>
    <row r="416" spans="3:3" s="1378" customFormat="1" ht="15.6" customHeight="1" x14ac:dyDescent="0.2">
      <c r="C416" s="1391"/>
    </row>
    <row r="417" spans="3:3" s="1378" customFormat="1" ht="15.6" customHeight="1" x14ac:dyDescent="0.2">
      <c r="C417" s="1391"/>
    </row>
    <row r="418" spans="3:3" s="1378" customFormat="1" ht="15.6" customHeight="1" x14ac:dyDescent="0.2">
      <c r="C418" s="1391"/>
    </row>
    <row r="419" spans="3:3" s="1378" customFormat="1" ht="15.6" customHeight="1" x14ac:dyDescent="0.2">
      <c r="C419" s="1391"/>
    </row>
    <row r="420" spans="3:3" s="1378" customFormat="1" ht="15.6" customHeight="1" x14ac:dyDescent="0.2">
      <c r="C420" s="1391"/>
    </row>
    <row r="421" spans="3:3" s="1378" customFormat="1" ht="15.6" customHeight="1" x14ac:dyDescent="0.2">
      <c r="C421" s="1391"/>
    </row>
    <row r="422" spans="3:3" s="1378" customFormat="1" ht="15.6" customHeight="1" x14ac:dyDescent="0.2">
      <c r="C422" s="1391"/>
    </row>
    <row r="423" spans="3:3" s="1378" customFormat="1" ht="15.6" customHeight="1" x14ac:dyDescent="0.2">
      <c r="C423" s="1391"/>
    </row>
    <row r="424" spans="3:3" s="1378" customFormat="1" ht="15.6" customHeight="1" x14ac:dyDescent="0.2">
      <c r="C424" s="1391"/>
    </row>
    <row r="425" spans="3:3" s="1378" customFormat="1" ht="15.6" customHeight="1" x14ac:dyDescent="0.2">
      <c r="C425" s="1391"/>
    </row>
    <row r="426" spans="3:3" s="1378" customFormat="1" ht="15.6" customHeight="1" x14ac:dyDescent="0.2">
      <c r="C426" s="1391"/>
    </row>
    <row r="427" spans="3:3" s="1378" customFormat="1" ht="15.6" customHeight="1" x14ac:dyDescent="0.2">
      <c r="C427" s="1391"/>
    </row>
    <row r="428" spans="3:3" s="1378" customFormat="1" ht="15.6" customHeight="1" x14ac:dyDescent="0.2">
      <c r="C428" s="1391"/>
    </row>
    <row r="429" spans="3:3" s="1378" customFormat="1" ht="15.6" customHeight="1" x14ac:dyDescent="0.2">
      <c r="C429" s="1391"/>
    </row>
    <row r="430" spans="3:3" s="1378" customFormat="1" ht="15.6" customHeight="1" x14ac:dyDescent="0.2">
      <c r="C430" s="1391"/>
    </row>
    <row r="431" spans="3:3" s="1378" customFormat="1" ht="15.6" customHeight="1" x14ac:dyDescent="0.2">
      <c r="C431" s="1391"/>
    </row>
    <row r="432" spans="3:3" s="1378" customFormat="1" ht="15.6" customHeight="1" x14ac:dyDescent="0.2">
      <c r="C432" s="1391"/>
    </row>
    <row r="433" spans="3:3" s="1378" customFormat="1" ht="15.6" customHeight="1" x14ac:dyDescent="0.2">
      <c r="C433" s="1391"/>
    </row>
    <row r="434" spans="3:3" s="1378" customFormat="1" ht="15.6" customHeight="1" x14ac:dyDescent="0.2">
      <c r="C434" s="1391"/>
    </row>
    <row r="435" spans="3:3" s="1378" customFormat="1" ht="15.6" customHeight="1" x14ac:dyDescent="0.2">
      <c r="C435" s="1391"/>
    </row>
    <row r="436" spans="3:3" s="1378" customFormat="1" ht="15.6" customHeight="1" x14ac:dyDescent="0.2">
      <c r="C436" s="1391"/>
    </row>
    <row r="437" spans="3:3" s="1378" customFormat="1" ht="15.6" customHeight="1" x14ac:dyDescent="0.2">
      <c r="C437" s="1391"/>
    </row>
    <row r="438" spans="3:3" s="1378" customFormat="1" ht="15.6" customHeight="1" x14ac:dyDescent="0.2">
      <c r="C438" s="1391"/>
    </row>
    <row r="439" spans="3:3" s="1378" customFormat="1" ht="15.6" customHeight="1" x14ac:dyDescent="0.2">
      <c r="C439" s="1391"/>
    </row>
    <row r="440" spans="3:3" s="1378" customFormat="1" ht="15.6" customHeight="1" x14ac:dyDescent="0.2">
      <c r="C440" s="1391"/>
    </row>
    <row r="441" spans="3:3" s="1378" customFormat="1" ht="15.6" customHeight="1" x14ac:dyDescent="0.2">
      <c r="C441" s="1391"/>
    </row>
    <row r="442" spans="3:3" s="1378" customFormat="1" ht="15.6" customHeight="1" x14ac:dyDescent="0.2">
      <c r="C442" s="1391"/>
    </row>
    <row r="443" spans="3:3" s="1378" customFormat="1" ht="15.6" customHeight="1" x14ac:dyDescent="0.2">
      <c r="C443" s="1391"/>
    </row>
    <row r="444" spans="3:3" s="1378" customFormat="1" ht="15.6" customHeight="1" x14ac:dyDescent="0.2">
      <c r="C444" s="1391"/>
    </row>
    <row r="445" spans="3:3" s="1378" customFormat="1" ht="15.6" customHeight="1" x14ac:dyDescent="0.2">
      <c r="C445" s="1391"/>
    </row>
    <row r="446" spans="3:3" s="1378" customFormat="1" ht="15.6" customHeight="1" x14ac:dyDescent="0.2">
      <c r="C446" s="1391"/>
    </row>
    <row r="447" spans="3:3" s="1378" customFormat="1" ht="15.6" customHeight="1" x14ac:dyDescent="0.2">
      <c r="C447" s="1391"/>
    </row>
    <row r="448" spans="3:3" s="1378" customFormat="1" ht="15.6" customHeight="1" x14ac:dyDescent="0.2">
      <c r="C448" s="1391"/>
    </row>
    <row r="449" spans="3:3" s="1378" customFormat="1" ht="15.6" customHeight="1" x14ac:dyDescent="0.2">
      <c r="C449" s="1391"/>
    </row>
    <row r="450" spans="3:3" s="1378" customFormat="1" ht="15.6" customHeight="1" x14ac:dyDescent="0.2">
      <c r="C450" s="1391"/>
    </row>
    <row r="451" spans="3:3" s="1378" customFormat="1" ht="15.6" customHeight="1" x14ac:dyDescent="0.2">
      <c r="C451" s="1391"/>
    </row>
    <row r="452" spans="3:3" s="1378" customFormat="1" ht="15.6" customHeight="1" x14ac:dyDescent="0.2">
      <c r="C452" s="1391"/>
    </row>
    <row r="453" spans="3:3" s="1378" customFormat="1" ht="15.6" customHeight="1" x14ac:dyDescent="0.2">
      <c r="C453" s="1391"/>
    </row>
    <row r="454" spans="3:3" s="1378" customFormat="1" ht="15.6" customHeight="1" x14ac:dyDescent="0.2">
      <c r="C454" s="1391"/>
    </row>
    <row r="455" spans="3:3" s="1378" customFormat="1" ht="15.6" customHeight="1" x14ac:dyDescent="0.2">
      <c r="C455" s="1391"/>
    </row>
    <row r="456" spans="3:3" s="1378" customFormat="1" ht="15.6" customHeight="1" x14ac:dyDescent="0.2">
      <c r="C456" s="1391"/>
    </row>
    <row r="457" spans="3:3" s="1378" customFormat="1" ht="15.6" customHeight="1" x14ac:dyDescent="0.2">
      <c r="C457" s="1391"/>
    </row>
    <row r="458" spans="3:3" s="1378" customFormat="1" ht="15.6" customHeight="1" x14ac:dyDescent="0.2">
      <c r="C458" s="1391"/>
    </row>
    <row r="459" spans="3:3" s="1378" customFormat="1" ht="15.6" customHeight="1" x14ac:dyDescent="0.2">
      <c r="C459" s="1391"/>
    </row>
    <row r="460" spans="3:3" s="1378" customFormat="1" ht="15.6" customHeight="1" x14ac:dyDescent="0.2">
      <c r="C460" s="1391"/>
    </row>
    <row r="461" spans="3:3" s="1378" customFormat="1" ht="15.6" customHeight="1" x14ac:dyDescent="0.2">
      <c r="C461" s="1391"/>
    </row>
    <row r="462" spans="3:3" s="1378" customFormat="1" ht="15.6" customHeight="1" x14ac:dyDescent="0.2">
      <c r="C462" s="1391"/>
    </row>
    <row r="463" spans="3:3" s="1378" customFormat="1" ht="15.6" customHeight="1" x14ac:dyDescent="0.2">
      <c r="C463" s="1391"/>
    </row>
    <row r="464" spans="3:3" s="1378" customFormat="1" ht="15.6" customHeight="1" x14ac:dyDescent="0.2">
      <c r="C464" s="1391"/>
    </row>
    <row r="465" spans="3:3" s="1378" customFormat="1" ht="15.6" customHeight="1" x14ac:dyDescent="0.2">
      <c r="C465" s="1391"/>
    </row>
    <row r="466" spans="3:3" s="1378" customFormat="1" ht="15.6" customHeight="1" x14ac:dyDescent="0.2">
      <c r="C466" s="1391"/>
    </row>
    <row r="467" spans="3:3" s="1378" customFormat="1" ht="15.6" customHeight="1" x14ac:dyDescent="0.2">
      <c r="C467" s="1391"/>
    </row>
    <row r="468" spans="3:3" s="1378" customFormat="1" ht="15.6" customHeight="1" x14ac:dyDescent="0.2">
      <c r="C468" s="1391"/>
    </row>
    <row r="469" spans="3:3" s="1378" customFormat="1" ht="15.6" customHeight="1" x14ac:dyDescent="0.2">
      <c r="C469" s="1391"/>
    </row>
    <row r="470" spans="3:3" s="1378" customFormat="1" ht="15.6" customHeight="1" x14ac:dyDescent="0.2">
      <c r="C470" s="1391"/>
    </row>
    <row r="471" spans="3:3" s="1378" customFormat="1" ht="15.6" customHeight="1" x14ac:dyDescent="0.2">
      <c r="C471" s="1391"/>
    </row>
    <row r="472" spans="3:3" s="1378" customFormat="1" ht="15.6" customHeight="1" x14ac:dyDescent="0.2">
      <c r="C472" s="1391"/>
    </row>
    <row r="473" spans="3:3" s="1378" customFormat="1" ht="15.6" customHeight="1" x14ac:dyDescent="0.2">
      <c r="C473" s="1391"/>
    </row>
    <row r="474" spans="3:3" s="1378" customFormat="1" ht="15.6" customHeight="1" x14ac:dyDescent="0.2">
      <c r="C474" s="1391"/>
    </row>
    <row r="475" spans="3:3" s="1378" customFormat="1" ht="15.6" customHeight="1" x14ac:dyDescent="0.2">
      <c r="C475" s="1391"/>
    </row>
    <row r="476" spans="3:3" s="1378" customFormat="1" ht="15.6" customHeight="1" x14ac:dyDescent="0.2">
      <c r="C476" s="1391"/>
    </row>
    <row r="477" spans="3:3" s="1378" customFormat="1" ht="15.6" customHeight="1" x14ac:dyDescent="0.2">
      <c r="C477" s="1391"/>
    </row>
    <row r="478" spans="3:3" s="1378" customFormat="1" ht="15.6" customHeight="1" x14ac:dyDescent="0.2">
      <c r="C478" s="1391"/>
    </row>
    <row r="479" spans="3:3" s="1378" customFormat="1" ht="15.6" customHeight="1" x14ac:dyDescent="0.2">
      <c r="C479" s="1391"/>
    </row>
    <row r="480" spans="3:3" s="1378" customFormat="1" ht="15.6" customHeight="1" x14ac:dyDescent="0.2">
      <c r="C480" s="1391"/>
    </row>
    <row r="481" spans="3:3" s="1378" customFormat="1" ht="15.6" customHeight="1" x14ac:dyDescent="0.2">
      <c r="C481" s="1391"/>
    </row>
    <row r="482" spans="3:3" s="1378" customFormat="1" ht="15.6" customHeight="1" x14ac:dyDescent="0.2">
      <c r="C482" s="1391"/>
    </row>
    <row r="483" spans="3:3" s="1378" customFormat="1" ht="15.6" customHeight="1" x14ac:dyDescent="0.2">
      <c r="C483" s="1391"/>
    </row>
    <row r="484" spans="3:3" s="1378" customFormat="1" ht="15.6" customHeight="1" x14ac:dyDescent="0.2">
      <c r="C484" s="1391"/>
    </row>
    <row r="485" spans="3:3" s="1378" customFormat="1" ht="15.6" customHeight="1" x14ac:dyDescent="0.2">
      <c r="C485" s="1391"/>
    </row>
    <row r="486" spans="3:3" s="1378" customFormat="1" ht="15.6" customHeight="1" x14ac:dyDescent="0.2">
      <c r="C486" s="1391"/>
    </row>
    <row r="487" spans="3:3" s="1378" customFormat="1" ht="15.6" customHeight="1" x14ac:dyDescent="0.2">
      <c r="C487" s="1391"/>
    </row>
    <row r="488" spans="3:3" s="1378" customFormat="1" ht="15.6" customHeight="1" x14ac:dyDescent="0.2">
      <c r="C488" s="1391"/>
    </row>
    <row r="489" spans="3:3" s="1378" customFormat="1" ht="15.6" customHeight="1" x14ac:dyDescent="0.2">
      <c r="C489" s="1391"/>
    </row>
    <row r="490" spans="3:3" s="1378" customFormat="1" ht="15.6" customHeight="1" x14ac:dyDescent="0.2">
      <c r="C490" s="1391"/>
    </row>
    <row r="491" spans="3:3" s="1378" customFormat="1" ht="15.6" customHeight="1" x14ac:dyDescent="0.2">
      <c r="C491" s="1391"/>
    </row>
    <row r="492" spans="3:3" s="1378" customFormat="1" ht="15.6" customHeight="1" x14ac:dyDescent="0.2">
      <c r="C492" s="1391"/>
    </row>
    <row r="493" spans="3:3" s="1378" customFormat="1" ht="15.6" customHeight="1" x14ac:dyDescent="0.2">
      <c r="C493" s="1391"/>
    </row>
    <row r="494" spans="3:3" s="1378" customFormat="1" ht="15.6" customHeight="1" x14ac:dyDescent="0.2">
      <c r="C494" s="1391"/>
    </row>
    <row r="495" spans="3:3" s="1378" customFormat="1" ht="15.6" customHeight="1" x14ac:dyDescent="0.2">
      <c r="C495" s="1391"/>
    </row>
    <row r="496" spans="3:3" s="1378" customFormat="1" ht="15.6" customHeight="1" x14ac:dyDescent="0.2">
      <c r="C496" s="1391"/>
    </row>
    <row r="497" spans="3:3" s="1378" customFormat="1" ht="15.6" customHeight="1" x14ac:dyDescent="0.2">
      <c r="C497" s="1391"/>
    </row>
    <row r="498" spans="3:3" s="1378" customFormat="1" ht="15.6" customHeight="1" x14ac:dyDescent="0.2">
      <c r="C498" s="1391"/>
    </row>
    <row r="499" spans="3:3" s="1378" customFormat="1" ht="15.6" customHeight="1" x14ac:dyDescent="0.2">
      <c r="C499" s="1391"/>
    </row>
    <row r="500" spans="3:3" s="1378" customFormat="1" ht="15.6" customHeight="1" x14ac:dyDescent="0.2">
      <c r="C500" s="1391"/>
    </row>
    <row r="501" spans="3:3" s="1378" customFormat="1" ht="15.6" customHeight="1" x14ac:dyDescent="0.2">
      <c r="C501" s="1391"/>
    </row>
    <row r="502" spans="3:3" s="1378" customFormat="1" ht="15.6" customHeight="1" x14ac:dyDescent="0.2">
      <c r="C502" s="1391"/>
    </row>
    <row r="503" spans="3:3" s="1378" customFormat="1" ht="15.6" customHeight="1" x14ac:dyDescent="0.2">
      <c r="C503" s="1391"/>
    </row>
    <row r="504" spans="3:3" s="1378" customFormat="1" ht="15.6" customHeight="1" x14ac:dyDescent="0.2">
      <c r="C504" s="1391"/>
    </row>
    <row r="505" spans="3:3" s="1378" customFormat="1" ht="15.6" customHeight="1" x14ac:dyDescent="0.2">
      <c r="C505" s="1391"/>
    </row>
    <row r="506" spans="3:3" s="1378" customFormat="1" ht="15.6" customHeight="1" x14ac:dyDescent="0.2">
      <c r="C506" s="1391"/>
    </row>
    <row r="507" spans="3:3" s="1378" customFormat="1" ht="15.6" customHeight="1" x14ac:dyDescent="0.2">
      <c r="C507" s="1391"/>
    </row>
    <row r="508" spans="3:3" s="1378" customFormat="1" ht="15.6" customHeight="1" x14ac:dyDescent="0.2">
      <c r="C508" s="1391"/>
    </row>
    <row r="509" spans="3:3" s="1378" customFormat="1" ht="15.6" customHeight="1" x14ac:dyDescent="0.2">
      <c r="C509" s="1391"/>
    </row>
    <row r="510" spans="3:3" s="1378" customFormat="1" ht="15.6" customHeight="1" x14ac:dyDescent="0.2">
      <c r="C510" s="1391"/>
    </row>
    <row r="511" spans="3:3" s="1378" customFormat="1" ht="15.6" customHeight="1" x14ac:dyDescent="0.2">
      <c r="C511" s="1391"/>
    </row>
    <row r="512" spans="3:3" s="1378" customFormat="1" ht="15.6" customHeight="1" x14ac:dyDescent="0.2">
      <c r="C512" s="1391"/>
    </row>
    <row r="513" spans="3:3" s="1378" customFormat="1" ht="15.6" customHeight="1" x14ac:dyDescent="0.2">
      <c r="C513" s="1391"/>
    </row>
    <row r="514" spans="3:3" s="1378" customFormat="1" ht="15.6" customHeight="1" x14ac:dyDescent="0.2">
      <c r="C514" s="1391"/>
    </row>
    <row r="515" spans="3:3" s="1378" customFormat="1" ht="15.6" customHeight="1" x14ac:dyDescent="0.2">
      <c r="C515" s="1391"/>
    </row>
    <row r="516" spans="3:3" s="1378" customFormat="1" ht="15.6" customHeight="1" x14ac:dyDescent="0.2">
      <c r="C516" s="1391"/>
    </row>
    <row r="517" spans="3:3" s="1378" customFormat="1" ht="15.6" customHeight="1" x14ac:dyDescent="0.2">
      <c r="C517" s="1391"/>
    </row>
    <row r="518" spans="3:3" s="1378" customFormat="1" ht="15.6" customHeight="1" x14ac:dyDescent="0.2">
      <c r="C518" s="1391"/>
    </row>
    <row r="519" spans="3:3" s="1378" customFormat="1" ht="15.6" customHeight="1" x14ac:dyDescent="0.2">
      <c r="C519" s="1391"/>
    </row>
    <row r="520" spans="3:3" s="1378" customFormat="1" ht="15.6" customHeight="1" x14ac:dyDescent="0.2">
      <c r="C520" s="1391"/>
    </row>
    <row r="521" spans="3:3" s="1378" customFormat="1" ht="15.6" customHeight="1" x14ac:dyDescent="0.2">
      <c r="C521" s="1391"/>
    </row>
    <row r="522" spans="3:3" s="1378" customFormat="1" ht="15.6" customHeight="1" x14ac:dyDescent="0.2">
      <c r="C522" s="1391"/>
    </row>
    <row r="523" spans="3:3" s="1378" customFormat="1" ht="15.6" customHeight="1" x14ac:dyDescent="0.2">
      <c r="C523" s="1391"/>
    </row>
    <row r="524" spans="3:3" s="1378" customFormat="1" ht="15.6" customHeight="1" x14ac:dyDescent="0.2">
      <c r="C524" s="1391"/>
    </row>
    <row r="525" spans="3:3" s="1378" customFormat="1" ht="15.6" customHeight="1" x14ac:dyDescent="0.2">
      <c r="C525" s="1391"/>
    </row>
    <row r="526" spans="3:3" s="1378" customFormat="1" ht="15.6" customHeight="1" x14ac:dyDescent="0.2">
      <c r="C526" s="1391"/>
    </row>
    <row r="527" spans="3:3" s="1378" customFormat="1" ht="15.6" customHeight="1" x14ac:dyDescent="0.2">
      <c r="C527" s="1391"/>
    </row>
    <row r="528" spans="3:3" s="1378" customFormat="1" ht="15.6" customHeight="1" x14ac:dyDescent="0.2">
      <c r="C528" s="1391"/>
    </row>
    <row r="529" spans="3:3" s="1378" customFormat="1" ht="15.6" customHeight="1" x14ac:dyDescent="0.2">
      <c r="C529" s="1391"/>
    </row>
    <row r="530" spans="3:3" s="1378" customFormat="1" ht="15.6" customHeight="1" x14ac:dyDescent="0.2">
      <c r="C530" s="1391"/>
    </row>
    <row r="531" spans="3:3" s="1378" customFormat="1" ht="15.6" customHeight="1" x14ac:dyDescent="0.2">
      <c r="C531" s="1391"/>
    </row>
    <row r="532" spans="3:3" s="1378" customFormat="1" ht="15.6" customHeight="1" x14ac:dyDescent="0.2">
      <c r="C532" s="1391"/>
    </row>
    <row r="533" spans="3:3" s="1378" customFormat="1" ht="15.6" customHeight="1" x14ac:dyDescent="0.2">
      <c r="C533" s="1391"/>
    </row>
    <row r="534" spans="3:3" s="1378" customFormat="1" ht="15.6" customHeight="1" x14ac:dyDescent="0.2">
      <c r="C534" s="1391"/>
    </row>
    <row r="535" spans="3:3" s="1378" customFormat="1" ht="15.6" customHeight="1" x14ac:dyDescent="0.2">
      <c r="C535" s="1391"/>
    </row>
    <row r="536" spans="3:3" s="1378" customFormat="1" ht="15.6" customHeight="1" x14ac:dyDescent="0.2">
      <c r="C536" s="1391"/>
    </row>
    <row r="537" spans="3:3" s="1378" customFormat="1" ht="15.6" customHeight="1" x14ac:dyDescent="0.2">
      <c r="C537" s="1391"/>
    </row>
    <row r="538" spans="3:3" s="1378" customFormat="1" ht="15.6" customHeight="1" x14ac:dyDescent="0.2">
      <c r="C538" s="1391"/>
    </row>
    <row r="539" spans="3:3" s="1378" customFormat="1" ht="15.6" customHeight="1" x14ac:dyDescent="0.2">
      <c r="C539" s="1391"/>
    </row>
    <row r="540" spans="3:3" s="1378" customFormat="1" ht="15.6" customHeight="1" x14ac:dyDescent="0.2">
      <c r="C540" s="1391"/>
    </row>
    <row r="541" spans="3:3" s="1378" customFormat="1" ht="15.6" customHeight="1" x14ac:dyDescent="0.2">
      <c r="C541" s="1391"/>
    </row>
    <row r="542" spans="3:3" s="1378" customFormat="1" ht="15.6" customHeight="1" x14ac:dyDescent="0.2">
      <c r="C542" s="1391"/>
    </row>
    <row r="543" spans="3:3" s="1378" customFormat="1" ht="15.6" customHeight="1" x14ac:dyDescent="0.2">
      <c r="C543" s="1391"/>
    </row>
    <row r="544" spans="3:3" s="1378" customFormat="1" ht="15.6" customHeight="1" x14ac:dyDescent="0.2">
      <c r="C544" s="1391"/>
    </row>
    <row r="545" spans="3:3" s="1378" customFormat="1" ht="15.6" customHeight="1" x14ac:dyDescent="0.2">
      <c r="C545" s="1391"/>
    </row>
    <row r="546" spans="3:3" s="1378" customFormat="1" ht="15.6" customHeight="1" x14ac:dyDescent="0.2">
      <c r="C546" s="1391"/>
    </row>
    <row r="547" spans="3:3" s="1378" customFormat="1" ht="15.6" customHeight="1" x14ac:dyDescent="0.2">
      <c r="C547" s="1391"/>
    </row>
    <row r="548" spans="3:3" s="1378" customFormat="1" ht="15.6" customHeight="1" x14ac:dyDescent="0.2">
      <c r="C548" s="1391"/>
    </row>
    <row r="549" spans="3:3" s="1378" customFormat="1" ht="15.6" customHeight="1" x14ac:dyDescent="0.2">
      <c r="C549" s="1391"/>
    </row>
    <row r="550" spans="3:3" s="1378" customFormat="1" ht="15.6" customHeight="1" x14ac:dyDescent="0.2">
      <c r="C550" s="1391"/>
    </row>
    <row r="551" spans="3:3" s="1378" customFormat="1" ht="15.6" customHeight="1" x14ac:dyDescent="0.2">
      <c r="C551" s="1391"/>
    </row>
    <row r="552" spans="3:3" s="1378" customFormat="1" ht="15.6" customHeight="1" x14ac:dyDescent="0.2">
      <c r="C552" s="1391"/>
    </row>
    <row r="553" spans="3:3" s="1378" customFormat="1" ht="15.6" customHeight="1" x14ac:dyDescent="0.2">
      <c r="C553" s="1391"/>
    </row>
    <row r="554" spans="3:3" s="1378" customFormat="1" ht="15.6" customHeight="1" x14ac:dyDescent="0.2">
      <c r="C554" s="1391"/>
    </row>
    <row r="555" spans="3:3" s="1378" customFormat="1" ht="15.6" customHeight="1" x14ac:dyDescent="0.2">
      <c r="C555" s="1391"/>
    </row>
    <row r="556" spans="3:3" s="1378" customFormat="1" ht="15.6" customHeight="1" x14ac:dyDescent="0.2">
      <c r="C556" s="1391"/>
    </row>
    <row r="557" spans="3:3" s="1378" customFormat="1" ht="15.6" customHeight="1" x14ac:dyDescent="0.2">
      <c r="C557" s="1391"/>
    </row>
    <row r="558" spans="3:3" s="1378" customFormat="1" ht="15.6" customHeight="1" x14ac:dyDescent="0.2">
      <c r="C558" s="1391"/>
    </row>
    <row r="559" spans="3:3" s="1378" customFormat="1" ht="15.6" customHeight="1" x14ac:dyDescent="0.2">
      <c r="C559" s="1391"/>
    </row>
    <row r="560" spans="3:3" s="1378" customFormat="1" ht="15.6" customHeight="1" x14ac:dyDescent="0.2">
      <c r="C560" s="1391"/>
    </row>
    <row r="561" spans="3:3" s="1378" customFormat="1" ht="15.6" customHeight="1" x14ac:dyDescent="0.2">
      <c r="C561" s="1391"/>
    </row>
    <row r="562" spans="3:3" s="1378" customFormat="1" ht="15.6" customHeight="1" x14ac:dyDescent="0.2">
      <c r="C562" s="1391"/>
    </row>
    <row r="563" spans="3:3" s="1378" customFormat="1" ht="15.6" customHeight="1" x14ac:dyDescent="0.2">
      <c r="C563" s="1391"/>
    </row>
    <row r="564" spans="3:3" s="1378" customFormat="1" ht="15.6" customHeight="1" x14ac:dyDescent="0.2">
      <c r="C564" s="1391"/>
    </row>
    <row r="565" spans="3:3" s="1378" customFormat="1" ht="15.6" customHeight="1" x14ac:dyDescent="0.2">
      <c r="C565" s="1391"/>
    </row>
    <row r="566" spans="3:3" s="1378" customFormat="1" ht="15.6" customHeight="1" x14ac:dyDescent="0.2">
      <c r="C566" s="1391"/>
    </row>
    <row r="567" spans="3:3" s="1378" customFormat="1" ht="15.6" customHeight="1" x14ac:dyDescent="0.2">
      <c r="C567" s="1391"/>
    </row>
    <row r="568" spans="3:3" s="1378" customFormat="1" ht="15.6" customHeight="1" x14ac:dyDescent="0.2">
      <c r="C568" s="1391"/>
    </row>
    <row r="569" spans="3:3" s="1378" customFormat="1" ht="15.6" customHeight="1" x14ac:dyDescent="0.2">
      <c r="C569" s="1391"/>
    </row>
    <row r="570" spans="3:3" s="1378" customFormat="1" ht="15.6" customHeight="1" x14ac:dyDescent="0.2">
      <c r="C570" s="1391"/>
    </row>
    <row r="571" spans="3:3" s="1378" customFormat="1" ht="15.6" customHeight="1" x14ac:dyDescent="0.2">
      <c r="C571" s="1391"/>
    </row>
    <row r="572" spans="3:3" s="1378" customFormat="1" ht="15.6" customHeight="1" x14ac:dyDescent="0.2">
      <c r="C572" s="1391"/>
    </row>
    <row r="573" spans="3:3" s="1378" customFormat="1" ht="15.6" customHeight="1" x14ac:dyDescent="0.2">
      <c r="C573" s="1391"/>
    </row>
    <row r="574" spans="3:3" s="1378" customFormat="1" ht="15.6" customHeight="1" x14ac:dyDescent="0.2">
      <c r="C574" s="1391"/>
    </row>
    <row r="575" spans="3:3" s="1378" customFormat="1" ht="15.6" customHeight="1" x14ac:dyDescent="0.2">
      <c r="C575" s="1391"/>
    </row>
    <row r="576" spans="3:3" s="1378" customFormat="1" ht="15.6" customHeight="1" x14ac:dyDescent="0.2">
      <c r="C576" s="1391"/>
    </row>
    <row r="577" spans="3:3" s="1378" customFormat="1" ht="15.6" customHeight="1" x14ac:dyDescent="0.2">
      <c r="C577" s="1391"/>
    </row>
    <row r="578" spans="3:3" s="1378" customFormat="1" ht="15.6" customHeight="1" x14ac:dyDescent="0.2">
      <c r="C578" s="1391"/>
    </row>
    <row r="579" spans="3:3" s="1378" customFormat="1" ht="15.6" customHeight="1" x14ac:dyDescent="0.2">
      <c r="C579" s="1391"/>
    </row>
    <row r="580" spans="3:3" s="1378" customFormat="1" ht="15.6" customHeight="1" x14ac:dyDescent="0.2">
      <c r="C580" s="1391"/>
    </row>
    <row r="581" spans="3:3" s="1378" customFormat="1" ht="15.6" customHeight="1" x14ac:dyDescent="0.2">
      <c r="C581" s="1391"/>
    </row>
    <row r="582" spans="3:3" s="1378" customFormat="1" ht="15.6" customHeight="1" x14ac:dyDescent="0.2">
      <c r="C582" s="1391"/>
    </row>
    <row r="583" spans="3:3" s="1378" customFormat="1" ht="15.6" customHeight="1" x14ac:dyDescent="0.2">
      <c r="C583" s="1391"/>
    </row>
    <row r="584" spans="3:3" s="1378" customFormat="1" ht="15.6" customHeight="1" x14ac:dyDescent="0.2">
      <c r="C584" s="1391"/>
    </row>
    <row r="585" spans="3:3" s="1378" customFormat="1" ht="15.6" customHeight="1" x14ac:dyDescent="0.2">
      <c r="C585" s="1391"/>
    </row>
    <row r="586" spans="3:3" s="1378" customFormat="1" ht="15.6" customHeight="1" x14ac:dyDescent="0.2">
      <c r="C586" s="1391"/>
    </row>
    <row r="587" spans="3:3" s="1378" customFormat="1" ht="15.6" customHeight="1" x14ac:dyDescent="0.2">
      <c r="C587" s="1391"/>
    </row>
    <row r="588" spans="3:3" s="1378" customFormat="1" ht="15.6" customHeight="1" x14ac:dyDescent="0.2">
      <c r="C588" s="1391"/>
    </row>
    <row r="589" spans="3:3" s="1378" customFormat="1" ht="15.6" customHeight="1" x14ac:dyDescent="0.2">
      <c r="C589" s="1391"/>
    </row>
    <row r="590" spans="3:3" s="1378" customFormat="1" ht="15.6" customHeight="1" x14ac:dyDescent="0.2">
      <c r="C590" s="1391"/>
    </row>
    <row r="591" spans="3:3" s="1378" customFormat="1" ht="15.6" customHeight="1" x14ac:dyDescent="0.2">
      <c r="C591" s="1391"/>
    </row>
    <row r="592" spans="3:3" s="1378" customFormat="1" ht="15.6" customHeight="1" x14ac:dyDescent="0.2">
      <c r="C592" s="1391"/>
    </row>
    <row r="593" spans="3:3" s="1378" customFormat="1" ht="15.6" customHeight="1" x14ac:dyDescent="0.2">
      <c r="C593" s="1391"/>
    </row>
    <row r="594" spans="3:3" s="1378" customFormat="1" ht="15.6" customHeight="1" x14ac:dyDescent="0.2">
      <c r="C594" s="1391"/>
    </row>
    <row r="595" spans="3:3" s="1378" customFormat="1" ht="15.6" customHeight="1" x14ac:dyDescent="0.2">
      <c r="C595" s="1391"/>
    </row>
    <row r="596" spans="3:3" s="1378" customFormat="1" ht="15.6" customHeight="1" x14ac:dyDescent="0.2">
      <c r="C596" s="1391"/>
    </row>
    <row r="597" spans="3:3" s="1378" customFormat="1" ht="15.6" customHeight="1" x14ac:dyDescent="0.2">
      <c r="C597" s="1391"/>
    </row>
    <row r="598" spans="3:3" s="1378" customFormat="1" ht="15.6" customHeight="1" x14ac:dyDescent="0.2">
      <c r="C598" s="1391"/>
    </row>
    <row r="599" spans="3:3" s="1378" customFormat="1" ht="15.6" customHeight="1" x14ac:dyDescent="0.2">
      <c r="C599" s="1391"/>
    </row>
    <row r="600" spans="3:3" s="1378" customFormat="1" ht="15.6" customHeight="1" x14ac:dyDescent="0.2">
      <c r="C600" s="1391"/>
    </row>
    <row r="601" spans="3:3" s="1378" customFormat="1" ht="15.6" customHeight="1" x14ac:dyDescent="0.2">
      <c r="C601" s="1391"/>
    </row>
    <row r="602" spans="3:3" s="1378" customFormat="1" ht="15.6" customHeight="1" x14ac:dyDescent="0.2">
      <c r="C602" s="1391"/>
    </row>
    <row r="603" spans="3:3" s="1378" customFormat="1" ht="15.6" customHeight="1" x14ac:dyDescent="0.2">
      <c r="C603" s="1391"/>
    </row>
    <row r="604" spans="3:3" s="1378" customFormat="1" ht="15.6" customHeight="1" x14ac:dyDescent="0.2">
      <c r="C604" s="1391"/>
    </row>
    <row r="605" spans="3:3" s="1378" customFormat="1" ht="15.6" customHeight="1" x14ac:dyDescent="0.2">
      <c r="C605" s="1391"/>
    </row>
    <row r="606" spans="3:3" s="1378" customFormat="1" ht="15.6" customHeight="1" x14ac:dyDescent="0.2">
      <c r="C606" s="1391"/>
    </row>
    <row r="607" spans="3:3" s="1378" customFormat="1" ht="15.6" customHeight="1" x14ac:dyDescent="0.2">
      <c r="C607" s="1391"/>
    </row>
    <row r="608" spans="3:3" s="1378" customFormat="1" ht="15.6" customHeight="1" x14ac:dyDescent="0.2">
      <c r="C608" s="1391"/>
    </row>
    <row r="609" spans="3:3" s="1378" customFormat="1" ht="15.6" customHeight="1" x14ac:dyDescent="0.2">
      <c r="C609" s="1391"/>
    </row>
    <row r="610" spans="3:3" s="1378" customFormat="1" ht="15.6" customHeight="1" x14ac:dyDescent="0.2">
      <c r="C610" s="1391"/>
    </row>
    <row r="611" spans="3:3" s="1378" customFormat="1" ht="15.6" customHeight="1" x14ac:dyDescent="0.2">
      <c r="C611" s="1391"/>
    </row>
    <row r="612" spans="3:3" s="1378" customFormat="1" ht="15.6" customHeight="1" x14ac:dyDescent="0.2">
      <c r="C612" s="1391"/>
    </row>
    <row r="613" spans="3:3" s="1378" customFormat="1" ht="15.6" customHeight="1" x14ac:dyDescent="0.2">
      <c r="C613" s="1391"/>
    </row>
    <row r="614" spans="3:3" s="1378" customFormat="1" ht="15.6" customHeight="1" x14ac:dyDescent="0.2">
      <c r="C614" s="1391"/>
    </row>
    <row r="615" spans="3:3" s="1378" customFormat="1" ht="15.6" customHeight="1" x14ac:dyDescent="0.2">
      <c r="C615" s="1391"/>
    </row>
    <row r="616" spans="3:3" s="1378" customFormat="1" ht="15.6" customHeight="1" x14ac:dyDescent="0.2">
      <c r="C616" s="1391"/>
    </row>
    <row r="617" spans="3:3" s="1378" customFormat="1" ht="15.6" customHeight="1" x14ac:dyDescent="0.2">
      <c r="C617" s="1391"/>
    </row>
    <row r="618" spans="3:3" s="1378" customFormat="1" ht="15.6" customHeight="1" x14ac:dyDescent="0.2">
      <c r="C618" s="1391"/>
    </row>
    <row r="619" spans="3:3" s="1378" customFormat="1" ht="15.6" customHeight="1" x14ac:dyDescent="0.2">
      <c r="C619" s="1391"/>
    </row>
    <row r="620" spans="3:3" s="1378" customFormat="1" ht="15.6" customHeight="1" x14ac:dyDescent="0.2">
      <c r="C620" s="1391"/>
    </row>
    <row r="621" spans="3:3" s="1378" customFormat="1" ht="15.6" customHeight="1" x14ac:dyDescent="0.2">
      <c r="C621" s="1391"/>
    </row>
    <row r="622" spans="3:3" s="1378" customFormat="1" ht="15.6" customHeight="1" x14ac:dyDescent="0.2">
      <c r="C622" s="1391"/>
    </row>
    <row r="623" spans="3:3" s="1378" customFormat="1" ht="15.6" customHeight="1" x14ac:dyDescent="0.2">
      <c r="C623" s="1391"/>
    </row>
    <row r="624" spans="3:3" s="1378" customFormat="1" ht="15.6" customHeight="1" x14ac:dyDescent="0.2">
      <c r="C624" s="1391"/>
    </row>
    <row r="625" spans="3:3" s="1378" customFormat="1" ht="15.6" customHeight="1" x14ac:dyDescent="0.2">
      <c r="C625" s="1391"/>
    </row>
    <row r="626" spans="3:3" s="1378" customFormat="1" ht="15.6" customHeight="1" x14ac:dyDescent="0.2">
      <c r="C626" s="1391"/>
    </row>
    <row r="627" spans="3:3" s="1378" customFormat="1" ht="15.6" customHeight="1" x14ac:dyDescent="0.2">
      <c r="C627" s="1391"/>
    </row>
    <row r="628" spans="3:3" s="1378" customFormat="1" ht="15.6" customHeight="1" x14ac:dyDescent="0.2">
      <c r="C628" s="1391"/>
    </row>
    <row r="629" spans="3:3" s="1378" customFormat="1" ht="15.6" customHeight="1" x14ac:dyDescent="0.2">
      <c r="C629" s="1391"/>
    </row>
    <row r="630" spans="3:3" s="1378" customFormat="1" ht="15.6" customHeight="1" x14ac:dyDescent="0.2">
      <c r="C630" s="1391"/>
    </row>
    <row r="631" spans="3:3" s="1378" customFormat="1" ht="15.6" customHeight="1" x14ac:dyDescent="0.2">
      <c r="C631" s="1391"/>
    </row>
    <row r="632" spans="3:3" s="1378" customFormat="1" ht="15.6" customHeight="1" x14ac:dyDescent="0.2">
      <c r="C632" s="1391"/>
    </row>
    <row r="633" spans="3:3" s="1378" customFormat="1" ht="15.6" customHeight="1" x14ac:dyDescent="0.2">
      <c r="C633" s="1391"/>
    </row>
    <row r="634" spans="3:3" s="1378" customFormat="1" ht="15.6" customHeight="1" x14ac:dyDescent="0.2">
      <c r="C634" s="1391"/>
    </row>
    <row r="635" spans="3:3" s="1378" customFormat="1" ht="15.6" customHeight="1" x14ac:dyDescent="0.2">
      <c r="C635" s="1391"/>
    </row>
    <row r="636" spans="3:3" s="1378" customFormat="1" ht="15.6" customHeight="1" x14ac:dyDescent="0.2">
      <c r="C636" s="1391"/>
    </row>
    <row r="637" spans="3:3" s="1378" customFormat="1" ht="15.6" customHeight="1" x14ac:dyDescent="0.2">
      <c r="C637" s="1391"/>
    </row>
    <row r="638" spans="3:3" s="1378" customFormat="1" ht="15.6" customHeight="1" x14ac:dyDescent="0.2">
      <c r="C638" s="1391"/>
    </row>
    <row r="639" spans="3:3" s="1378" customFormat="1" ht="15.6" customHeight="1" x14ac:dyDescent="0.2">
      <c r="C639" s="1391"/>
    </row>
    <row r="640" spans="3:3" s="1378" customFormat="1" ht="15.6" customHeight="1" x14ac:dyDescent="0.2">
      <c r="C640" s="1391"/>
    </row>
    <row r="641" spans="3:3" s="1378" customFormat="1" ht="15.6" customHeight="1" x14ac:dyDescent="0.2">
      <c r="C641" s="1391"/>
    </row>
    <row r="642" spans="3:3" s="1378" customFormat="1" ht="15.6" customHeight="1" x14ac:dyDescent="0.2">
      <c r="C642" s="1391"/>
    </row>
    <row r="643" spans="3:3" s="1378" customFormat="1" ht="15.6" customHeight="1" x14ac:dyDescent="0.2">
      <c r="C643" s="1391"/>
    </row>
    <row r="644" spans="3:3" s="1378" customFormat="1" ht="15.6" customHeight="1" x14ac:dyDescent="0.2">
      <c r="C644" s="1391"/>
    </row>
    <row r="645" spans="3:3" s="1378" customFormat="1" ht="15.6" customHeight="1" x14ac:dyDescent="0.2">
      <c r="C645" s="1391"/>
    </row>
    <row r="646" spans="3:3" s="1378" customFormat="1" ht="15.6" customHeight="1" x14ac:dyDescent="0.2">
      <c r="C646" s="1391"/>
    </row>
    <row r="647" spans="3:3" s="1378" customFormat="1" ht="15.6" customHeight="1" x14ac:dyDescent="0.2">
      <c r="C647" s="1391"/>
    </row>
    <row r="648" spans="3:3" s="1378" customFormat="1" ht="15.6" customHeight="1" x14ac:dyDescent="0.2">
      <c r="C648" s="1391"/>
    </row>
    <row r="649" spans="3:3" s="1378" customFormat="1" ht="15.6" customHeight="1" x14ac:dyDescent="0.2">
      <c r="C649" s="1391"/>
    </row>
    <row r="650" spans="3:3" s="1378" customFormat="1" ht="15.6" customHeight="1" x14ac:dyDescent="0.2">
      <c r="C650" s="1391"/>
    </row>
    <row r="651" spans="3:3" s="1378" customFormat="1" ht="15.6" customHeight="1" x14ac:dyDescent="0.2">
      <c r="C651" s="1391"/>
    </row>
    <row r="652" spans="3:3" s="1378" customFormat="1" ht="15.6" customHeight="1" x14ac:dyDescent="0.2">
      <c r="C652" s="1391"/>
    </row>
    <row r="653" spans="3:3" s="1378" customFormat="1" ht="15.6" customHeight="1" x14ac:dyDescent="0.2">
      <c r="C653" s="1391"/>
    </row>
    <row r="654" spans="3:3" s="1378" customFormat="1" ht="15.6" customHeight="1" x14ac:dyDescent="0.2">
      <c r="C654" s="1391"/>
    </row>
    <row r="655" spans="3:3" s="1378" customFormat="1" ht="15.6" customHeight="1" x14ac:dyDescent="0.2">
      <c r="C655" s="1391"/>
    </row>
    <row r="656" spans="3:3" s="1378" customFormat="1" ht="15.6" customHeight="1" x14ac:dyDescent="0.2">
      <c r="C656" s="1391"/>
    </row>
    <row r="657" spans="3:3" s="1378" customFormat="1" ht="15.6" customHeight="1" x14ac:dyDescent="0.2">
      <c r="C657" s="1391"/>
    </row>
    <row r="658" spans="3:3" s="1378" customFormat="1" ht="15.6" customHeight="1" x14ac:dyDescent="0.2">
      <c r="C658" s="1391"/>
    </row>
    <row r="659" spans="3:3" s="1378" customFormat="1" ht="15.6" customHeight="1" x14ac:dyDescent="0.2">
      <c r="C659" s="1391"/>
    </row>
    <row r="660" spans="3:3" s="1378" customFormat="1" ht="15.6" customHeight="1" x14ac:dyDescent="0.2">
      <c r="C660" s="1391"/>
    </row>
    <row r="661" spans="3:3" s="1378" customFormat="1" ht="15.6" customHeight="1" x14ac:dyDescent="0.2">
      <c r="C661" s="1391"/>
    </row>
    <row r="662" spans="3:3" s="1378" customFormat="1" ht="15.6" customHeight="1" x14ac:dyDescent="0.2">
      <c r="C662" s="1391"/>
    </row>
    <row r="663" spans="3:3" s="1378" customFormat="1" ht="15.6" customHeight="1" x14ac:dyDescent="0.2">
      <c r="C663" s="1391"/>
    </row>
    <row r="664" spans="3:3" s="1378" customFormat="1" ht="15.6" customHeight="1" x14ac:dyDescent="0.2">
      <c r="C664" s="1391"/>
    </row>
    <row r="665" spans="3:3" s="1378" customFormat="1" ht="15.6" customHeight="1" x14ac:dyDescent="0.2">
      <c r="C665" s="1391"/>
    </row>
    <row r="666" spans="3:3" s="1378" customFormat="1" ht="15.6" customHeight="1" x14ac:dyDescent="0.2">
      <c r="C666" s="1391"/>
    </row>
    <row r="667" spans="3:3" s="1378" customFormat="1" ht="15.6" customHeight="1" x14ac:dyDescent="0.2">
      <c r="C667" s="1391"/>
    </row>
    <row r="668" spans="3:3" s="1378" customFormat="1" ht="15.6" customHeight="1" x14ac:dyDescent="0.2">
      <c r="C668" s="1391"/>
    </row>
    <row r="669" spans="3:3" s="1378" customFormat="1" ht="15.6" customHeight="1" x14ac:dyDescent="0.2">
      <c r="C669" s="1391"/>
    </row>
    <row r="670" spans="3:3" s="1378" customFormat="1" ht="15.6" customHeight="1" x14ac:dyDescent="0.2">
      <c r="C670" s="1391"/>
    </row>
    <row r="671" spans="3:3" s="1378" customFormat="1" ht="15.6" customHeight="1" x14ac:dyDescent="0.2">
      <c r="C671" s="1391"/>
    </row>
    <row r="672" spans="3:3" s="1378" customFormat="1" ht="15.6" customHeight="1" x14ac:dyDescent="0.2">
      <c r="C672" s="1391"/>
    </row>
    <row r="673" spans="3:3" s="1378" customFormat="1" ht="15.6" customHeight="1" x14ac:dyDescent="0.2">
      <c r="C673" s="1391"/>
    </row>
    <row r="674" spans="3:3" s="1378" customFormat="1" ht="15.6" customHeight="1" x14ac:dyDescent="0.2">
      <c r="C674" s="1391"/>
    </row>
    <row r="675" spans="3:3" s="1378" customFormat="1" ht="15.6" customHeight="1" x14ac:dyDescent="0.2">
      <c r="C675" s="1391"/>
    </row>
    <row r="676" spans="3:3" s="1378" customFormat="1" ht="15.6" customHeight="1" x14ac:dyDescent="0.2">
      <c r="C676" s="1391"/>
    </row>
    <row r="677" spans="3:3" s="1378" customFormat="1" ht="15.6" customHeight="1" x14ac:dyDescent="0.2">
      <c r="C677" s="1391"/>
    </row>
    <row r="678" spans="3:3" s="1378" customFormat="1" ht="15.6" customHeight="1" x14ac:dyDescent="0.2">
      <c r="C678" s="1391"/>
    </row>
    <row r="679" spans="3:3" s="1378" customFormat="1" ht="15.6" customHeight="1" x14ac:dyDescent="0.2">
      <c r="C679" s="1391"/>
    </row>
    <row r="680" spans="3:3" s="1378" customFormat="1" ht="15.6" customHeight="1" x14ac:dyDescent="0.2">
      <c r="C680" s="1391"/>
    </row>
    <row r="681" spans="3:3" s="1378" customFormat="1" ht="15.6" customHeight="1" x14ac:dyDescent="0.2">
      <c r="C681" s="1391"/>
    </row>
    <row r="682" spans="3:3" s="1378" customFormat="1" ht="15.6" customHeight="1" x14ac:dyDescent="0.2">
      <c r="C682" s="1391"/>
    </row>
    <row r="683" spans="3:3" s="1378" customFormat="1" ht="15.6" customHeight="1" x14ac:dyDescent="0.2">
      <c r="C683" s="1391"/>
    </row>
    <row r="684" spans="3:3" s="1378" customFormat="1" ht="15.6" customHeight="1" x14ac:dyDescent="0.2">
      <c r="C684" s="1391"/>
    </row>
    <row r="685" spans="3:3" s="1378" customFormat="1" ht="15.6" customHeight="1" x14ac:dyDescent="0.2">
      <c r="C685" s="1391"/>
    </row>
    <row r="686" spans="3:3" s="1378" customFormat="1" ht="15.6" customHeight="1" x14ac:dyDescent="0.2">
      <c r="C686" s="1391"/>
    </row>
    <row r="687" spans="3:3" s="1378" customFormat="1" ht="15.6" customHeight="1" x14ac:dyDescent="0.2">
      <c r="C687" s="1391"/>
    </row>
    <row r="688" spans="3:3" s="1378" customFormat="1" ht="15.6" customHeight="1" x14ac:dyDescent="0.2">
      <c r="C688" s="1391"/>
    </row>
    <row r="689" spans="3:3" s="1378" customFormat="1" ht="15.6" customHeight="1" x14ac:dyDescent="0.2">
      <c r="C689" s="1391"/>
    </row>
    <row r="690" spans="3:3" s="1378" customFormat="1" ht="15.6" customHeight="1" x14ac:dyDescent="0.2">
      <c r="C690" s="1391"/>
    </row>
    <row r="691" spans="3:3" s="1378" customFormat="1" ht="15.6" customHeight="1" x14ac:dyDescent="0.2">
      <c r="C691" s="1391"/>
    </row>
    <row r="692" spans="3:3" s="1378" customFormat="1" ht="15.6" customHeight="1" x14ac:dyDescent="0.2">
      <c r="C692" s="1391"/>
    </row>
    <row r="693" spans="3:3" s="1378" customFormat="1" ht="15.6" customHeight="1" x14ac:dyDescent="0.2">
      <c r="C693" s="1391"/>
    </row>
    <row r="694" spans="3:3" s="1378" customFormat="1" ht="15.6" customHeight="1" x14ac:dyDescent="0.2">
      <c r="C694" s="1391"/>
    </row>
    <row r="695" spans="3:3" s="1378" customFormat="1" ht="15.6" customHeight="1" x14ac:dyDescent="0.2">
      <c r="C695" s="1391"/>
    </row>
    <row r="696" spans="3:3" s="1378" customFormat="1" ht="15.6" customHeight="1" x14ac:dyDescent="0.2">
      <c r="C696" s="1391"/>
    </row>
    <row r="697" spans="3:3" s="1378" customFormat="1" ht="15.6" customHeight="1" x14ac:dyDescent="0.2">
      <c r="C697" s="1391"/>
    </row>
    <row r="698" spans="3:3" s="1378" customFormat="1" ht="15.6" customHeight="1" x14ac:dyDescent="0.2">
      <c r="C698" s="1391"/>
    </row>
    <row r="699" spans="3:3" s="1378" customFormat="1" ht="15.6" customHeight="1" x14ac:dyDescent="0.2">
      <c r="C699" s="1391"/>
    </row>
    <row r="700" spans="3:3" s="1378" customFormat="1" ht="15.6" customHeight="1" x14ac:dyDescent="0.2">
      <c r="C700" s="1391"/>
    </row>
    <row r="701" spans="3:3" s="1378" customFormat="1" ht="15.6" customHeight="1" x14ac:dyDescent="0.2">
      <c r="C701" s="1391"/>
    </row>
    <row r="702" spans="3:3" s="1378" customFormat="1" ht="15.6" customHeight="1" x14ac:dyDescent="0.2">
      <c r="C702" s="1391"/>
    </row>
    <row r="703" spans="3:3" s="1378" customFormat="1" ht="15.6" customHeight="1" x14ac:dyDescent="0.2">
      <c r="C703" s="1391"/>
    </row>
    <row r="704" spans="3:3" s="1378" customFormat="1" ht="15.6" customHeight="1" x14ac:dyDescent="0.2">
      <c r="C704" s="1391"/>
    </row>
    <row r="705" spans="3:3" s="1378" customFormat="1" ht="15.6" customHeight="1" x14ac:dyDescent="0.2">
      <c r="C705" s="1391"/>
    </row>
    <row r="706" spans="3:3" s="1378" customFormat="1" ht="15.6" customHeight="1" x14ac:dyDescent="0.2">
      <c r="C706" s="1391"/>
    </row>
    <row r="707" spans="3:3" s="1378" customFormat="1" ht="15.6" customHeight="1" x14ac:dyDescent="0.2">
      <c r="C707" s="1391"/>
    </row>
    <row r="708" spans="3:3" s="1378" customFormat="1" ht="15.6" customHeight="1" x14ac:dyDescent="0.2">
      <c r="C708" s="1391"/>
    </row>
    <row r="709" spans="3:3" s="1378" customFormat="1" ht="15.6" customHeight="1" x14ac:dyDescent="0.2">
      <c r="C709" s="1391"/>
    </row>
    <row r="710" spans="3:3" s="1378" customFormat="1" ht="15.6" customHeight="1" x14ac:dyDescent="0.2">
      <c r="C710" s="1391"/>
    </row>
    <row r="711" spans="3:3" s="1378" customFormat="1" ht="15.6" customHeight="1" x14ac:dyDescent="0.2">
      <c r="C711" s="1391"/>
    </row>
  </sheetData>
  <protectedRanges>
    <protectedRange password="CE0A" sqref="E63:E64 E67:E68 E170:E173 E178:E179 E214:E217 E202:E209 E252:E255 E240:E247 E278:E285 E290:E291 E326:E329 E314:E321 E352:E359 E364:E365 E400:E403 E388:E395 E426:E433 E438:E439 E44 E37:E38 E14:E16 E19:E20 E57:E58 E29:E32 E142:E143 E146:E147 E123 E116:E117 E93:E95 E98:E99 E136:E137 E108:E111" name="Range1_3_1"/>
    <protectedRange password="CE0A" sqref="G170:G173 G178:G179 G214:G217 G202:G209 G252:G255 G240:G247 G278:G285 G290:G291 G326:G329 G314:G321 G352:G359 G364:G365 G400:G403 G388:G395 G426:G433 G438:G439 G14:G79 G93:G158" name="Range1_3_2"/>
  </protectedRanges>
  <mergeCells count="16">
    <mergeCell ref="C127:D127"/>
    <mergeCell ref="C129:D129"/>
    <mergeCell ref="E87:F87"/>
    <mergeCell ref="B89:B90"/>
    <mergeCell ref="C89:C90"/>
    <mergeCell ref="E89:E90"/>
    <mergeCell ref="F89:F90"/>
    <mergeCell ref="C48:D48"/>
    <mergeCell ref="C50:D50"/>
    <mergeCell ref="B1:H1"/>
    <mergeCell ref="B2:H2"/>
    <mergeCell ref="E8:F8"/>
    <mergeCell ref="B10:B11"/>
    <mergeCell ref="C10:C11"/>
    <mergeCell ref="E10:E11"/>
    <mergeCell ref="F10:F11"/>
  </mergeCells>
  <printOptions horizontalCentered="1"/>
  <pageMargins left="0.38" right="0.25" top="0.75" bottom="0.25" header="0" footer="0"/>
  <pageSetup paperSize="10002" scale="75" orientation="portrait" horizontalDpi="4294967293" r:id="rId1"/>
  <rowBreaks count="2" manualBreakCount="2">
    <brk id="66" min="1" max="7" man="1"/>
    <brk id="137" min="1" max="7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K79"/>
  <sheetViews>
    <sheetView showGridLines="0" view="pageBreakPreview" topLeftCell="A67" zoomScale="87" zoomScaleSheetLayoutView="87" workbookViewId="0">
      <selection activeCell="I14" sqref="I14"/>
    </sheetView>
  </sheetViews>
  <sheetFormatPr defaultRowHeight="17.25" x14ac:dyDescent="0.3"/>
  <cols>
    <col min="1" max="1" width="5.140625" style="2352" customWidth="1"/>
    <col min="2" max="2" width="18.140625" style="2868" customWidth="1"/>
    <col min="3" max="3" width="33.7109375" style="2352" customWidth="1"/>
    <col min="4" max="4" width="7" style="2352" customWidth="1"/>
    <col min="5" max="5" width="10.42578125" style="2868" customWidth="1"/>
    <col min="6" max="6" width="12.85546875" style="2352" customWidth="1"/>
    <col min="7" max="7" width="18.140625" style="2353" customWidth="1"/>
    <col min="8" max="8" width="20.28515625" style="2354" customWidth="1"/>
    <col min="9" max="9" width="21.140625" style="2352" bestFit="1" customWidth="1"/>
    <col min="10" max="10" width="3.7109375" style="2352" customWidth="1"/>
    <col min="11" max="11" width="15.7109375" style="2352" customWidth="1"/>
    <col min="12" max="20" width="9.140625" style="2352"/>
    <col min="21" max="21" width="12.28515625" style="2352" bestFit="1" customWidth="1"/>
    <col min="22" max="257" width="9.140625" style="2352"/>
    <col min="258" max="258" width="15.7109375" style="2352" customWidth="1"/>
    <col min="259" max="259" width="29.85546875" style="2352" customWidth="1"/>
    <col min="260" max="260" width="7" style="2352" customWidth="1"/>
    <col min="261" max="261" width="9.5703125" style="2352" customWidth="1"/>
    <col min="262" max="262" width="12.85546875" style="2352" customWidth="1"/>
    <col min="263" max="263" width="18.140625" style="2352" customWidth="1"/>
    <col min="264" max="264" width="20.28515625" style="2352" customWidth="1"/>
    <col min="265" max="265" width="21.140625" style="2352" bestFit="1" customWidth="1"/>
    <col min="266" max="266" width="3.7109375" style="2352" customWidth="1"/>
    <col min="267" max="267" width="15.7109375" style="2352" customWidth="1"/>
    <col min="268" max="276" width="9.140625" style="2352"/>
    <col min="277" max="277" width="12.28515625" style="2352" bestFit="1" customWidth="1"/>
    <col min="278" max="513" width="9.140625" style="2352"/>
    <col min="514" max="514" width="15.7109375" style="2352" customWidth="1"/>
    <col min="515" max="515" width="29.85546875" style="2352" customWidth="1"/>
    <col min="516" max="516" width="7" style="2352" customWidth="1"/>
    <col min="517" max="517" width="9.5703125" style="2352" customWidth="1"/>
    <col min="518" max="518" width="12.85546875" style="2352" customWidth="1"/>
    <col min="519" max="519" width="18.140625" style="2352" customWidth="1"/>
    <col min="520" max="520" width="20.28515625" style="2352" customWidth="1"/>
    <col min="521" max="521" width="21.140625" style="2352" bestFit="1" customWidth="1"/>
    <col min="522" max="522" width="3.7109375" style="2352" customWidth="1"/>
    <col min="523" max="523" width="15.7109375" style="2352" customWidth="1"/>
    <col min="524" max="532" width="9.140625" style="2352"/>
    <col min="533" max="533" width="12.28515625" style="2352" bestFit="1" customWidth="1"/>
    <col min="534" max="769" width="9.140625" style="2352"/>
    <col min="770" max="770" width="15.7109375" style="2352" customWidth="1"/>
    <col min="771" max="771" width="29.85546875" style="2352" customWidth="1"/>
    <col min="772" max="772" width="7" style="2352" customWidth="1"/>
    <col min="773" max="773" width="9.5703125" style="2352" customWidth="1"/>
    <col min="774" max="774" width="12.85546875" style="2352" customWidth="1"/>
    <col min="775" max="775" width="18.140625" style="2352" customWidth="1"/>
    <col min="776" max="776" width="20.28515625" style="2352" customWidth="1"/>
    <col min="777" max="777" width="21.140625" style="2352" bestFit="1" customWidth="1"/>
    <col min="778" max="778" width="3.7109375" style="2352" customWidth="1"/>
    <col min="779" max="779" width="15.7109375" style="2352" customWidth="1"/>
    <col min="780" max="788" width="9.140625" style="2352"/>
    <col min="789" max="789" width="12.28515625" style="2352" bestFit="1" customWidth="1"/>
    <col min="790" max="1025" width="9.140625" style="2352"/>
    <col min="1026" max="1026" width="15.7109375" style="2352" customWidth="1"/>
    <col min="1027" max="1027" width="29.85546875" style="2352" customWidth="1"/>
    <col min="1028" max="1028" width="7" style="2352" customWidth="1"/>
    <col min="1029" max="1029" width="9.5703125" style="2352" customWidth="1"/>
    <col min="1030" max="1030" width="12.85546875" style="2352" customWidth="1"/>
    <col min="1031" max="1031" width="18.140625" style="2352" customWidth="1"/>
    <col min="1032" max="1032" width="20.28515625" style="2352" customWidth="1"/>
    <col min="1033" max="1033" width="21.140625" style="2352" bestFit="1" customWidth="1"/>
    <col min="1034" max="1034" width="3.7109375" style="2352" customWidth="1"/>
    <col min="1035" max="1035" width="15.7109375" style="2352" customWidth="1"/>
    <col min="1036" max="1044" width="9.140625" style="2352"/>
    <col min="1045" max="1045" width="12.28515625" style="2352" bestFit="1" customWidth="1"/>
    <col min="1046" max="1281" width="9.140625" style="2352"/>
    <col min="1282" max="1282" width="15.7109375" style="2352" customWidth="1"/>
    <col min="1283" max="1283" width="29.85546875" style="2352" customWidth="1"/>
    <col min="1284" max="1284" width="7" style="2352" customWidth="1"/>
    <col min="1285" max="1285" width="9.5703125" style="2352" customWidth="1"/>
    <col min="1286" max="1286" width="12.85546875" style="2352" customWidth="1"/>
    <col min="1287" max="1287" width="18.140625" style="2352" customWidth="1"/>
    <col min="1288" max="1288" width="20.28515625" style="2352" customWidth="1"/>
    <col min="1289" max="1289" width="21.140625" style="2352" bestFit="1" customWidth="1"/>
    <col min="1290" max="1290" width="3.7109375" style="2352" customWidth="1"/>
    <col min="1291" max="1291" width="15.7109375" style="2352" customWidth="1"/>
    <col min="1292" max="1300" width="9.140625" style="2352"/>
    <col min="1301" max="1301" width="12.28515625" style="2352" bestFit="1" customWidth="1"/>
    <col min="1302" max="1537" width="9.140625" style="2352"/>
    <col min="1538" max="1538" width="15.7109375" style="2352" customWidth="1"/>
    <col min="1539" max="1539" width="29.85546875" style="2352" customWidth="1"/>
    <col min="1540" max="1540" width="7" style="2352" customWidth="1"/>
    <col min="1541" max="1541" width="9.5703125" style="2352" customWidth="1"/>
    <col min="1542" max="1542" width="12.85546875" style="2352" customWidth="1"/>
    <col min="1543" max="1543" width="18.140625" style="2352" customWidth="1"/>
    <col min="1544" max="1544" width="20.28515625" style="2352" customWidth="1"/>
    <col min="1545" max="1545" width="21.140625" style="2352" bestFit="1" customWidth="1"/>
    <col min="1546" max="1546" width="3.7109375" style="2352" customWidth="1"/>
    <col min="1547" max="1547" width="15.7109375" style="2352" customWidth="1"/>
    <col min="1548" max="1556" width="9.140625" style="2352"/>
    <col min="1557" max="1557" width="12.28515625" style="2352" bestFit="1" customWidth="1"/>
    <col min="1558" max="1793" width="9.140625" style="2352"/>
    <col min="1794" max="1794" width="15.7109375" style="2352" customWidth="1"/>
    <col min="1795" max="1795" width="29.85546875" style="2352" customWidth="1"/>
    <col min="1796" max="1796" width="7" style="2352" customWidth="1"/>
    <col min="1797" max="1797" width="9.5703125" style="2352" customWidth="1"/>
    <col min="1798" max="1798" width="12.85546875" style="2352" customWidth="1"/>
    <col min="1799" max="1799" width="18.140625" style="2352" customWidth="1"/>
    <col min="1800" max="1800" width="20.28515625" style="2352" customWidth="1"/>
    <col min="1801" max="1801" width="21.140625" style="2352" bestFit="1" customWidth="1"/>
    <col min="1802" max="1802" width="3.7109375" style="2352" customWidth="1"/>
    <col min="1803" max="1803" width="15.7109375" style="2352" customWidth="1"/>
    <col min="1804" max="1812" width="9.140625" style="2352"/>
    <col min="1813" max="1813" width="12.28515625" style="2352" bestFit="1" customWidth="1"/>
    <col min="1814" max="2049" width="9.140625" style="2352"/>
    <col min="2050" max="2050" width="15.7109375" style="2352" customWidth="1"/>
    <col min="2051" max="2051" width="29.85546875" style="2352" customWidth="1"/>
    <col min="2052" max="2052" width="7" style="2352" customWidth="1"/>
    <col min="2053" max="2053" width="9.5703125" style="2352" customWidth="1"/>
    <col min="2054" max="2054" width="12.85546875" style="2352" customWidth="1"/>
    <col min="2055" max="2055" width="18.140625" style="2352" customWidth="1"/>
    <col min="2056" max="2056" width="20.28515625" style="2352" customWidth="1"/>
    <col min="2057" max="2057" width="21.140625" style="2352" bestFit="1" customWidth="1"/>
    <col min="2058" max="2058" width="3.7109375" style="2352" customWidth="1"/>
    <col min="2059" max="2059" width="15.7109375" style="2352" customWidth="1"/>
    <col min="2060" max="2068" width="9.140625" style="2352"/>
    <col min="2069" max="2069" width="12.28515625" style="2352" bestFit="1" customWidth="1"/>
    <col min="2070" max="2305" width="9.140625" style="2352"/>
    <col min="2306" max="2306" width="15.7109375" style="2352" customWidth="1"/>
    <col min="2307" max="2307" width="29.85546875" style="2352" customWidth="1"/>
    <col min="2308" max="2308" width="7" style="2352" customWidth="1"/>
    <col min="2309" max="2309" width="9.5703125" style="2352" customWidth="1"/>
    <col min="2310" max="2310" width="12.85546875" style="2352" customWidth="1"/>
    <col min="2311" max="2311" width="18.140625" style="2352" customWidth="1"/>
    <col min="2312" max="2312" width="20.28515625" style="2352" customWidth="1"/>
    <col min="2313" max="2313" width="21.140625" style="2352" bestFit="1" customWidth="1"/>
    <col min="2314" max="2314" width="3.7109375" style="2352" customWidth="1"/>
    <col min="2315" max="2315" width="15.7109375" style="2352" customWidth="1"/>
    <col min="2316" max="2324" width="9.140625" style="2352"/>
    <col min="2325" max="2325" width="12.28515625" style="2352" bestFit="1" customWidth="1"/>
    <col min="2326" max="2561" width="9.140625" style="2352"/>
    <col min="2562" max="2562" width="15.7109375" style="2352" customWidth="1"/>
    <col min="2563" max="2563" width="29.85546875" style="2352" customWidth="1"/>
    <col min="2564" max="2564" width="7" style="2352" customWidth="1"/>
    <col min="2565" max="2565" width="9.5703125" style="2352" customWidth="1"/>
    <col min="2566" max="2566" width="12.85546875" style="2352" customWidth="1"/>
    <col min="2567" max="2567" width="18.140625" style="2352" customWidth="1"/>
    <col min="2568" max="2568" width="20.28515625" style="2352" customWidth="1"/>
    <col min="2569" max="2569" width="21.140625" style="2352" bestFit="1" customWidth="1"/>
    <col min="2570" max="2570" width="3.7109375" style="2352" customWidth="1"/>
    <col min="2571" max="2571" width="15.7109375" style="2352" customWidth="1"/>
    <col min="2572" max="2580" width="9.140625" style="2352"/>
    <col min="2581" max="2581" width="12.28515625" style="2352" bestFit="1" customWidth="1"/>
    <col min="2582" max="2817" width="9.140625" style="2352"/>
    <col min="2818" max="2818" width="15.7109375" style="2352" customWidth="1"/>
    <col min="2819" max="2819" width="29.85546875" style="2352" customWidth="1"/>
    <col min="2820" max="2820" width="7" style="2352" customWidth="1"/>
    <col min="2821" max="2821" width="9.5703125" style="2352" customWidth="1"/>
    <col min="2822" max="2822" width="12.85546875" style="2352" customWidth="1"/>
    <col min="2823" max="2823" width="18.140625" style="2352" customWidth="1"/>
    <col min="2824" max="2824" width="20.28515625" style="2352" customWidth="1"/>
    <col min="2825" max="2825" width="21.140625" style="2352" bestFit="1" customWidth="1"/>
    <col min="2826" max="2826" width="3.7109375" style="2352" customWidth="1"/>
    <col min="2827" max="2827" width="15.7109375" style="2352" customWidth="1"/>
    <col min="2828" max="2836" width="9.140625" style="2352"/>
    <col min="2837" max="2837" width="12.28515625" style="2352" bestFit="1" customWidth="1"/>
    <col min="2838" max="3073" width="9.140625" style="2352"/>
    <col min="3074" max="3074" width="15.7109375" style="2352" customWidth="1"/>
    <col min="3075" max="3075" width="29.85546875" style="2352" customWidth="1"/>
    <col min="3076" max="3076" width="7" style="2352" customWidth="1"/>
    <col min="3077" max="3077" width="9.5703125" style="2352" customWidth="1"/>
    <col min="3078" max="3078" width="12.85546875" style="2352" customWidth="1"/>
    <col min="3079" max="3079" width="18.140625" style="2352" customWidth="1"/>
    <col min="3080" max="3080" width="20.28515625" style="2352" customWidth="1"/>
    <col min="3081" max="3081" width="21.140625" style="2352" bestFit="1" customWidth="1"/>
    <col min="3082" max="3082" width="3.7109375" style="2352" customWidth="1"/>
    <col min="3083" max="3083" width="15.7109375" style="2352" customWidth="1"/>
    <col min="3084" max="3092" width="9.140625" style="2352"/>
    <col min="3093" max="3093" width="12.28515625" style="2352" bestFit="1" customWidth="1"/>
    <col min="3094" max="3329" width="9.140625" style="2352"/>
    <col min="3330" max="3330" width="15.7109375" style="2352" customWidth="1"/>
    <col min="3331" max="3331" width="29.85546875" style="2352" customWidth="1"/>
    <col min="3332" max="3332" width="7" style="2352" customWidth="1"/>
    <col min="3333" max="3333" width="9.5703125" style="2352" customWidth="1"/>
    <col min="3334" max="3334" width="12.85546875" style="2352" customWidth="1"/>
    <col min="3335" max="3335" width="18.140625" style="2352" customWidth="1"/>
    <col min="3336" max="3336" width="20.28515625" style="2352" customWidth="1"/>
    <col min="3337" max="3337" width="21.140625" style="2352" bestFit="1" customWidth="1"/>
    <col min="3338" max="3338" width="3.7109375" style="2352" customWidth="1"/>
    <col min="3339" max="3339" width="15.7109375" style="2352" customWidth="1"/>
    <col min="3340" max="3348" width="9.140625" style="2352"/>
    <col min="3349" max="3349" width="12.28515625" style="2352" bestFit="1" customWidth="1"/>
    <col min="3350" max="3585" width="9.140625" style="2352"/>
    <col min="3586" max="3586" width="15.7109375" style="2352" customWidth="1"/>
    <col min="3587" max="3587" width="29.85546875" style="2352" customWidth="1"/>
    <col min="3588" max="3588" width="7" style="2352" customWidth="1"/>
    <col min="3589" max="3589" width="9.5703125" style="2352" customWidth="1"/>
    <col min="3590" max="3590" width="12.85546875" style="2352" customWidth="1"/>
    <col min="3591" max="3591" width="18.140625" style="2352" customWidth="1"/>
    <col min="3592" max="3592" width="20.28515625" style="2352" customWidth="1"/>
    <col min="3593" max="3593" width="21.140625" style="2352" bestFit="1" customWidth="1"/>
    <col min="3594" max="3594" width="3.7109375" style="2352" customWidth="1"/>
    <col min="3595" max="3595" width="15.7109375" style="2352" customWidth="1"/>
    <col min="3596" max="3604" width="9.140625" style="2352"/>
    <col min="3605" max="3605" width="12.28515625" style="2352" bestFit="1" customWidth="1"/>
    <col min="3606" max="3841" width="9.140625" style="2352"/>
    <col min="3842" max="3842" width="15.7109375" style="2352" customWidth="1"/>
    <col min="3843" max="3843" width="29.85546875" style="2352" customWidth="1"/>
    <col min="3844" max="3844" width="7" style="2352" customWidth="1"/>
    <col min="3845" max="3845" width="9.5703125" style="2352" customWidth="1"/>
    <col min="3846" max="3846" width="12.85546875" style="2352" customWidth="1"/>
    <col min="3847" max="3847" width="18.140625" style="2352" customWidth="1"/>
    <col min="3848" max="3848" width="20.28515625" style="2352" customWidth="1"/>
    <col min="3849" max="3849" width="21.140625" style="2352" bestFit="1" customWidth="1"/>
    <col min="3850" max="3850" width="3.7109375" style="2352" customWidth="1"/>
    <col min="3851" max="3851" width="15.7109375" style="2352" customWidth="1"/>
    <col min="3852" max="3860" width="9.140625" style="2352"/>
    <col min="3861" max="3861" width="12.28515625" style="2352" bestFit="1" customWidth="1"/>
    <col min="3862" max="4097" width="9.140625" style="2352"/>
    <col min="4098" max="4098" width="15.7109375" style="2352" customWidth="1"/>
    <col min="4099" max="4099" width="29.85546875" style="2352" customWidth="1"/>
    <col min="4100" max="4100" width="7" style="2352" customWidth="1"/>
    <col min="4101" max="4101" width="9.5703125" style="2352" customWidth="1"/>
    <col min="4102" max="4102" width="12.85546875" style="2352" customWidth="1"/>
    <col min="4103" max="4103" width="18.140625" style="2352" customWidth="1"/>
    <col min="4104" max="4104" width="20.28515625" style="2352" customWidth="1"/>
    <col min="4105" max="4105" width="21.140625" style="2352" bestFit="1" customWidth="1"/>
    <col min="4106" max="4106" width="3.7109375" style="2352" customWidth="1"/>
    <col min="4107" max="4107" width="15.7109375" style="2352" customWidth="1"/>
    <col min="4108" max="4116" width="9.140625" style="2352"/>
    <col min="4117" max="4117" width="12.28515625" style="2352" bestFit="1" customWidth="1"/>
    <col min="4118" max="4353" width="9.140625" style="2352"/>
    <col min="4354" max="4354" width="15.7109375" style="2352" customWidth="1"/>
    <col min="4355" max="4355" width="29.85546875" style="2352" customWidth="1"/>
    <col min="4356" max="4356" width="7" style="2352" customWidth="1"/>
    <col min="4357" max="4357" width="9.5703125" style="2352" customWidth="1"/>
    <col min="4358" max="4358" width="12.85546875" style="2352" customWidth="1"/>
    <col min="4359" max="4359" width="18.140625" style="2352" customWidth="1"/>
    <col min="4360" max="4360" width="20.28515625" style="2352" customWidth="1"/>
    <col min="4361" max="4361" width="21.140625" style="2352" bestFit="1" customWidth="1"/>
    <col min="4362" max="4362" width="3.7109375" style="2352" customWidth="1"/>
    <col min="4363" max="4363" width="15.7109375" style="2352" customWidth="1"/>
    <col min="4364" max="4372" width="9.140625" style="2352"/>
    <col min="4373" max="4373" width="12.28515625" style="2352" bestFit="1" customWidth="1"/>
    <col min="4374" max="4609" width="9.140625" style="2352"/>
    <col min="4610" max="4610" width="15.7109375" style="2352" customWidth="1"/>
    <col min="4611" max="4611" width="29.85546875" style="2352" customWidth="1"/>
    <col min="4612" max="4612" width="7" style="2352" customWidth="1"/>
    <col min="4613" max="4613" width="9.5703125" style="2352" customWidth="1"/>
    <col min="4614" max="4614" width="12.85546875" style="2352" customWidth="1"/>
    <col min="4615" max="4615" width="18.140625" style="2352" customWidth="1"/>
    <col min="4616" max="4616" width="20.28515625" style="2352" customWidth="1"/>
    <col min="4617" max="4617" width="21.140625" style="2352" bestFit="1" customWidth="1"/>
    <col min="4618" max="4618" width="3.7109375" style="2352" customWidth="1"/>
    <col min="4619" max="4619" width="15.7109375" style="2352" customWidth="1"/>
    <col min="4620" max="4628" width="9.140625" style="2352"/>
    <col min="4629" max="4629" width="12.28515625" style="2352" bestFit="1" customWidth="1"/>
    <col min="4630" max="4865" width="9.140625" style="2352"/>
    <col min="4866" max="4866" width="15.7109375" style="2352" customWidth="1"/>
    <col min="4867" max="4867" width="29.85546875" style="2352" customWidth="1"/>
    <col min="4868" max="4868" width="7" style="2352" customWidth="1"/>
    <col min="4869" max="4869" width="9.5703125" style="2352" customWidth="1"/>
    <col min="4870" max="4870" width="12.85546875" style="2352" customWidth="1"/>
    <col min="4871" max="4871" width="18.140625" style="2352" customWidth="1"/>
    <col min="4872" max="4872" width="20.28515625" style="2352" customWidth="1"/>
    <col min="4873" max="4873" width="21.140625" style="2352" bestFit="1" customWidth="1"/>
    <col min="4874" max="4874" width="3.7109375" style="2352" customWidth="1"/>
    <col min="4875" max="4875" width="15.7109375" style="2352" customWidth="1"/>
    <col min="4876" max="4884" width="9.140625" style="2352"/>
    <col min="4885" max="4885" width="12.28515625" style="2352" bestFit="1" customWidth="1"/>
    <col min="4886" max="5121" width="9.140625" style="2352"/>
    <col min="5122" max="5122" width="15.7109375" style="2352" customWidth="1"/>
    <col min="5123" max="5123" width="29.85546875" style="2352" customWidth="1"/>
    <col min="5124" max="5124" width="7" style="2352" customWidth="1"/>
    <col min="5125" max="5125" width="9.5703125" style="2352" customWidth="1"/>
    <col min="5126" max="5126" width="12.85546875" style="2352" customWidth="1"/>
    <col min="5127" max="5127" width="18.140625" style="2352" customWidth="1"/>
    <col min="5128" max="5128" width="20.28515625" style="2352" customWidth="1"/>
    <col min="5129" max="5129" width="21.140625" style="2352" bestFit="1" customWidth="1"/>
    <col min="5130" max="5130" width="3.7109375" style="2352" customWidth="1"/>
    <col min="5131" max="5131" width="15.7109375" style="2352" customWidth="1"/>
    <col min="5132" max="5140" width="9.140625" style="2352"/>
    <col min="5141" max="5141" width="12.28515625" style="2352" bestFit="1" customWidth="1"/>
    <col min="5142" max="5377" width="9.140625" style="2352"/>
    <col min="5378" max="5378" width="15.7109375" style="2352" customWidth="1"/>
    <col min="5379" max="5379" width="29.85546875" style="2352" customWidth="1"/>
    <col min="5380" max="5380" width="7" style="2352" customWidth="1"/>
    <col min="5381" max="5381" width="9.5703125" style="2352" customWidth="1"/>
    <col min="5382" max="5382" width="12.85546875" style="2352" customWidth="1"/>
    <col min="5383" max="5383" width="18.140625" style="2352" customWidth="1"/>
    <col min="5384" max="5384" width="20.28515625" style="2352" customWidth="1"/>
    <col min="5385" max="5385" width="21.140625" style="2352" bestFit="1" customWidth="1"/>
    <col min="5386" max="5386" width="3.7109375" style="2352" customWidth="1"/>
    <col min="5387" max="5387" width="15.7109375" style="2352" customWidth="1"/>
    <col min="5388" max="5396" width="9.140625" style="2352"/>
    <col min="5397" max="5397" width="12.28515625" style="2352" bestFit="1" customWidth="1"/>
    <col min="5398" max="5633" width="9.140625" style="2352"/>
    <col min="5634" max="5634" width="15.7109375" style="2352" customWidth="1"/>
    <col min="5635" max="5635" width="29.85546875" style="2352" customWidth="1"/>
    <col min="5636" max="5636" width="7" style="2352" customWidth="1"/>
    <col min="5637" max="5637" width="9.5703125" style="2352" customWidth="1"/>
    <col min="5638" max="5638" width="12.85546875" style="2352" customWidth="1"/>
    <col min="5639" max="5639" width="18.140625" style="2352" customWidth="1"/>
    <col min="5640" max="5640" width="20.28515625" style="2352" customWidth="1"/>
    <col min="5641" max="5641" width="21.140625" style="2352" bestFit="1" customWidth="1"/>
    <col min="5642" max="5642" width="3.7109375" style="2352" customWidth="1"/>
    <col min="5643" max="5643" width="15.7109375" style="2352" customWidth="1"/>
    <col min="5644" max="5652" width="9.140625" style="2352"/>
    <col min="5653" max="5653" width="12.28515625" style="2352" bestFit="1" customWidth="1"/>
    <col min="5654" max="5889" width="9.140625" style="2352"/>
    <col min="5890" max="5890" width="15.7109375" style="2352" customWidth="1"/>
    <col min="5891" max="5891" width="29.85546875" style="2352" customWidth="1"/>
    <col min="5892" max="5892" width="7" style="2352" customWidth="1"/>
    <col min="5893" max="5893" width="9.5703125" style="2352" customWidth="1"/>
    <col min="5894" max="5894" width="12.85546875" style="2352" customWidth="1"/>
    <col min="5895" max="5895" width="18.140625" style="2352" customWidth="1"/>
    <col min="5896" max="5896" width="20.28515625" style="2352" customWidth="1"/>
    <col min="5897" max="5897" width="21.140625" style="2352" bestFit="1" customWidth="1"/>
    <col min="5898" max="5898" width="3.7109375" style="2352" customWidth="1"/>
    <col min="5899" max="5899" width="15.7109375" style="2352" customWidth="1"/>
    <col min="5900" max="5908" width="9.140625" style="2352"/>
    <col min="5909" max="5909" width="12.28515625" style="2352" bestFit="1" customWidth="1"/>
    <col min="5910" max="6145" width="9.140625" style="2352"/>
    <col min="6146" max="6146" width="15.7109375" style="2352" customWidth="1"/>
    <col min="6147" max="6147" width="29.85546875" style="2352" customWidth="1"/>
    <col min="6148" max="6148" width="7" style="2352" customWidth="1"/>
    <col min="6149" max="6149" width="9.5703125" style="2352" customWidth="1"/>
    <col min="6150" max="6150" width="12.85546875" style="2352" customWidth="1"/>
    <col min="6151" max="6151" width="18.140625" style="2352" customWidth="1"/>
    <col min="6152" max="6152" width="20.28515625" style="2352" customWidth="1"/>
    <col min="6153" max="6153" width="21.140625" style="2352" bestFit="1" customWidth="1"/>
    <col min="6154" max="6154" width="3.7109375" style="2352" customWidth="1"/>
    <col min="6155" max="6155" width="15.7109375" style="2352" customWidth="1"/>
    <col min="6156" max="6164" width="9.140625" style="2352"/>
    <col min="6165" max="6165" width="12.28515625" style="2352" bestFit="1" customWidth="1"/>
    <col min="6166" max="6401" width="9.140625" style="2352"/>
    <col min="6402" max="6402" width="15.7109375" style="2352" customWidth="1"/>
    <col min="6403" max="6403" width="29.85546875" style="2352" customWidth="1"/>
    <col min="6404" max="6404" width="7" style="2352" customWidth="1"/>
    <col min="6405" max="6405" width="9.5703125" style="2352" customWidth="1"/>
    <col min="6406" max="6406" width="12.85546875" style="2352" customWidth="1"/>
    <col min="6407" max="6407" width="18.140625" style="2352" customWidth="1"/>
    <col min="6408" max="6408" width="20.28515625" style="2352" customWidth="1"/>
    <col min="6409" max="6409" width="21.140625" style="2352" bestFit="1" customWidth="1"/>
    <col min="6410" max="6410" width="3.7109375" style="2352" customWidth="1"/>
    <col min="6411" max="6411" width="15.7109375" style="2352" customWidth="1"/>
    <col min="6412" max="6420" width="9.140625" style="2352"/>
    <col min="6421" max="6421" width="12.28515625" style="2352" bestFit="1" customWidth="1"/>
    <col min="6422" max="6657" width="9.140625" style="2352"/>
    <col min="6658" max="6658" width="15.7109375" style="2352" customWidth="1"/>
    <col min="6659" max="6659" width="29.85546875" style="2352" customWidth="1"/>
    <col min="6660" max="6660" width="7" style="2352" customWidth="1"/>
    <col min="6661" max="6661" width="9.5703125" style="2352" customWidth="1"/>
    <col min="6662" max="6662" width="12.85546875" style="2352" customWidth="1"/>
    <col min="6663" max="6663" width="18.140625" style="2352" customWidth="1"/>
    <col min="6664" max="6664" width="20.28515625" style="2352" customWidth="1"/>
    <col min="6665" max="6665" width="21.140625" style="2352" bestFit="1" customWidth="1"/>
    <col min="6666" max="6666" width="3.7109375" style="2352" customWidth="1"/>
    <col min="6667" max="6667" width="15.7109375" style="2352" customWidth="1"/>
    <col min="6668" max="6676" width="9.140625" style="2352"/>
    <col min="6677" max="6677" width="12.28515625" style="2352" bestFit="1" customWidth="1"/>
    <col min="6678" max="6913" width="9.140625" style="2352"/>
    <col min="6914" max="6914" width="15.7109375" style="2352" customWidth="1"/>
    <col min="6915" max="6915" width="29.85546875" style="2352" customWidth="1"/>
    <col min="6916" max="6916" width="7" style="2352" customWidth="1"/>
    <col min="6917" max="6917" width="9.5703125" style="2352" customWidth="1"/>
    <col min="6918" max="6918" width="12.85546875" style="2352" customWidth="1"/>
    <col min="6919" max="6919" width="18.140625" style="2352" customWidth="1"/>
    <col min="6920" max="6920" width="20.28515625" style="2352" customWidth="1"/>
    <col min="6921" max="6921" width="21.140625" style="2352" bestFit="1" customWidth="1"/>
    <col min="6922" max="6922" width="3.7109375" style="2352" customWidth="1"/>
    <col min="6923" max="6923" width="15.7109375" style="2352" customWidth="1"/>
    <col min="6924" max="6932" width="9.140625" style="2352"/>
    <col min="6933" max="6933" width="12.28515625" style="2352" bestFit="1" customWidth="1"/>
    <col min="6934" max="7169" width="9.140625" style="2352"/>
    <col min="7170" max="7170" width="15.7109375" style="2352" customWidth="1"/>
    <col min="7171" max="7171" width="29.85546875" style="2352" customWidth="1"/>
    <col min="7172" max="7172" width="7" style="2352" customWidth="1"/>
    <col min="7173" max="7173" width="9.5703125" style="2352" customWidth="1"/>
    <col min="7174" max="7174" width="12.85546875" style="2352" customWidth="1"/>
    <col min="7175" max="7175" width="18.140625" style="2352" customWidth="1"/>
    <col min="7176" max="7176" width="20.28515625" style="2352" customWidth="1"/>
    <col min="7177" max="7177" width="21.140625" style="2352" bestFit="1" customWidth="1"/>
    <col min="7178" max="7178" width="3.7109375" style="2352" customWidth="1"/>
    <col min="7179" max="7179" width="15.7109375" style="2352" customWidth="1"/>
    <col min="7180" max="7188" width="9.140625" style="2352"/>
    <col min="7189" max="7189" width="12.28515625" style="2352" bestFit="1" customWidth="1"/>
    <col min="7190" max="7425" width="9.140625" style="2352"/>
    <col min="7426" max="7426" width="15.7109375" style="2352" customWidth="1"/>
    <col min="7427" max="7427" width="29.85546875" style="2352" customWidth="1"/>
    <col min="7428" max="7428" width="7" style="2352" customWidth="1"/>
    <col min="7429" max="7429" width="9.5703125" style="2352" customWidth="1"/>
    <col min="7430" max="7430" width="12.85546875" style="2352" customWidth="1"/>
    <col min="7431" max="7431" width="18.140625" style="2352" customWidth="1"/>
    <col min="7432" max="7432" width="20.28515625" style="2352" customWidth="1"/>
    <col min="7433" max="7433" width="21.140625" style="2352" bestFit="1" customWidth="1"/>
    <col min="7434" max="7434" width="3.7109375" style="2352" customWidth="1"/>
    <col min="7435" max="7435" width="15.7109375" style="2352" customWidth="1"/>
    <col min="7436" max="7444" width="9.140625" style="2352"/>
    <col min="7445" max="7445" width="12.28515625" style="2352" bestFit="1" customWidth="1"/>
    <col min="7446" max="7681" width="9.140625" style="2352"/>
    <col min="7682" max="7682" width="15.7109375" style="2352" customWidth="1"/>
    <col min="7683" max="7683" width="29.85546875" style="2352" customWidth="1"/>
    <col min="7684" max="7684" width="7" style="2352" customWidth="1"/>
    <col min="7685" max="7685" width="9.5703125" style="2352" customWidth="1"/>
    <col min="7686" max="7686" width="12.85546875" style="2352" customWidth="1"/>
    <col min="7687" max="7687" width="18.140625" style="2352" customWidth="1"/>
    <col min="7688" max="7688" width="20.28515625" style="2352" customWidth="1"/>
    <col min="7689" max="7689" width="21.140625" style="2352" bestFit="1" customWidth="1"/>
    <col min="7690" max="7690" width="3.7109375" style="2352" customWidth="1"/>
    <col min="7691" max="7691" width="15.7109375" style="2352" customWidth="1"/>
    <col min="7692" max="7700" width="9.140625" style="2352"/>
    <col min="7701" max="7701" width="12.28515625" style="2352" bestFit="1" customWidth="1"/>
    <col min="7702" max="7937" width="9.140625" style="2352"/>
    <col min="7938" max="7938" width="15.7109375" style="2352" customWidth="1"/>
    <col min="7939" max="7939" width="29.85546875" style="2352" customWidth="1"/>
    <col min="7940" max="7940" width="7" style="2352" customWidth="1"/>
    <col min="7941" max="7941" width="9.5703125" style="2352" customWidth="1"/>
    <col min="7942" max="7942" width="12.85546875" style="2352" customWidth="1"/>
    <col min="7943" max="7943" width="18.140625" style="2352" customWidth="1"/>
    <col min="7944" max="7944" width="20.28515625" style="2352" customWidth="1"/>
    <col min="7945" max="7945" width="21.140625" style="2352" bestFit="1" customWidth="1"/>
    <col min="7946" max="7946" width="3.7109375" style="2352" customWidth="1"/>
    <col min="7947" max="7947" width="15.7109375" style="2352" customWidth="1"/>
    <col min="7948" max="7956" width="9.140625" style="2352"/>
    <col min="7957" max="7957" width="12.28515625" style="2352" bestFit="1" customWidth="1"/>
    <col min="7958" max="8193" width="9.140625" style="2352"/>
    <col min="8194" max="8194" width="15.7109375" style="2352" customWidth="1"/>
    <col min="8195" max="8195" width="29.85546875" style="2352" customWidth="1"/>
    <col min="8196" max="8196" width="7" style="2352" customWidth="1"/>
    <col min="8197" max="8197" width="9.5703125" style="2352" customWidth="1"/>
    <col min="8198" max="8198" width="12.85546875" style="2352" customWidth="1"/>
    <col min="8199" max="8199" width="18.140625" style="2352" customWidth="1"/>
    <col min="8200" max="8200" width="20.28515625" style="2352" customWidth="1"/>
    <col min="8201" max="8201" width="21.140625" style="2352" bestFit="1" customWidth="1"/>
    <col min="8202" max="8202" width="3.7109375" style="2352" customWidth="1"/>
    <col min="8203" max="8203" width="15.7109375" style="2352" customWidth="1"/>
    <col min="8204" max="8212" width="9.140625" style="2352"/>
    <col min="8213" max="8213" width="12.28515625" style="2352" bestFit="1" customWidth="1"/>
    <col min="8214" max="8449" width="9.140625" style="2352"/>
    <col min="8450" max="8450" width="15.7109375" style="2352" customWidth="1"/>
    <col min="8451" max="8451" width="29.85546875" style="2352" customWidth="1"/>
    <col min="8452" max="8452" width="7" style="2352" customWidth="1"/>
    <col min="8453" max="8453" width="9.5703125" style="2352" customWidth="1"/>
    <col min="8454" max="8454" width="12.85546875" style="2352" customWidth="1"/>
    <col min="8455" max="8455" width="18.140625" style="2352" customWidth="1"/>
    <col min="8456" max="8456" width="20.28515625" style="2352" customWidth="1"/>
    <col min="8457" max="8457" width="21.140625" style="2352" bestFit="1" customWidth="1"/>
    <col min="8458" max="8458" width="3.7109375" style="2352" customWidth="1"/>
    <col min="8459" max="8459" width="15.7109375" style="2352" customWidth="1"/>
    <col min="8460" max="8468" width="9.140625" style="2352"/>
    <col min="8469" max="8469" width="12.28515625" style="2352" bestFit="1" customWidth="1"/>
    <col min="8470" max="8705" width="9.140625" style="2352"/>
    <col min="8706" max="8706" width="15.7109375" style="2352" customWidth="1"/>
    <col min="8707" max="8707" width="29.85546875" style="2352" customWidth="1"/>
    <col min="8708" max="8708" width="7" style="2352" customWidth="1"/>
    <col min="8709" max="8709" width="9.5703125" style="2352" customWidth="1"/>
    <col min="8710" max="8710" width="12.85546875" style="2352" customWidth="1"/>
    <col min="8711" max="8711" width="18.140625" style="2352" customWidth="1"/>
    <col min="8712" max="8712" width="20.28515625" style="2352" customWidth="1"/>
    <col min="8713" max="8713" width="21.140625" style="2352" bestFit="1" customWidth="1"/>
    <col min="8714" max="8714" width="3.7109375" style="2352" customWidth="1"/>
    <col min="8715" max="8715" width="15.7109375" style="2352" customWidth="1"/>
    <col min="8716" max="8724" width="9.140625" style="2352"/>
    <col min="8725" max="8725" width="12.28515625" style="2352" bestFit="1" customWidth="1"/>
    <col min="8726" max="8961" width="9.140625" style="2352"/>
    <col min="8962" max="8962" width="15.7109375" style="2352" customWidth="1"/>
    <col min="8963" max="8963" width="29.85546875" style="2352" customWidth="1"/>
    <col min="8964" max="8964" width="7" style="2352" customWidth="1"/>
    <col min="8965" max="8965" width="9.5703125" style="2352" customWidth="1"/>
    <col min="8966" max="8966" width="12.85546875" style="2352" customWidth="1"/>
    <col min="8967" max="8967" width="18.140625" style="2352" customWidth="1"/>
    <col min="8968" max="8968" width="20.28515625" style="2352" customWidth="1"/>
    <col min="8969" max="8969" width="21.140625" style="2352" bestFit="1" customWidth="1"/>
    <col min="8970" max="8970" width="3.7109375" style="2352" customWidth="1"/>
    <col min="8971" max="8971" width="15.7109375" style="2352" customWidth="1"/>
    <col min="8972" max="8980" width="9.140625" style="2352"/>
    <col min="8981" max="8981" width="12.28515625" style="2352" bestFit="1" customWidth="1"/>
    <col min="8982" max="9217" width="9.140625" style="2352"/>
    <col min="9218" max="9218" width="15.7109375" style="2352" customWidth="1"/>
    <col min="9219" max="9219" width="29.85546875" style="2352" customWidth="1"/>
    <col min="9220" max="9220" width="7" style="2352" customWidth="1"/>
    <col min="9221" max="9221" width="9.5703125" style="2352" customWidth="1"/>
    <col min="9222" max="9222" width="12.85546875" style="2352" customWidth="1"/>
    <col min="9223" max="9223" width="18.140625" style="2352" customWidth="1"/>
    <col min="9224" max="9224" width="20.28515625" style="2352" customWidth="1"/>
    <col min="9225" max="9225" width="21.140625" style="2352" bestFit="1" customWidth="1"/>
    <col min="9226" max="9226" width="3.7109375" style="2352" customWidth="1"/>
    <col min="9227" max="9227" width="15.7109375" style="2352" customWidth="1"/>
    <col min="9228" max="9236" width="9.140625" style="2352"/>
    <col min="9237" max="9237" width="12.28515625" style="2352" bestFit="1" customWidth="1"/>
    <col min="9238" max="9473" width="9.140625" style="2352"/>
    <col min="9474" max="9474" width="15.7109375" style="2352" customWidth="1"/>
    <col min="9475" max="9475" width="29.85546875" style="2352" customWidth="1"/>
    <col min="9476" max="9476" width="7" style="2352" customWidth="1"/>
    <col min="9477" max="9477" width="9.5703125" style="2352" customWidth="1"/>
    <col min="9478" max="9478" width="12.85546875" style="2352" customWidth="1"/>
    <col min="9479" max="9479" width="18.140625" style="2352" customWidth="1"/>
    <col min="9480" max="9480" width="20.28515625" style="2352" customWidth="1"/>
    <col min="9481" max="9481" width="21.140625" style="2352" bestFit="1" customWidth="1"/>
    <col min="9482" max="9482" width="3.7109375" style="2352" customWidth="1"/>
    <col min="9483" max="9483" width="15.7109375" style="2352" customWidth="1"/>
    <col min="9484" max="9492" width="9.140625" style="2352"/>
    <col min="9493" max="9493" width="12.28515625" style="2352" bestFit="1" customWidth="1"/>
    <col min="9494" max="9729" width="9.140625" style="2352"/>
    <col min="9730" max="9730" width="15.7109375" style="2352" customWidth="1"/>
    <col min="9731" max="9731" width="29.85546875" style="2352" customWidth="1"/>
    <col min="9732" max="9732" width="7" style="2352" customWidth="1"/>
    <col min="9733" max="9733" width="9.5703125" style="2352" customWidth="1"/>
    <col min="9734" max="9734" width="12.85546875" style="2352" customWidth="1"/>
    <col min="9735" max="9735" width="18.140625" style="2352" customWidth="1"/>
    <col min="9736" max="9736" width="20.28515625" style="2352" customWidth="1"/>
    <col min="9737" max="9737" width="21.140625" style="2352" bestFit="1" customWidth="1"/>
    <col min="9738" max="9738" width="3.7109375" style="2352" customWidth="1"/>
    <col min="9739" max="9739" width="15.7109375" style="2352" customWidth="1"/>
    <col min="9740" max="9748" width="9.140625" style="2352"/>
    <col min="9749" max="9749" width="12.28515625" style="2352" bestFit="1" customWidth="1"/>
    <col min="9750" max="9985" width="9.140625" style="2352"/>
    <col min="9986" max="9986" width="15.7109375" style="2352" customWidth="1"/>
    <col min="9987" max="9987" width="29.85546875" style="2352" customWidth="1"/>
    <col min="9988" max="9988" width="7" style="2352" customWidth="1"/>
    <col min="9989" max="9989" width="9.5703125" style="2352" customWidth="1"/>
    <col min="9990" max="9990" width="12.85546875" style="2352" customWidth="1"/>
    <col min="9991" max="9991" width="18.140625" style="2352" customWidth="1"/>
    <col min="9992" max="9992" width="20.28515625" style="2352" customWidth="1"/>
    <col min="9993" max="9993" width="21.140625" style="2352" bestFit="1" customWidth="1"/>
    <col min="9994" max="9994" width="3.7109375" style="2352" customWidth="1"/>
    <col min="9995" max="9995" width="15.7109375" style="2352" customWidth="1"/>
    <col min="9996" max="10004" width="9.140625" style="2352"/>
    <col min="10005" max="10005" width="12.28515625" style="2352" bestFit="1" customWidth="1"/>
    <col min="10006" max="10241" width="9.140625" style="2352"/>
    <col min="10242" max="10242" width="15.7109375" style="2352" customWidth="1"/>
    <col min="10243" max="10243" width="29.85546875" style="2352" customWidth="1"/>
    <col min="10244" max="10244" width="7" style="2352" customWidth="1"/>
    <col min="10245" max="10245" width="9.5703125" style="2352" customWidth="1"/>
    <col min="10246" max="10246" width="12.85546875" style="2352" customWidth="1"/>
    <col min="10247" max="10247" width="18.140625" style="2352" customWidth="1"/>
    <col min="10248" max="10248" width="20.28515625" style="2352" customWidth="1"/>
    <col min="10249" max="10249" width="21.140625" style="2352" bestFit="1" customWidth="1"/>
    <col min="10250" max="10250" width="3.7109375" style="2352" customWidth="1"/>
    <col min="10251" max="10251" width="15.7109375" style="2352" customWidth="1"/>
    <col min="10252" max="10260" width="9.140625" style="2352"/>
    <col min="10261" max="10261" width="12.28515625" style="2352" bestFit="1" customWidth="1"/>
    <col min="10262" max="10497" width="9.140625" style="2352"/>
    <col min="10498" max="10498" width="15.7109375" style="2352" customWidth="1"/>
    <col min="10499" max="10499" width="29.85546875" style="2352" customWidth="1"/>
    <col min="10500" max="10500" width="7" style="2352" customWidth="1"/>
    <col min="10501" max="10501" width="9.5703125" style="2352" customWidth="1"/>
    <col min="10502" max="10502" width="12.85546875" style="2352" customWidth="1"/>
    <col min="10503" max="10503" width="18.140625" style="2352" customWidth="1"/>
    <col min="10504" max="10504" width="20.28515625" style="2352" customWidth="1"/>
    <col min="10505" max="10505" width="21.140625" style="2352" bestFit="1" customWidth="1"/>
    <col min="10506" max="10506" width="3.7109375" style="2352" customWidth="1"/>
    <col min="10507" max="10507" width="15.7109375" style="2352" customWidth="1"/>
    <col min="10508" max="10516" width="9.140625" style="2352"/>
    <col min="10517" max="10517" width="12.28515625" style="2352" bestFit="1" customWidth="1"/>
    <col min="10518" max="10753" width="9.140625" style="2352"/>
    <col min="10754" max="10754" width="15.7109375" style="2352" customWidth="1"/>
    <col min="10755" max="10755" width="29.85546875" style="2352" customWidth="1"/>
    <col min="10756" max="10756" width="7" style="2352" customWidth="1"/>
    <col min="10757" max="10757" width="9.5703125" style="2352" customWidth="1"/>
    <col min="10758" max="10758" width="12.85546875" style="2352" customWidth="1"/>
    <col min="10759" max="10759" width="18.140625" style="2352" customWidth="1"/>
    <col min="10760" max="10760" width="20.28515625" style="2352" customWidth="1"/>
    <col min="10761" max="10761" width="21.140625" style="2352" bestFit="1" customWidth="1"/>
    <col min="10762" max="10762" width="3.7109375" style="2352" customWidth="1"/>
    <col min="10763" max="10763" width="15.7109375" style="2352" customWidth="1"/>
    <col min="10764" max="10772" width="9.140625" style="2352"/>
    <col min="10773" max="10773" width="12.28515625" style="2352" bestFit="1" customWidth="1"/>
    <col min="10774" max="11009" width="9.140625" style="2352"/>
    <col min="11010" max="11010" width="15.7109375" style="2352" customWidth="1"/>
    <col min="11011" max="11011" width="29.85546875" style="2352" customWidth="1"/>
    <col min="11012" max="11012" width="7" style="2352" customWidth="1"/>
    <col min="11013" max="11013" width="9.5703125" style="2352" customWidth="1"/>
    <col min="11014" max="11014" width="12.85546875" style="2352" customWidth="1"/>
    <col min="11015" max="11015" width="18.140625" style="2352" customWidth="1"/>
    <col min="11016" max="11016" width="20.28515625" style="2352" customWidth="1"/>
    <col min="11017" max="11017" width="21.140625" style="2352" bestFit="1" customWidth="1"/>
    <col min="11018" max="11018" width="3.7109375" style="2352" customWidth="1"/>
    <col min="11019" max="11019" width="15.7109375" style="2352" customWidth="1"/>
    <col min="11020" max="11028" width="9.140625" style="2352"/>
    <col min="11029" max="11029" width="12.28515625" style="2352" bestFit="1" customWidth="1"/>
    <col min="11030" max="11265" width="9.140625" style="2352"/>
    <col min="11266" max="11266" width="15.7109375" style="2352" customWidth="1"/>
    <col min="11267" max="11267" width="29.85546875" style="2352" customWidth="1"/>
    <col min="11268" max="11268" width="7" style="2352" customWidth="1"/>
    <col min="11269" max="11269" width="9.5703125" style="2352" customWidth="1"/>
    <col min="11270" max="11270" width="12.85546875" style="2352" customWidth="1"/>
    <col min="11271" max="11271" width="18.140625" style="2352" customWidth="1"/>
    <col min="11272" max="11272" width="20.28515625" style="2352" customWidth="1"/>
    <col min="11273" max="11273" width="21.140625" style="2352" bestFit="1" customWidth="1"/>
    <col min="11274" max="11274" width="3.7109375" style="2352" customWidth="1"/>
    <col min="11275" max="11275" width="15.7109375" style="2352" customWidth="1"/>
    <col min="11276" max="11284" width="9.140625" style="2352"/>
    <col min="11285" max="11285" width="12.28515625" style="2352" bestFit="1" customWidth="1"/>
    <col min="11286" max="11521" width="9.140625" style="2352"/>
    <col min="11522" max="11522" width="15.7109375" style="2352" customWidth="1"/>
    <col min="11523" max="11523" width="29.85546875" style="2352" customWidth="1"/>
    <col min="11524" max="11524" width="7" style="2352" customWidth="1"/>
    <col min="11525" max="11525" width="9.5703125" style="2352" customWidth="1"/>
    <col min="11526" max="11526" width="12.85546875" style="2352" customWidth="1"/>
    <col min="11527" max="11527" width="18.140625" style="2352" customWidth="1"/>
    <col min="11528" max="11528" width="20.28515625" style="2352" customWidth="1"/>
    <col min="11529" max="11529" width="21.140625" style="2352" bestFit="1" customWidth="1"/>
    <col min="11530" max="11530" width="3.7109375" style="2352" customWidth="1"/>
    <col min="11531" max="11531" width="15.7109375" style="2352" customWidth="1"/>
    <col min="11532" max="11540" width="9.140625" style="2352"/>
    <col min="11541" max="11541" width="12.28515625" style="2352" bestFit="1" customWidth="1"/>
    <col min="11542" max="11777" width="9.140625" style="2352"/>
    <col min="11778" max="11778" width="15.7109375" style="2352" customWidth="1"/>
    <col min="11779" max="11779" width="29.85546875" style="2352" customWidth="1"/>
    <col min="11780" max="11780" width="7" style="2352" customWidth="1"/>
    <col min="11781" max="11781" width="9.5703125" style="2352" customWidth="1"/>
    <col min="11782" max="11782" width="12.85546875" style="2352" customWidth="1"/>
    <col min="11783" max="11783" width="18.140625" style="2352" customWidth="1"/>
    <col min="11784" max="11784" width="20.28515625" style="2352" customWidth="1"/>
    <col min="11785" max="11785" width="21.140625" style="2352" bestFit="1" customWidth="1"/>
    <col min="11786" max="11786" width="3.7109375" style="2352" customWidth="1"/>
    <col min="11787" max="11787" width="15.7109375" style="2352" customWidth="1"/>
    <col min="11788" max="11796" width="9.140625" style="2352"/>
    <col min="11797" max="11797" width="12.28515625" style="2352" bestFit="1" customWidth="1"/>
    <col min="11798" max="12033" width="9.140625" style="2352"/>
    <col min="12034" max="12034" width="15.7109375" style="2352" customWidth="1"/>
    <col min="12035" max="12035" width="29.85546875" style="2352" customWidth="1"/>
    <col min="12036" max="12036" width="7" style="2352" customWidth="1"/>
    <col min="12037" max="12037" width="9.5703125" style="2352" customWidth="1"/>
    <col min="12038" max="12038" width="12.85546875" style="2352" customWidth="1"/>
    <col min="12039" max="12039" width="18.140625" style="2352" customWidth="1"/>
    <col min="12040" max="12040" width="20.28515625" style="2352" customWidth="1"/>
    <col min="12041" max="12041" width="21.140625" style="2352" bestFit="1" customWidth="1"/>
    <col min="12042" max="12042" width="3.7109375" style="2352" customWidth="1"/>
    <col min="12043" max="12043" width="15.7109375" style="2352" customWidth="1"/>
    <col min="12044" max="12052" width="9.140625" style="2352"/>
    <col min="12053" max="12053" width="12.28515625" style="2352" bestFit="1" customWidth="1"/>
    <col min="12054" max="12289" width="9.140625" style="2352"/>
    <col min="12290" max="12290" width="15.7109375" style="2352" customWidth="1"/>
    <col min="12291" max="12291" width="29.85546875" style="2352" customWidth="1"/>
    <col min="12292" max="12292" width="7" style="2352" customWidth="1"/>
    <col min="12293" max="12293" width="9.5703125" style="2352" customWidth="1"/>
    <col min="12294" max="12294" width="12.85546875" style="2352" customWidth="1"/>
    <col min="12295" max="12295" width="18.140625" style="2352" customWidth="1"/>
    <col min="12296" max="12296" width="20.28515625" style="2352" customWidth="1"/>
    <col min="12297" max="12297" width="21.140625" style="2352" bestFit="1" customWidth="1"/>
    <col min="12298" max="12298" width="3.7109375" style="2352" customWidth="1"/>
    <col min="12299" max="12299" width="15.7109375" style="2352" customWidth="1"/>
    <col min="12300" max="12308" width="9.140625" style="2352"/>
    <col min="12309" max="12309" width="12.28515625" style="2352" bestFit="1" customWidth="1"/>
    <col min="12310" max="12545" width="9.140625" style="2352"/>
    <col min="12546" max="12546" width="15.7109375" style="2352" customWidth="1"/>
    <col min="12547" max="12547" width="29.85546875" style="2352" customWidth="1"/>
    <col min="12548" max="12548" width="7" style="2352" customWidth="1"/>
    <col min="12549" max="12549" width="9.5703125" style="2352" customWidth="1"/>
    <col min="12550" max="12550" width="12.85546875" style="2352" customWidth="1"/>
    <col min="12551" max="12551" width="18.140625" style="2352" customWidth="1"/>
    <col min="12552" max="12552" width="20.28515625" style="2352" customWidth="1"/>
    <col min="12553" max="12553" width="21.140625" style="2352" bestFit="1" customWidth="1"/>
    <col min="12554" max="12554" width="3.7109375" style="2352" customWidth="1"/>
    <col min="12555" max="12555" width="15.7109375" style="2352" customWidth="1"/>
    <col min="12556" max="12564" width="9.140625" style="2352"/>
    <col min="12565" max="12565" width="12.28515625" style="2352" bestFit="1" customWidth="1"/>
    <col min="12566" max="12801" width="9.140625" style="2352"/>
    <col min="12802" max="12802" width="15.7109375" style="2352" customWidth="1"/>
    <col min="12803" max="12803" width="29.85546875" style="2352" customWidth="1"/>
    <col min="12804" max="12804" width="7" style="2352" customWidth="1"/>
    <col min="12805" max="12805" width="9.5703125" style="2352" customWidth="1"/>
    <col min="12806" max="12806" width="12.85546875" style="2352" customWidth="1"/>
    <col min="12807" max="12807" width="18.140625" style="2352" customWidth="1"/>
    <col min="12808" max="12808" width="20.28515625" style="2352" customWidth="1"/>
    <col min="12809" max="12809" width="21.140625" style="2352" bestFit="1" customWidth="1"/>
    <col min="12810" max="12810" width="3.7109375" style="2352" customWidth="1"/>
    <col min="12811" max="12811" width="15.7109375" style="2352" customWidth="1"/>
    <col min="12812" max="12820" width="9.140625" style="2352"/>
    <col min="12821" max="12821" width="12.28515625" style="2352" bestFit="1" customWidth="1"/>
    <col min="12822" max="13057" width="9.140625" style="2352"/>
    <col min="13058" max="13058" width="15.7109375" style="2352" customWidth="1"/>
    <col min="13059" max="13059" width="29.85546875" style="2352" customWidth="1"/>
    <col min="13060" max="13060" width="7" style="2352" customWidth="1"/>
    <col min="13061" max="13061" width="9.5703125" style="2352" customWidth="1"/>
    <col min="13062" max="13062" width="12.85546875" style="2352" customWidth="1"/>
    <col min="13063" max="13063" width="18.140625" style="2352" customWidth="1"/>
    <col min="13064" max="13064" width="20.28515625" style="2352" customWidth="1"/>
    <col min="13065" max="13065" width="21.140625" style="2352" bestFit="1" customWidth="1"/>
    <col min="13066" max="13066" width="3.7109375" style="2352" customWidth="1"/>
    <col min="13067" max="13067" width="15.7109375" style="2352" customWidth="1"/>
    <col min="13068" max="13076" width="9.140625" style="2352"/>
    <col min="13077" max="13077" width="12.28515625" style="2352" bestFit="1" customWidth="1"/>
    <col min="13078" max="13313" width="9.140625" style="2352"/>
    <col min="13314" max="13314" width="15.7109375" style="2352" customWidth="1"/>
    <col min="13315" max="13315" width="29.85546875" style="2352" customWidth="1"/>
    <col min="13316" max="13316" width="7" style="2352" customWidth="1"/>
    <col min="13317" max="13317" width="9.5703125" style="2352" customWidth="1"/>
    <col min="13318" max="13318" width="12.85546875" style="2352" customWidth="1"/>
    <col min="13319" max="13319" width="18.140625" style="2352" customWidth="1"/>
    <col min="13320" max="13320" width="20.28515625" style="2352" customWidth="1"/>
    <col min="13321" max="13321" width="21.140625" style="2352" bestFit="1" customWidth="1"/>
    <col min="13322" max="13322" width="3.7109375" style="2352" customWidth="1"/>
    <col min="13323" max="13323" width="15.7109375" style="2352" customWidth="1"/>
    <col min="13324" max="13332" width="9.140625" style="2352"/>
    <col min="13333" max="13333" width="12.28515625" style="2352" bestFit="1" customWidth="1"/>
    <col min="13334" max="13569" width="9.140625" style="2352"/>
    <col min="13570" max="13570" width="15.7109375" style="2352" customWidth="1"/>
    <col min="13571" max="13571" width="29.85546875" style="2352" customWidth="1"/>
    <col min="13572" max="13572" width="7" style="2352" customWidth="1"/>
    <col min="13573" max="13573" width="9.5703125" style="2352" customWidth="1"/>
    <col min="13574" max="13574" width="12.85546875" style="2352" customWidth="1"/>
    <col min="13575" max="13575" width="18.140625" style="2352" customWidth="1"/>
    <col min="13576" max="13576" width="20.28515625" style="2352" customWidth="1"/>
    <col min="13577" max="13577" width="21.140625" style="2352" bestFit="1" customWidth="1"/>
    <col min="13578" max="13578" width="3.7109375" style="2352" customWidth="1"/>
    <col min="13579" max="13579" width="15.7109375" style="2352" customWidth="1"/>
    <col min="13580" max="13588" width="9.140625" style="2352"/>
    <col min="13589" max="13589" width="12.28515625" style="2352" bestFit="1" customWidth="1"/>
    <col min="13590" max="13825" width="9.140625" style="2352"/>
    <col min="13826" max="13826" width="15.7109375" style="2352" customWidth="1"/>
    <col min="13827" max="13827" width="29.85546875" style="2352" customWidth="1"/>
    <col min="13828" max="13828" width="7" style="2352" customWidth="1"/>
    <col min="13829" max="13829" width="9.5703125" style="2352" customWidth="1"/>
    <col min="13830" max="13830" width="12.85546875" style="2352" customWidth="1"/>
    <col min="13831" max="13831" width="18.140625" style="2352" customWidth="1"/>
    <col min="13832" max="13832" width="20.28515625" style="2352" customWidth="1"/>
    <col min="13833" max="13833" width="21.140625" style="2352" bestFit="1" customWidth="1"/>
    <col min="13834" max="13834" width="3.7109375" style="2352" customWidth="1"/>
    <col min="13835" max="13835" width="15.7109375" style="2352" customWidth="1"/>
    <col min="13836" max="13844" width="9.140625" style="2352"/>
    <col min="13845" max="13845" width="12.28515625" style="2352" bestFit="1" customWidth="1"/>
    <col min="13846" max="14081" width="9.140625" style="2352"/>
    <col min="14082" max="14082" width="15.7109375" style="2352" customWidth="1"/>
    <col min="14083" max="14083" width="29.85546875" style="2352" customWidth="1"/>
    <col min="14084" max="14084" width="7" style="2352" customWidth="1"/>
    <col min="14085" max="14085" width="9.5703125" style="2352" customWidth="1"/>
    <col min="14086" max="14086" width="12.85546875" style="2352" customWidth="1"/>
    <col min="14087" max="14087" width="18.140625" style="2352" customWidth="1"/>
    <col min="14088" max="14088" width="20.28515625" style="2352" customWidth="1"/>
    <col min="14089" max="14089" width="21.140625" style="2352" bestFit="1" customWidth="1"/>
    <col min="14090" max="14090" width="3.7109375" style="2352" customWidth="1"/>
    <col min="14091" max="14091" width="15.7109375" style="2352" customWidth="1"/>
    <col min="14092" max="14100" width="9.140625" style="2352"/>
    <col min="14101" max="14101" width="12.28515625" style="2352" bestFit="1" customWidth="1"/>
    <col min="14102" max="14337" width="9.140625" style="2352"/>
    <col min="14338" max="14338" width="15.7109375" style="2352" customWidth="1"/>
    <col min="14339" max="14339" width="29.85546875" style="2352" customWidth="1"/>
    <col min="14340" max="14340" width="7" style="2352" customWidth="1"/>
    <col min="14341" max="14341" width="9.5703125" style="2352" customWidth="1"/>
    <col min="14342" max="14342" width="12.85546875" style="2352" customWidth="1"/>
    <col min="14343" max="14343" width="18.140625" style="2352" customWidth="1"/>
    <col min="14344" max="14344" width="20.28515625" style="2352" customWidth="1"/>
    <col min="14345" max="14345" width="21.140625" style="2352" bestFit="1" customWidth="1"/>
    <col min="14346" max="14346" width="3.7109375" style="2352" customWidth="1"/>
    <col min="14347" max="14347" width="15.7109375" style="2352" customWidth="1"/>
    <col min="14348" max="14356" width="9.140625" style="2352"/>
    <col min="14357" max="14357" width="12.28515625" style="2352" bestFit="1" customWidth="1"/>
    <col min="14358" max="14593" width="9.140625" style="2352"/>
    <col min="14594" max="14594" width="15.7109375" style="2352" customWidth="1"/>
    <col min="14595" max="14595" width="29.85546875" style="2352" customWidth="1"/>
    <col min="14596" max="14596" width="7" style="2352" customWidth="1"/>
    <col min="14597" max="14597" width="9.5703125" style="2352" customWidth="1"/>
    <col min="14598" max="14598" width="12.85546875" style="2352" customWidth="1"/>
    <col min="14599" max="14599" width="18.140625" style="2352" customWidth="1"/>
    <col min="14600" max="14600" width="20.28515625" style="2352" customWidth="1"/>
    <col min="14601" max="14601" width="21.140625" style="2352" bestFit="1" customWidth="1"/>
    <col min="14602" max="14602" width="3.7109375" style="2352" customWidth="1"/>
    <col min="14603" max="14603" width="15.7109375" style="2352" customWidth="1"/>
    <col min="14604" max="14612" width="9.140625" style="2352"/>
    <col min="14613" max="14613" width="12.28515625" style="2352" bestFit="1" customWidth="1"/>
    <col min="14614" max="14849" width="9.140625" style="2352"/>
    <col min="14850" max="14850" width="15.7109375" style="2352" customWidth="1"/>
    <col min="14851" max="14851" width="29.85546875" style="2352" customWidth="1"/>
    <col min="14852" max="14852" width="7" style="2352" customWidth="1"/>
    <col min="14853" max="14853" width="9.5703125" style="2352" customWidth="1"/>
    <col min="14854" max="14854" width="12.85546875" style="2352" customWidth="1"/>
    <col min="14855" max="14855" width="18.140625" style="2352" customWidth="1"/>
    <col min="14856" max="14856" width="20.28515625" style="2352" customWidth="1"/>
    <col min="14857" max="14857" width="21.140625" style="2352" bestFit="1" customWidth="1"/>
    <col min="14858" max="14858" width="3.7109375" style="2352" customWidth="1"/>
    <col min="14859" max="14859" width="15.7109375" style="2352" customWidth="1"/>
    <col min="14860" max="14868" width="9.140625" style="2352"/>
    <col min="14869" max="14869" width="12.28515625" style="2352" bestFit="1" customWidth="1"/>
    <col min="14870" max="15105" width="9.140625" style="2352"/>
    <col min="15106" max="15106" width="15.7109375" style="2352" customWidth="1"/>
    <col min="15107" max="15107" width="29.85546875" style="2352" customWidth="1"/>
    <col min="15108" max="15108" width="7" style="2352" customWidth="1"/>
    <col min="15109" max="15109" width="9.5703125" style="2352" customWidth="1"/>
    <col min="15110" max="15110" width="12.85546875" style="2352" customWidth="1"/>
    <col min="15111" max="15111" width="18.140625" style="2352" customWidth="1"/>
    <col min="15112" max="15112" width="20.28515625" style="2352" customWidth="1"/>
    <col min="15113" max="15113" width="21.140625" style="2352" bestFit="1" customWidth="1"/>
    <col min="15114" max="15114" width="3.7109375" style="2352" customWidth="1"/>
    <col min="15115" max="15115" width="15.7109375" style="2352" customWidth="1"/>
    <col min="15116" max="15124" width="9.140625" style="2352"/>
    <col min="15125" max="15125" width="12.28515625" style="2352" bestFit="1" customWidth="1"/>
    <col min="15126" max="15361" width="9.140625" style="2352"/>
    <col min="15362" max="15362" width="15.7109375" style="2352" customWidth="1"/>
    <col min="15363" max="15363" width="29.85546875" style="2352" customWidth="1"/>
    <col min="15364" max="15364" width="7" style="2352" customWidth="1"/>
    <col min="15365" max="15365" width="9.5703125" style="2352" customWidth="1"/>
    <col min="15366" max="15366" width="12.85546875" style="2352" customWidth="1"/>
    <col min="15367" max="15367" width="18.140625" style="2352" customWidth="1"/>
    <col min="15368" max="15368" width="20.28515625" style="2352" customWidth="1"/>
    <col min="15369" max="15369" width="21.140625" style="2352" bestFit="1" customWidth="1"/>
    <col min="15370" max="15370" width="3.7109375" style="2352" customWidth="1"/>
    <col min="15371" max="15371" width="15.7109375" style="2352" customWidth="1"/>
    <col min="15372" max="15380" width="9.140625" style="2352"/>
    <col min="15381" max="15381" width="12.28515625" style="2352" bestFit="1" customWidth="1"/>
    <col min="15382" max="15617" width="9.140625" style="2352"/>
    <col min="15618" max="15618" width="15.7109375" style="2352" customWidth="1"/>
    <col min="15619" max="15619" width="29.85546875" style="2352" customWidth="1"/>
    <col min="15620" max="15620" width="7" style="2352" customWidth="1"/>
    <col min="15621" max="15621" width="9.5703125" style="2352" customWidth="1"/>
    <col min="15622" max="15622" width="12.85546875" style="2352" customWidth="1"/>
    <col min="15623" max="15623" width="18.140625" style="2352" customWidth="1"/>
    <col min="15624" max="15624" width="20.28515625" style="2352" customWidth="1"/>
    <col min="15625" max="15625" width="21.140625" style="2352" bestFit="1" customWidth="1"/>
    <col min="15626" max="15626" width="3.7109375" style="2352" customWidth="1"/>
    <col min="15627" max="15627" width="15.7109375" style="2352" customWidth="1"/>
    <col min="15628" max="15636" width="9.140625" style="2352"/>
    <col min="15637" max="15637" width="12.28515625" style="2352" bestFit="1" customWidth="1"/>
    <col min="15638" max="15873" width="9.140625" style="2352"/>
    <col min="15874" max="15874" width="15.7109375" style="2352" customWidth="1"/>
    <col min="15875" max="15875" width="29.85546875" style="2352" customWidth="1"/>
    <col min="15876" max="15876" width="7" style="2352" customWidth="1"/>
    <col min="15877" max="15877" width="9.5703125" style="2352" customWidth="1"/>
    <col min="15878" max="15878" width="12.85546875" style="2352" customWidth="1"/>
    <col min="15879" max="15879" width="18.140625" style="2352" customWidth="1"/>
    <col min="15880" max="15880" width="20.28515625" style="2352" customWidth="1"/>
    <col min="15881" max="15881" width="21.140625" style="2352" bestFit="1" customWidth="1"/>
    <col min="15882" max="15882" width="3.7109375" style="2352" customWidth="1"/>
    <col min="15883" max="15883" width="15.7109375" style="2352" customWidth="1"/>
    <col min="15884" max="15892" width="9.140625" style="2352"/>
    <col min="15893" max="15893" width="12.28515625" style="2352" bestFit="1" customWidth="1"/>
    <col min="15894" max="16129" width="9.140625" style="2352"/>
    <col min="16130" max="16130" width="15.7109375" style="2352" customWidth="1"/>
    <col min="16131" max="16131" width="29.85546875" style="2352" customWidth="1"/>
    <col min="16132" max="16132" width="7" style="2352" customWidth="1"/>
    <col min="16133" max="16133" width="9.5703125" style="2352" customWidth="1"/>
    <col min="16134" max="16134" width="12.85546875" style="2352" customWidth="1"/>
    <col min="16135" max="16135" width="18.140625" style="2352" customWidth="1"/>
    <col min="16136" max="16136" width="20.28515625" style="2352" customWidth="1"/>
    <col min="16137" max="16137" width="21.140625" style="2352" bestFit="1" customWidth="1"/>
    <col min="16138" max="16138" width="3.7109375" style="2352" customWidth="1"/>
    <col min="16139" max="16139" width="15.7109375" style="2352" customWidth="1"/>
    <col min="16140" max="16148" width="9.140625" style="2352"/>
    <col min="16149" max="16149" width="12.28515625" style="2352" bestFit="1" customWidth="1"/>
    <col min="16150" max="16384" width="9.140625" style="2352"/>
  </cols>
  <sheetData>
    <row r="2" spans="2:11" x14ac:dyDescent="0.3">
      <c r="B2" s="3209" t="s">
        <v>603</v>
      </c>
      <c r="C2" s="3209"/>
      <c r="D2" s="3209"/>
      <c r="E2" s="3209"/>
      <c r="F2" s="3209"/>
      <c r="G2" s="3209"/>
      <c r="H2" s="3209"/>
    </row>
    <row r="3" spans="2:11" ht="5.25" customHeight="1" x14ac:dyDescent="0.3">
      <c r="B3" s="3209"/>
      <c r="C3" s="3209"/>
      <c r="D3" s="3209"/>
      <c r="E3" s="3209"/>
      <c r="F3" s="3209"/>
      <c r="G3" s="3209"/>
      <c r="H3" s="3209"/>
    </row>
    <row r="4" spans="2:11" x14ac:dyDescent="0.3">
      <c r="K4" s="2842"/>
    </row>
    <row r="5" spans="2:11" s="2355" customFormat="1" x14ac:dyDescent="0.3">
      <c r="B5" s="2869" t="s">
        <v>1407</v>
      </c>
      <c r="C5" s="2046" t="s">
        <v>1403</v>
      </c>
      <c r="D5" s="2846"/>
      <c r="E5" s="2847"/>
      <c r="F5" s="2848"/>
      <c r="G5" s="2849"/>
      <c r="H5" s="2850"/>
      <c r="J5" s="2843"/>
    </row>
    <row r="6" spans="2:11" s="2355" customFormat="1" ht="33" x14ac:dyDescent="0.3">
      <c r="B6" s="1986" t="s">
        <v>12</v>
      </c>
      <c r="C6" s="2851" t="s">
        <v>36</v>
      </c>
      <c r="D6" s="2851" t="s">
        <v>37</v>
      </c>
      <c r="E6" s="2851" t="s">
        <v>14</v>
      </c>
      <c r="F6" s="2852" t="s">
        <v>38</v>
      </c>
      <c r="G6" s="2853" t="s">
        <v>39</v>
      </c>
      <c r="H6" s="2854" t="s">
        <v>40</v>
      </c>
      <c r="I6" s="2841">
        <v>0.15</v>
      </c>
      <c r="J6" s="2843"/>
    </row>
    <row r="7" spans="2:11" s="2844" customFormat="1" ht="17.100000000000001" customHeight="1" x14ac:dyDescent="0.2">
      <c r="B7" s="2039" t="s">
        <v>41</v>
      </c>
      <c r="C7" s="2856" t="s">
        <v>107</v>
      </c>
      <c r="D7" s="2855"/>
      <c r="E7" s="2039"/>
      <c r="F7" s="2855"/>
      <c r="G7" s="2857"/>
      <c r="H7" s="2858"/>
    </row>
    <row r="8" spans="2:11" ht="17.100000000000001" customHeight="1" x14ac:dyDescent="0.3">
      <c r="B8" s="1556"/>
      <c r="C8" s="2859" t="s">
        <v>50</v>
      </c>
      <c r="D8" s="2027"/>
      <c r="E8" s="2872">
        <v>1</v>
      </c>
      <c r="F8" s="1556" t="s">
        <v>618</v>
      </c>
      <c r="G8" s="2860">
        <f>UPAH!F10</f>
        <v>200000</v>
      </c>
      <c r="H8" s="2216">
        <f t="shared" ref="H8:H13" si="0">G8*E8</f>
        <v>200000</v>
      </c>
    </row>
    <row r="9" spans="2:11" ht="17.100000000000001" customHeight="1" x14ac:dyDescent="0.3">
      <c r="B9" s="1556"/>
      <c r="C9" s="2859" t="s">
        <v>419</v>
      </c>
      <c r="D9" s="2027"/>
      <c r="E9" s="2872">
        <v>3</v>
      </c>
      <c r="F9" s="1556" t="s">
        <v>618</v>
      </c>
      <c r="G9" s="2860">
        <f>UPAH!F14</f>
        <v>225000</v>
      </c>
      <c r="H9" s="2216">
        <f t="shared" si="0"/>
        <v>675000</v>
      </c>
    </row>
    <row r="10" spans="2:11" ht="17.100000000000001" customHeight="1" x14ac:dyDescent="0.3">
      <c r="B10" s="1556"/>
      <c r="C10" s="2859" t="s">
        <v>98</v>
      </c>
      <c r="D10" s="2027"/>
      <c r="E10" s="2872">
        <v>3</v>
      </c>
      <c r="F10" s="1556" t="s">
        <v>618</v>
      </c>
      <c r="G10" s="2860">
        <f>UPAH!F15</f>
        <v>180000</v>
      </c>
      <c r="H10" s="2216">
        <f t="shared" si="0"/>
        <v>540000</v>
      </c>
    </row>
    <row r="11" spans="2:11" ht="17.100000000000001" customHeight="1" x14ac:dyDescent="0.3">
      <c r="B11" s="1556"/>
      <c r="C11" s="2859" t="s">
        <v>1394</v>
      </c>
      <c r="D11" s="2027"/>
      <c r="E11" s="2872">
        <v>4</v>
      </c>
      <c r="F11" s="1556" t="s">
        <v>618</v>
      </c>
      <c r="G11" s="2849">
        <f>UPAH!F16</f>
        <v>225000</v>
      </c>
      <c r="H11" s="2216">
        <f t="shared" si="0"/>
        <v>900000</v>
      </c>
    </row>
    <row r="12" spans="2:11" ht="17.100000000000001" customHeight="1" x14ac:dyDescent="0.3">
      <c r="B12" s="1556"/>
      <c r="C12" s="2027" t="s">
        <v>1395</v>
      </c>
      <c r="D12" s="2027"/>
      <c r="E12" s="2872">
        <v>4</v>
      </c>
      <c r="F12" s="1556" t="s">
        <v>618</v>
      </c>
      <c r="G12" s="2860">
        <f>UPAH!F17</f>
        <v>125000</v>
      </c>
      <c r="H12" s="2216">
        <f t="shared" si="0"/>
        <v>500000</v>
      </c>
    </row>
    <row r="13" spans="2:11" ht="17.100000000000001" customHeight="1" x14ac:dyDescent="0.3">
      <c r="B13" s="1556"/>
      <c r="C13" s="2027" t="s">
        <v>71</v>
      </c>
      <c r="D13" s="2027"/>
      <c r="E13" s="2872">
        <v>6</v>
      </c>
      <c r="F13" s="1556" t="s">
        <v>618</v>
      </c>
      <c r="G13" s="2860">
        <f>UPAH!F13</f>
        <v>115000</v>
      </c>
      <c r="H13" s="2216">
        <f t="shared" si="0"/>
        <v>690000</v>
      </c>
    </row>
    <row r="14" spans="2:11" ht="17.100000000000001" customHeight="1" x14ac:dyDescent="0.3">
      <c r="B14" s="1556"/>
      <c r="C14" s="2027"/>
      <c r="D14" s="2027"/>
      <c r="E14" s="2872"/>
      <c r="F14" s="1556"/>
      <c r="G14" s="2849" t="s">
        <v>1396</v>
      </c>
      <c r="H14" s="2861">
        <f>SUM(H8:H13)</f>
        <v>3505000</v>
      </c>
    </row>
    <row r="15" spans="2:11" ht="17.100000000000001" customHeight="1" x14ac:dyDescent="0.3">
      <c r="B15" s="1556" t="s">
        <v>53</v>
      </c>
      <c r="C15" s="2026" t="s">
        <v>604</v>
      </c>
      <c r="D15" s="2027"/>
      <c r="E15" s="2872"/>
      <c r="F15" s="1556"/>
      <c r="G15" s="2860"/>
      <c r="H15" s="2216"/>
    </row>
    <row r="16" spans="2:11" ht="17.100000000000001" customHeight="1" x14ac:dyDescent="0.3">
      <c r="B16" s="1556"/>
      <c r="C16" s="2027" t="s">
        <v>1397</v>
      </c>
      <c r="D16" s="2027"/>
      <c r="E16" s="2872">
        <v>1</v>
      </c>
      <c r="F16" s="1556" t="s">
        <v>132</v>
      </c>
      <c r="G16" s="2860">
        <v>50000</v>
      </c>
      <c r="H16" s="2216">
        <f>G16*E16</f>
        <v>50000</v>
      </c>
    </row>
    <row r="17" spans="2:8" ht="17.100000000000001" customHeight="1" x14ac:dyDescent="0.3">
      <c r="B17" s="1556"/>
      <c r="C17" s="2027"/>
      <c r="D17" s="2027"/>
      <c r="E17" s="2872"/>
      <c r="F17" s="2027"/>
      <c r="G17" s="2849" t="s">
        <v>1398</v>
      </c>
      <c r="H17" s="2861">
        <f>SUM(H16)</f>
        <v>50000</v>
      </c>
    </row>
    <row r="18" spans="2:8" ht="17.100000000000001" customHeight="1" x14ac:dyDescent="0.3">
      <c r="B18" s="1556" t="s">
        <v>5</v>
      </c>
      <c r="C18" s="2026" t="s">
        <v>133</v>
      </c>
      <c r="D18" s="2027"/>
      <c r="E18" s="2872"/>
      <c r="F18" s="2027"/>
      <c r="G18" s="2860"/>
      <c r="H18" s="2862"/>
    </row>
    <row r="19" spans="2:8" ht="17.100000000000001" customHeight="1" x14ac:dyDescent="0.3">
      <c r="B19" s="1556"/>
      <c r="C19" s="2876" t="s">
        <v>1408</v>
      </c>
      <c r="D19" s="2027"/>
      <c r="E19" s="2872">
        <v>8</v>
      </c>
      <c r="F19" s="2039" t="s">
        <v>247</v>
      </c>
      <c r="G19" s="2860">
        <f>BAHAN!G95</f>
        <v>420000</v>
      </c>
      <c r="H19" s="2862">
        <f>G19*E19</f>
        <v>3360000</v>
      </c>
    </row>
    <row r="20" spans="2:8" ht="17.100000000000001" customHeight="1" x14ac:dyDescent="0.3">
      <c r="B20" s="1556"/>
      <c r="C20" s="2027" t="s">
        <v>1414</v>
      </c>
      <c r="D20" s="2027"/>
      <c r="E20" s="2872">
        <v>4</v>
      </c>
      <c r="F20" s="2039" t="s">
        <v>247</v>
      </c>
      <c r="G20" s="2860">
        <f>BAHAN!G96</f>
        <v>420000</v>
      </c>
      <c r="H20" s="2862">
        <f>G20*E20</f>
        <v>1680000</v>
      </c>
    </row>
    <row r="21" spans="2:8" ht="17.100000000000001" customHeight="1" x14ac:dyDescent="0.3">
      <c r="B21" s="1556"/>
      <c r="C21" s="2027"/>
      <c r="D21" s="2027"/>
      <c r="E21" s="2872"/>
      <c r="F21" s="2027"/>
      <c r="G21" s="2849" t="s">
        <v>1399</v>
      </c>
      <c r="H21" s="2861">
        <f>SUM(H19:H20)</f>
        <v>5040000</v>
      </c>
    </row>
    <row r="22" spans="2:8" ht="17.100000000000001" customHeight="1" x14ac:dyDescent="0.3">
      <c r="B22" s="1556"/>
      <c r="C22" s="2027"/>
      <c r="D22" s="2027"/>
      <c r="E22" s="2872"/>
      <c r="F22" s="2027"/>
      <c r="G22" s="2860"/>
      <c r="H22" s="2862"/>
    </row>
    <row r="23" spans="2:8" ht="17.100000000000001" customHeight="1" x14ac:dyDescent="0.3">
      <c r="B23" s="1556"/>
      <c r="C23" s="2027" t="s">
        <v>10</v>
      </c>
      <c r="D23" s="2027"/>
      <c r="E23" s="2872">
        <v>200</v>
      </c>
      <c r="F23" s="1556" t="s">
        <v>3</v>
      </c>
      <c r="G23" s="2860" t="s">
        <v>1400</v>
      </c>
      <c r="H23" s="2862">
        <f>H21+H17+H14</f>
        <v>8595000</v>
      </c>
    </row>
    <row r="24" spans="2:8" ht="17.100000000000001" customHeight="1" x14ac:dyDescent="0.3">
      <c r="B24" s="1556"/>
      <c r="C24" s="2027" t="s">
        <v>10</v>
      </c>
      <c r="D24" s="2027"/>
      <c r="E24" s="2872">
        <v>1</v>
      </c>
      <c r="F24" s="1556" t="s">
        <v>3</v>
      </c>
      <c r="G24" s="2860"/>
      <c r="H24" s="2862">
        <f>H23/E23</f>
        <v>42975</v>
      </c>
    </row>
    <row r="25" spans="2:8" ht="17.100000000000001" customHeight="1" x14ac:dyDescent="0.3">
      <c r="B25" s="1556"/>
      <c r="C25" s="2027" t="s">
        <v>100</v>
      </c>
      <c r="D25" s="2027"/>
      <c r="E25" s="1556"/>
      <c r="F25" s="2027"/>
      <c r="G25" s="2863">
        <v>0.15</v>
      </c>
      <c r="H25" s="2861">
        <f>H24*$I$6</f>
        <v>6446.25</v>
      </c>
    </row>
    <row r="26" spans="2:8" ht="17.100000000000001" customHeight="1" x14ac:dyDescent="0.3">
      <c r="B26" s="1556"/>
      <c r="C26" s="2027" t="s">
        <v>64</v>
      </c>
      <c r="D26" s="2027"/>
      <c r="E26" s="1556"/>
      <c r="F26" s="2027"/>
      <c r="G26" s="2849"/>
      <c r="H26" s="2861">
        <f>H25+H24</f>
        <v>49421.25</v>
      </c>
    </row>
    <row r="27" spans="2:8" s="2845" customFormat="1" ht="17.100000000000001" customHeight="1" x14ac:dyDescent="0.2">
      <c r="B27" s="2350"/>
      <c r="C27" s="2026" t="s">
        <v>1401</v>
      </c>
      <c r="D27" s="2026"/>
      <c r="E27" s="2350"/>
      <c r="F27" s="2026"/>
      <c r="G27" s="2864"/>
      <c r="H27" s="2865">
        <f>ROUNDDOWN(H26,2)</f>
        <v>49421.25</v>
      </c>
    </row>
    <row r="28" spans="2:8" x14ac:dyDescent="0.3">
      <c r="B28" s="2870"/>
      <c r="C28" s="2224"/>
      <c r="D28" s="2224"/>
      <c r="E28" s="2870"/>
      <c r="F28" s="2224"/>
      <c r="G28" s="2866"/>
      <c r="H28" s="2867"/>
    </row>
    <row r="30" spans="2:8" x14ac:dyDescent="0.3">
      <c r="B30" s="2871" t="s">
        <v>1410</v>
      </c>
      <c r="C30" s="1509" t="s">
        <v>1406</v>
      </c>
      <c r="D30" s="1510"/>
      <c r="E30" s="2349"/>
      <c r="F30" s="1511"/>
      <c r="G30" s="1512"/>
      <c r="H30" s="1513"/>
    </row>
    <row r="31" spans="2:8" ht="33" x14ac:dyDescent="0.3">
      <c r="B31" s="1986" t="s">
        <v>12</v>
      </c>
      <c r="C31" s="2851" t="s">
        <v>36</v>
      </c>
      <c r="D31" s="2851" t="s">
        <v>37</v>
      </c>
      <c r="E31" s="2851" t="s">
        <v>14</v>
      </c>
      <c r="F31" s="2852" t="s">
        <v>38</v>
      </c>
      <c r="G31" s="2853" t="s">
        <v>39</v>
      </c>
      <c r="H31" s="2854" t="s">
        <v>40</v>
      </c>
    </row>
    <row r="32" spans="2:8" x14ac:dyDescent="0.3">
      <c r="B32" s="2875" t="s">
        <v>41</v>
      </c>
      <c r="C32" s="2876" t="s">
        <v>42</v>
      </c>
      <c r="D32" s="2876"/>
      <c r="E32" s="2877"/>
      <c r="F32" s="2878"/>
      <c r="G32" s="2879"/>
      <c r="H32" s="2880"/>
    </row>
    <row r="33" spans="2:9" x14ac:dyDescent="0.3">
      <c r="B33" s="2875"/>
      <c r="C33" s="2876" t="s">
        <v>43</v>
      </c>
      <c r="D33" s="2877" t="s">
        <v>44</v>
      </c>
      <c r="E33" s="2877" t="s">
        <v>45</v>
      </c>
      <c r="F33" s="2878">
        <v>1.95E-2</v>
      </c>
      <c r="G33" s="2879">
        <f>UPAH!$F$13</f>
        <v>115000</v>
      </c>
      <c r="H33" s="2880">
        <f>F33*G33</f>
        <v>2242.5</v>
      </c>
    </row>
    <row r="34" spans="2:9" x14ac:dyDescent="0.3">
      <c r="B34" s="2875"/>
      <c r="C34" s="2876" t="s">
        <v>50</v>
      </c>
      <c r="D34" s="2877" t="s">
        <v>51</v>
      </c>
      <c r="E34" s="2877" t="s">
        <v>45</v>
      </c>
      <c r="F34" s="2878">
        <v>0.05</v>
      </c>
      <c r="G34" s="2879">
        <f>UPAH!$F$10</f>
        <v>200000</v>
      </c>
      <c r="H34" s="2880">
        <f>F34*G34</f>
        <v>10000</v>
      </c>
    </row>
    <row r="35" spans="2:9" x14ac:dyDescent="0.3">
      <c r="B35" s="2875"/>
      <c r="C35" s="2876"/>
      <c r="D35" s="2876"/>
      <c r="E35" s="2877"/>
      <c r="F35" s="3210" t="s">
        <v>52</v>
      </c>
      <c r="G35" s="3210"/>
      <c r="H35" s="2880">
        <f>SUM(H32:H34)</f>
        <v>12242.5</v>
      </c>
    </row>
    <row r="36" spans="2:9" x14ac:dyDescent="0.3">
      <c r="B36" s="2875" t="s">
        <v>53</v>
      </c>
      <c r="C36" s="2876" t="s">
        <v>54</v>
      </c>
      <c r="D36" s="2876"/>
      <c r="E36" s="2877"/>
      <c r="F36" s="2878"/>
      <c r="G36" s="2879"/>
      <c r="H36" s="2880"/>
    </row>
    <row r="37" spans="2:9" x14ac:dyDescent="0.3">
      <c r="B37" s="2875"/>
      <c r="C37" s="2876"/>
      <c r="D37" s="2876"/>
      <c r="E37" s="2877"/>
      <c r="F37" s="3210" t="s">
        <v>59</v>
      </c>
      <c r="G37" s="3210"/>
      <c r="H37" s="2880"/>
    </row>
    <row r="38" spans="2:9" x14ac:dyDescent="0.3">
      <c r="B38" s="2875" t="s">
        <v>5</v>
      </c>
      <c r="C38" s="2876" t="s">
        <v>60</v>
      </c>
      <c r="D38" s="2876"/>
      <c r="E38" s="2877"/>
      <c r="F38" s="2878"/>
      <c r="G38" s="2879"/>
      <c r="H38" s="2880"/>
    </row>
    <row r="39" spans="2:9" x14ac:dyDescent="0.3">
      <c r="B39" s="2875"/>
      <c r="C39" s="2876" t="s">
        <v>1408</v>
      </c>
      <c r="D39" s="2876" t="s">
        <v>1409</v>
      </c>
      <c r="E39" s="2877" t="s">
        <v>247</v>
      </c>
      <c r="F39" s="2878">
        <v>6.4999999999999997E-3</v>
      </c>
      <c r="G39" s="2879">
        <f>BAHAN!G95</f>
        <v>420000</v>
      </c>
      <c r="H39" s="2880">
        <f>G39*F39</f>
        <v>2730</v>
      </c>
      <c r="I39" s="2874"/>
    </row>
    <row r="40" spans="2:9" x14ac:dyDescent="0.3">
      <c r="B40" s="2875"/>
      <c r="C40" s="2876"/>
      <c r="D40" s="2876"/>
      <c r="E40" s="2877"/>
      <c r="F40" s="2878" t="s">
        <v>61</v>
      </c>
      <c r="G40" s="2879"/>
      <c r="H40" s="2880">
        <f>SUM(H39)</f>
        <v>2730</v>
      </c>
    </row>
    <row r="41" spans="2:9" x14ac:dyDescent="0.3">
      <c r="B41" s="2875"/>
      <c r="C41" s="2876"/>
      <c r="D41" s="2876"/>
      <c r="E41" s="2877"/>
      <c r="F41" s="2878"/>
      <c r="G41" s="2879"/>
      <c r="H41" s="2880"/>
    </row>
    <row r="42" spans="2:9" x14ac:dyDescent="0.3">
      <c r="B42" s="2875" t="s">
        <v>6</v>
      </c>
      <c r="C42" s="3211" t="s">
        <v>62</v>
      </c>
      <c r="D42" s="3211"/>
      <c r="E42" s="3211"/>
      <c r="F42" s="3211"/>
      <c r="G42" s="3211"/>
      <c r="H42" s="2880">
        <f>H35+H37+H40</f>
        <v>14972.5</v>
      </c>
    </row>
    <row r="43" spans="2:9" x14ac:dyDescent="0.3">
      <c r="B43" s="2875" t="s">
        <v>7</v>
      </c>
      <c r="C43" s="3211" t="s">
        <v>100</v>
      </c>
      <c r="D43" s="3211"/>
      <c r="E43" s="3211"/>
      <c r="F43" s="3212">
        <f>I6</f>
        <v>0.15</v>
      </c>
      <c r="G43" s="3211"/>
      <c r="H43" s="2880">
        <f>F43*H42</f>
        <v>2245.875</v>
      </c>
    </row>
    <row r="44" spans="2:9" x14ac:dyDescent="0.3">
      <c r="B44" s="2875" t="s">
        <v>63</v>
      </c>
      <c r="C44" s="3211" t="s">
        <v>64</v>
      </c>
      <c r="D44" s="3211"/>
      <c r="E44" s="3211"/>
      <c r="F44" s="3211"/>
      <c r="G44" s="3211"/>
      <c r="H44" s="2880">
        <f>H42+H43</f>
        <v>17218.375</v>
      </c>
    </row>
    <row r="45" spans="2:9" x14ac:dyDescent="0.3">
      <c r="B45" s="2881"/>
      <c r="C45" s="1554" t="s">
        <v>878</v>
      </c>
      <c r="D45" s="1555"/>
      <c r="E45" s="1974"/>
      <c r="F45" s="1555"/>
      <c r="G45" s="1555"/>
      <c r="H45" s="2882">
        <f>ROUNDDOWN(H44,2)</f>
        <v>17218.37</v>
      </c>
    </row>
    <row r="47" spans="2:9" s="2883" customFormat="1" x14ac:dyDescent="0.3">
      <c r="B47" s="2871" t="s">
        <v>1411</v>
      </c>
      <c r="C47" s="2873" t="s">
        <v>1415</v>
      </c>
      <c r="D47" s="1531"/>
      <c r="E47" s="2349"/>
      <c r="F47" s="1511"/>
      <c r="G47" s="2884"/>
      <c r="H47" s="2885"/>
    </row>
    <row r="48" spans="2:9" ht="33" x14ac:dyDescent="0.3">
      <c r="B48" s="1986" t="s">
        <v>12</v>
      </c>
      <c r="C48" s="2851" t="s">
        <v>36</v>
      </c>
      <c r="D48" s="2851" t="s">
        <v>37</v>
      </c>
      <c r="E48" s="2851" t="s">
        <v>14</v>
      </c>
      <c r="F48" s="2852" t="s">
        <v>38</v>
      </c>
      <c r="G48" s="2853" t="s">
        <v>39</v>
      </c>
      <c r="H48" s="2854" t="s">
        <v>40</v>
      </c>
    </row>
    <row r="49" spans="2:8" x14ac:dyDescent="0.3">
      <c r="B49" s="2875" t="s">
        <v>41</v>
      </c>
      <c r="C49" s="2876" t="s">
        <v>42</v>
      </c>
      <c r="D49" s="2876"/>
      <c r="E49" s="2877"/>
      <c r="F49" s="2878"/>
      <c r="G49" s="2879"/>
      <c r="H49" s="2880"/>
    </row>
    <row r="50" spans="2:8" x14ac:dyDescent="0.3">
      <c r="B50" s="2875"/>
      <c r="C50" s="2876" t="s">
        <v>43</v>
      </c>
      <c r="D50" s="2877" t="s">
        <v>44</v>
      </c>
      <c r="E50" s="2877" t="s">
        <v>45</v>
      </c>
      <c r="F50" s="2878">
        <v>1.95E-2</v>
      </c>
      <c r="G50" s="2879">
        <f>UPAH!$F$13</f>
        <v>115000</v>
      </c>
      <c r="H50" s="2880">
        <f>F50*G50</f>
        <v>2242.5</v>
      </c>
    </row>
    <row r="51" spans="2:8" x14ac:dyDescent="0.3">
      <c r="B51" s="2875"/>
      <c r="C51" s="2876" t="s">
        <v>50</v>
      </c>
      <c r="D51" s="2877" t="s">
        <v>51</v>
      </c>
      <c r="E51" s="2877" t="s">
        <v>45</v>
      </c>
      <c r="F51" s="2878">
        <v>0.02</v>
      </c>
      <c r="G51" s="2879">
        <f>UPAH!$F$10</f>
        <v>200000</v>
      </c>
      <c r="H51" s="2880">
        <f>F51*G51</f>
        <v>4000</v>
      </c>
    </row>
    <row r="52" spans="2:8" x14ac:dyDescent="0.3">
      <c r="B52" s="2875"/>
      <c r="C52" s="2876"/>
      <c r="D52" s="2876"/>
      <c r="E52" s="2877"/>
      <c r="F52" s="3210" t="s">
        <v>52</v>
      </c>
      <c r="G52" s="3210"/>
      <c r="H52" s="2880">
        <f>SUM(H50:H51)</f>
        <v>6242.5</v>
      </c>
    </row>
    <row r="53" spans="2:8" x14ac:dyDescent="0.3">
      <c r="B53" s="2875" t="s">
        <v>53</v>
      </c>
      <c r="C53" s="2876" t="s">
        <v>54</v>
      </c>
      <c r="D53" s="2876"/>
      <c r="E53" s="2877"/>
      <c r="F53" s="2878"/>
      <c r="G53" s="2879"/>
      <c r="H53" s="2880"/>
    </row>
    <row r="54" spans="2:8" x14ac:dyDescent="0.3">
      <c r="B54" s="2875"/>
      <c r="C54" s="2876"/>
      <c r="D54" s="2876"/>
      <c r="E54" s="2877"/>
      <c r="F54" s="3210" t="s">
        <v>59</v>
      </c>
      <c r="G54" s="3210"/>
      <c r="H54" s="2880"/>
    </row>
    <row r="55" spans="2:8" x14ac:dyDescent="0.3">
      <c r="B55" s="2875" t="s">
        <v>5</v>
      </c>
      <c r="C55" s="2876" t="s">
        <v>60</v>
      </c>
      <c r="D55" s="2876"/>
      <c r="E55" s="2877"/>
      <c r="F55" s="2878"/>
      <c r="G55" s="2879"/>
      <c r="H55" s="2880"/>
    </row>
    <row r="56" spans="2:8" x14ac:dyDescent="0.3">
      <c r="B56" s="2875"/>
      <c r="C56" s="2876" t="s">
        <v>1412</v>
      </c>
      <c r="D56" s="2876" t="s">
        <v>1413</v>
      </c>
      <c r="E56" s="2877" t="s">
        <v>247</v>
      </c>
      <c r="F56" s="2878">
        <v>0.02</v>
      </c>
      <c r="G56" s="2879">
        <f>BAHAN!G94</f>
        <v>420000</v>
      </c>
      <c r="H56" s="2880">
        <f>G56*F56</f>
        <v>8400</v>
      </c>
    </row>
    <row r="57" spans="2:8" x14ac:dyDescent="0.3">
      <c r="B57" s="2875"/>
      <c r="C57" s="2876"/>
      <c r="D57" s="2876"/>
      <c r="E57" s="2877"/>
      <c r="F57" s="2878" t="s">
        <v>61</v>
      </c>
      <c r="G57" s="2879"/>
      <c r="H57" s="2880">
        <f>SUM(H56)</f>
        <v>8400</v>
      </c>
    </row>
    <row r="58" spans="2:8" x14ac:dyDescent="0.3">
      <c r="B58" s="2875"/>
      <c r="C58" s="2876"/>
      <c r="D58" s="2876"/>
      <c r="E58" s="2877"/>
      <c r="F58" s="2878"/>
      <c r="G58" s="2879"/>
      <c r="H58" s="2880"/>
    </row>
    <row r="59" spans="2:8" x14ac:dyDescent="0.3">
      <c r="B59" s="2875" t="s">
        <v>6</v>
      </c>
      <c r="C59" s="3211" t="s">
        <v>62</v>
      </c>
      <c r="D59" s="3211"/>
      <c r="E59" s="3211"/>
      <c r="F59" s="3211"/>
      <c r="G59" s="3211"/>
      <c r="H59" s="2880">
        <f>H52+H54+H57</f>
        <v>14642.5</v>
      </c>
    </row>
    <row r="60" spans="2:8" x14ac:dyDescent="0.3">
      <c r="B60" s="2875" t="s">
        <v>7</v>
      </c>
      <c r="C60" s="3211" t="s">
        <v>100</v>
      </c>
      <c r="D60" s="3211"/>
      <c r="E60" s="3211"/>
      <c r="F60" s="3212">
        <f>F43</f>
        <v>0.15</v>
      </c>
      <c r="G60" s="3211"/>
      <c r="H60" s="2880">
        <f>F60*H59</f>
        <v>2196.375</v>
      </c>
    </row>
    <row r="61" spans="2:8" x14ac:dyDescent="0.3">
      <c r="B61" s="2875" t="s">
        <v>63</v>
      </c>
      <c r="C61" s="3211" t="s">
        <v>64</v>
      </c>
      <c r="D61" s="3211"/>
      <c r="E61" s="3211"/>
      <c r="F61" s="3211"/>
      <c r="G61" s="3211"/>
      <c r="H61" s="2880">
        <f>H59+H60</f>
        <v>16838.875</v>
      </c>
    </row>
    <row r="62" spans="2:8" x14ac:dyDescent="0.3">
      <c r="B62" s="2881"/>
      <c r="C62" s="1554" t="s">
        <v>878</v>
      </c>
      <c r="D62" s="1555"/>
      <c r="E62" s="1974"/>
      <c r="F62" s="1555"/>
      <c r="G62" s="1555"/>
      <c r="H62" s="2882">
        <f>ROUNDDOWN(H61,2)</f>
        <v>16838.87</v>
      </c>
    </row>
    <row r="63" spans="2:8" x14ac:dyDescent="0.3">
      <c r="B63" s="2870"/>
      <c r="C63" s="2224"/>
      <c r="D63" s="2224"/>
      <c r="E63" s="2870"/>
      <c r="F63" s="2224"/>
      <c r="G63" s="2866"/>
      <c r="H63" s="2867"/>
    </row>
    <row r="64" spans="2:8" s="2845" customFormat="1" ht="15" x14ac:dyDescent="0.2">
      <c r="B64" s="2960" t="s">
        <v>1445</v>
      </c>
      <c r="C64" s="2845" t="s">
        <v>1442</v>
      </c>
      <c r="E64" s="2957"/>
      <c r="G64" s="2958"/>
      <c r="H64" s="2959"/>
    </row>
    <row r="65" spans="2:8" ht="33" x14ac:dyDescent="0.3">
      <c r="B65" s="1986" t="s">
        <v>12</v>
      </c>
      <c r="C65" s="2851" t="s">
        <v>36</v>
      </c>
      <c r="D65" s="2851" t="s">
        <v>37</v>
      </c>
      <c r="E65" s="2851" t="s">
        <v>14</v>
      </c>
      <c r="F65" s="2852" t="s">
        <v>38</v>
      </c>
      <c r="G65" s="2853" t="s">
        <v>39</v>
      </c>
      <c r="H65" s="2854" t="s">
        <v>40</v>
      </c>
    </row>
    <row r="66" spans="2:8" x14ac:dyDescent="0.3">
      <c r="B66" s="2870" t="s">
        <v>41</v>
      </c>
      <c r="C66" s="2224" t="s">
        <v>42</v>
      </c>
      <c r="D66" s="2224"/>
      <c r="E66" s="2870"/>
      <c r="F66" s="2224"/>
      <c r="G66" s="2866"/>
      <c r="H66" s="2867"/>
    </row>
    <row r="67" spans="2:8" x14ac:dyDescent="0.3">
      <c r="B67" s="2870"/>
      <c r="C67" s="2224" t="s">
        <v>71</v>
      </c>
      <c r="D67" s="2224" t="s">
        <v>44</v>
      </c>
      <c r="E67" s="2870" t="s">
        <v>618</v>
      </c>
      <c r="F67" s="2963">
        <v>0.15</v>
      </c>
      <c r="G67" s="2866">
        <f>UPAH!F13</f>
        <v>115000</v>
      </c>
      <c r="H67" s="2867">
        <v>15000</v>
      </c>
    </row>
    <row r="68" spans="2:8" x14ac:dyDescent="0.3">
      <c r="B68" s="2870"/>
      <c r="C68" s="2224" t="s">
        <v>97</v>
      </c>
      <c r="D68" s="2224" t="s">
        <v>47</v>
      </c>
      <c r="E68" s="2870" t="s">
        <v>618</v>
      </c>
      <c r="F68" s="2963">
        <v>0.2</v>
      </c>
      <c r="G68" s="2866">
        <f>UPAH!F12</f>
        <v>170000</v>
      </c>
      <c r="H68" s="2867">
        <v>26000</v>
      </c>
    </row>
    <row r="69" spans="2:8" x14ac:dyDescent="0.3">
      <c r="B69" s="2870"/>
      <c r="C69" s="2224" t="s">
        <v>48</v>
      </c>
      <c r="D69" s="2224" t="s">
        <v>49</v>
      </c>
      <c r="E69" s="2870" t="s">
        <v>618</v>
      </c>
      <c r="F69" s="2963">
        <v>0.02</v>
      </c>
      <c r="G69" s="2866">
        <f>UPAH!F11</f>
        <v>185000</v>
      </c>
      <c r="H69" s="2867">
        <v>3000</v>
      </c>
    </row>
    <row r="70" spans="2:8" x14ac:dyDescent="0.3">
      <c r="B70" s="2870"/>
      <c r="C70" s="2224" t="s">
        <v>50</v>
      </c>
      <c r="D70" s="2224" t="s">
        <v>51</v>
      </c>
      <c r="E70" s="2870" t="s">
        <v>618</v>
      </c>
      <c r="F70" s="2963">
        <v>0.01</v>
      </c>
      <c r="G70" s="2866">
        <f>UPAH!F10</f>
        <v>200000</v>
      </c>
      <c r="H70" s="2867">
        <v>1300</v>
      </c>
    </row>
    <row r="71" spans="2:8" x14ac:dyDescent="0.3">
      <c r="B71" s="2870"/>
      <c r="C71" s="2224"/>
      <c r="D71" s="2224"/>
      <c r="E71" s="2870"/>
      <c r="F71" s="2224" t="s">
        <v>52</v>
      </c>
      <c r="G71" s="2866"/>
      <c r="H71" s="2867">
        <v>45300</v>
      </c>
    </row>
    <row r="72" spans="2:8" x14ac:dyDescent="0.3">
      <c r="B72" s="2870" t="s">
        <v>53</v>
      </c>
      <c r="C72" s="2224" t="s">
        <v>54</v>
      </c>
      <c r="D72" s="2224"/>
      <c r="E72" s="2870"/>
      <c r="F72" s="2224"/>
      <c r="G72" s="2866"/>
      <c r="H72" s="2867"/>
    </row>
    <row r="73" spans="2:8" x14ac:dyDescent="0.3">
      <c r="B73" s="2870"/>
      <c r="C73" s="2224" t="s">
        <v>1443</v>
      </c>
      <c r="D73" s="2224"/>
      <c r="E73" s="2870" t="s">
        <v>161</v>
      </c>
      <c r="F73" s="2963">
        <v>1.67</v>
      </c>
      <c r="G73" s="2866">
        <v>206500</v>
      </c>
      <c r="H73" s="2867">
        <v>176790</v>
      </c>
    </row>
    <row r="74" spans="2:8" x14ac:dyDescent="0.3">
      <c r="B74" s="2870"/>
      <c r="C74" s="2224" t="s">
        <v>166</v>
      </c>
      <c r="D74" s="2224"/>
      <c r="E74" s="2870" t="s">
        <v>89</v>
      </c>
      <c r="F74" s="2963">
        <v>4.8</v>
      </c>
      <c r="G74" s="2866">
        <f>BAHAN!G45</f>
        <v>2000</v>
      </c>
      <c r="H74" s="2867">
        <v>7680</v>
      </c>
    </row>
    <row r="75" spans="2:8" x14ac:dyDescent="0.3">
      <c r="B75" s="2870"/>
      <c r="C75" s="2224" t="s">
        <v>56</v>
      </c>
      <c r="D75" s="2224"/>
      <c r="E75" s="2870" t="s">
        <v>1444</v>
      </c>
      <c r="F75" s="2963">
        <v>8.0000000000000002E-3</v>
      </c>
      <c r="G75" s="2866">
        <f>BAHAN!G22</f>
        <v>208000</v>
      </c>
      <c r="H75" s="2867">
        <v>2144.8000000000002</v>
      </c>
    </row>
    <row r="76" spans="2:8" x14ac:dyDescent="0.3">
      <c r="B76" s="2870"/>
      <c r="C76" s="2224"/>
      <c r="D76" s="2224"/>
      <c r="E76" s="2870"/>
      <c r="F76" s="2224" t="s">
        <v>59</v>
      </c>
      <c r="G76" s="2866"/>
      <c r="H76" s="2867">
        <v>186614.8</v>
      </c>
    </row>
    <row r="77" spans="2:8" x14ac:dyDescent="0.3">
      <c r="B77" s="2870" t="s">
        <v>5</v>
      </c>
      <c r="C77" s="2224" t="s">
        <v>1438</v>
      </c>
      <c r="D77" s="2224"/>
      <c r="E77" s="2870"/>
      <c r="F77" s="2224"/>
      <c r="G77" s="2866"/>
      <c r="H77" s="2867">
        <v>231914.8</v>
      </c>
    </row>
    <row r="78" spans="2:8" x14ac:dyDescent="0.3">
      <c r="B78" s="2870" t="s">
        <v>6</v>
      </c>
      <c r="C78" s="2224" t="s">
        <v>1439</v>
      </c>
      <c r="D78" s="2224"/>
      <c r="E78" s="2870"/>
      <c r="F78" s="2224" t="s">
        <v>1440</v>
      </c>
      <c r="G78" s="2866"/>
      <c r="H78" s="2867">
        <v>34787.219999999994</v>
      </c>
    </row>
    <row r="79" spans="2:8" s="2845" customFormat="1" ht="15" x14ac:dyDescent="0.2">
      <c r="B79" s="2960" t="s">
        <v>7</v>
      </c>
      <c r="C79" s="2225" t="s">
        <v>1441</v>
      </c>
      <c r="D79" s="2225"/>
      <c r="E79" s="2960"/>
      <c r="F79" s="2225"/>
      <c r="G79" s="2961"/>
      <c r="H79" s="2962">
        <v>266702.02</v>
      </c>
    </row>
  </sheetData>
  <mergeCells count="13">
    <mergeCell ref="C61:G61"/>
    <mergeCell ref="C44:G44"/>
    <mergeCell ref="F52:G52"/>
    <mergeCell ref="F54:G54"/>
    <mergeCell ref="C59:G59"/>
    <mergeCell ref="C60:E60"/>
    <mergeCell ref="F60:G60"/>
    <mergeCell ref="B2:H3"/>
    <mergeCell ref="F35:G35"/>
    <mergeCell ref="F37:G37"/>
    <mergeCell ref="C42:G42"/>
    <mergeCell ref="C43:E43"/>
    <mergeCell ref="F43:G43"/>
  </mergeCells>
  <printOptions horizontalCentered="1"/>
  <pageMargins left="0.5" right="0.25" top="0.75" bottom="0" header="0" footer="0"/>
  <pageSetup paperSize="9" scale="80" orientation="portrait" horizontalDpi="4294967293" r:id="rId1"/>
  <headerFooter>
    <oddFooter>&amp;RPage &amp;P</oddFooter>
  </headerFooter>
  <rowBreaks count="1" manualBreakCount="1">
    <brk id="46" min="1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"/>
  <sheetViews>
    <sheetView showGridLines="0" tabSelected="1" view="pageBreakPreview" topLeftCell="A7" zoomScale="90" zoomScaleNormal="70" zoomScaleSheetLayoutView="90" workbookViewId="0">
      <pane ySplit="900" topLeftCell="A25" activePane="bottomLeft"/>
      <selection activeCell="L8" sqref="L8"/>
      <selection pane="bottomLeft" activeCell="M31" sqref="M31"/>
    </sheetView>
  </sheetViews>
  <sheetFormatPr defaultColWidth="8.7109375" defaultRowHeight="16.5" x14ac:dyDescent="0.2"/>
  <cols>
    <col min="1" max="1" width="4.5703125" style="1196" customWidth="1"/>
    <col min="2" max="2" width="4.5703125" style="1259" customWidth="1"/>
    <col min="3" max="3" width="2.28515625" style="1205" customWidth="1"/>
    <col min="4" max="4" width="6.42578125" style="1205" customWidth="1"/>
    <col min="5" max="5" width="48.42578125" style="1205" customWidth="1"/>
    <col min="6" max="6" width="11.7109375" style="1206" customWidth="1"/>
    <col min="7" max="7" width="6.5703125" style="1204" customWidth="1"/>
    <col min="8" max="8" width="16.85546875" style="1207" customWidth="1"/>
    <col min="9" max="9" width="18.28515625" style="1208" customWidth="1"/>
    <col min="10" max="10" width="20.7109375" style="1260" customWidth="1"/>
    <col min="11" max="11" width="4.85546875" style="1209" customWidth="1"/>
    <col min="12" max="12" width="20.28515625" style="1202" customWidth="1"/>
    <col min="13" max="13" width="18.140625" style="1196" customWidth="1"/>
    <col min="14" max="14" width="10.42578125" style="1196" bestFit="1" customWidth="1"/>
    <col min="15" max="15" width="8.7109375" style="1196"/>
    <col min="16" max="16" width="11.5703125" style="1196" bestFit="1" customWidth="1"/>
    <col min="17" max="16384" width="8.7109375" style="1196"/>
  </cols>
  <sheetData>
    <row r="1" spans="2:12" ht="15" customHeight="1" x14ac:dyDescent="0.2">
      <c r="B1" s="1204"/>
      <c r="J1" s="1208"/>
    </row>
    <row r="2" spans="2:12" ht="22.5" x14ac:dyDescent="0.2">
      <c r="B2" s="3028" t="s">
        <v>1404</v>
      </c>
      <c r="C2" s="3028"/>
      <c r="D2" s="3028"/>
      <c r="E2" s="3028"/>
      <c r="F2" s="3028"/>
      <c r="G2" s="3028"/>
      <c r="H2" s="3028"/>
      <c r="I2" s="3028"/>
      <c r="J2" s="3028"/>
      <c r="K2" s="1203"/>
    </row>
    <row r="3" spans="2:12" ht="17.100000000000001" customHeight="1" x14ac:dyDescent="0.2">
      <c r="B3" s="1210" t="s">
        <v>198</v>
      </c>
      <c r="E3" s="1205" t="s">
        <v>1480</v>
      </c>
      <c r="F3" s="1205"/>
      <c r="G3" s="1205"/>
      <c r="H3" s="1211"/>
      <c r="I3" s="1205"/>
      <c r="J3" s="1205"/>
    </row>
    <row r="4" spans="2:12" ht="17.100000000000001" customHeight="1" x14ac:dyDescent="0.2">
      <c r="B4" s="1210" t="s">
        <v>199</v>
      </c>
      <c r="E4" s="1205" t="s">
        <v>1481</v>
      </c>
      <c r="F4" s="1212"/>
      <c r="G4" s="1213"/>
      <c r="J4" s="1208"/>
    </row>
    <row r="5" spans="2:12" ht="17.100000000000001" customHeight="1" x14ac:dyDescent="0.2">
      <c r="B5" s="1210" t="s">
        <v>230</v>
      </c>
      <c r="E5" s="1205" t="s">
        <v>1310</v>
      </c>
      <c r="F5" s="1212"/>
      <c r="G5" s="1213"/>
      <c r="J5" s="1208"/>
    </row>
    <row r="6" spans="2:12" ht="6.75" customHeight="1" thickBot="1" x14ac:dyDescent="0.25">
      <c r="B6" s="1214"/>
      <c r="C6" s="1215"/>
      <c r="D6" s="1261"/>
      <c r="E6" s="1215"/>
      <c r="F6" s="1216"/>
      <c r="G6" s="1217"/>
      <c r="H6" s="1218"/>
      <c r="I6" s="1219"/>
      <c r="J6" s="1219"/>
    </row>
    <row r="7" spans="2:12" ht="18" customHeight="1" thickTop="1" x14ac:dyDescent="0.2">
      <c r="B7" s="3029" t="s">
        <v>171</v>
      </c>
      <c r="C7" s="3031" t="s">
        <v>200</v>
      </c>
      <c r="D7" s="3032"/>
      <c r="E7" s="3033"/>
      <c r="F7" s="3037" t="s">
        <v>126</v>
      </c>
      <c r="G7" s="3039" t="s">
        <v>201</v>
      </c>
      <c r="H7" s="3041" t="s">
        <v>136</v>
      </c>
      <c r="I7" s="2299" t="s">
        <v>127</v>
      </c>
      <c r="J7" s="2300" t="s">
        <v>124</v>
      </c>
      <c r="K7" s="1201"/>
    </row>
    <row r="8" spans="2:12" ht="18" customHeight="1" x14ac:dyDescent="0.2">
      <c r="B8" s="3030"/>
      <c r="C8" s="3034"/>
      <c r="D8" s="3035"/>
      <c r="E8" s="3036"/>
      <c r="F8" s="3038"/>
      <c r="G8" s="3040"/>
      <c r="H8" s="3042"/>
      <c r="I8" s="2301" t="s">
        <v>125</v>
      </c>
      <c r="J8" s="2302" t="s">
        <v>125</v>
      </c>
      <c r="K8" s="1201"/>
    </row>
    <row r="9" spans="2:12" s="1225" customFormat="1" ht="14.25" customHeight="1" thickBot="1" x14ac:dyDescent="0.25">
      <c r="B9" s="1220">
        <v>1</v>
      </c>
      <c r="C9" s="3025">
        <v>2</v>
      </c>
      <c r="D9" s="3026"/>
      <c r="E9" s="3027"/>
      <c r="F9" s="1221">
        <v>3</v>
      </c>
      <c r="G9" s="1221">
        <v>4</v>
      </c>
      <c r="H9" s="1221">
        <v>5</v>
      </c>
      <c r="I9" s="1222">
        <v>6</v>
      </c>
      <c r="J9" s="1223">
        <v>7</v>
      </c>
      <c r="K9" s="1224"/>
      <c r="L9" s="1226"/>
    </row>
    <row r="10" spans="2:12" s="1228" customFormat="1" x14ac:dyDescent="0.2">
      <c r="B10" s="2303" t="s">
        <v>41</v>
      </c>
      <c r="C10" s="2304" t="s">
        <v>138</v>
      </c>
      <c r="D10" s="2305"/>
      <c r="E10" s="2306"/>
      <c r="F10" s="2307"/>
      <c r="G10" s="2308"/>
      <c r="H10" s="2309"/>
      <c r="I10" s="2310"/>
      <c r="J10" s="2311"/>
      <c r="K10" s="1227"/>
      <c r="L10" s="1229"/>
    </row>
    <row r="11" spans="2:12" ht="17.100000000000001" customHeight="1" x14ac:dyDescent="0.2">
      <c r="B11" s="1230">
        <v>1</v>
      </c>
      <c r="C11" s="1231" t="s">
        <v>1474</v>
      </c>
      <c r="D11" s="1267"/>
      <c r="E11" s="1268"/>
      <c r="F11" s="1232">
        <v>1</v>
      </c>
      <c r="G11" s="1232" t="s">
        <v>1</v>
      </c>
      <c r="H11" s="1233" t="s">
        <v>1376</v>
      </c>
      <c r="I11" s="1183">
        <v>1500000</v>
      </c>
      <c r="J11" s="1184">
        <f t="shared" ref="J11:J14" si="0">I11*F11</f>
        <v>1500000</v>
      </c>
      <c r="K11" s="1234"/>
    </row>
    <row r="12" spans="2:12" s="1186" customFormat="1" ht="17.100000000000001" customHeight="1" x14ac:dyDescent="0.2">
      <c r="B12" s="1230">
        <v>2</v>
      </c>
      <c r="C12" s="1235" t="s">
        <v>1475</v>
      </c>
      <c r="D12" s="1262"/>
      <c r="E12" s="1236"/>
      <c r="F12" s="1237">
        <v>1</v>
      </c>
      <c r="G12" s="1237" t="s">
        <v>1</v>
      </c>
      <c r="H12" s="1233" t="str">
        <f>'R.Anl'!B62</f>
        <v>ANS.01</v>
      </c>
      <c r="I12" s="1183">
        <f>VLOOKUP(H12,'R.Anl'!B:D,3,FALSE)</f>
        <v>23215860</v>
      </c>
      <c r="J12" s="1185">
        <f t="shared" si="0"/>
        <v>23215860</v>
      </c>
      <c r="K12" s="1239"/>
      <c r="L12" s="1192"/>
    </row>
    <row r="13" spans="2:12" s="1186" customFormat="1" ht="17.100000000000001" customHeight="1" x14ac:dyDescent="0.2">
      <c r="B13" s="1230">
        <v>3</v>
      </c>
      <c r="C13" s="1240" t="s">
        <v>1502</v>
      </c>
      <c r="D13" s="1262"/>
      <c r="E13" s="1236"/>
      <c r="F13" s="1237">
        <v>1</v>
      </c>
      <c r="G13" s="1237" t="s">
        <v>1</v>
      </c>
      <c r="H13" s="1233" t="str">
        <f>'R.Anl'!B76</f>
        <v>Dihitung 8</v>
      </c>
      <c r="I13" s="1183">
        <f>VLOOKUP(H13,'R.Anl'!B:D,3,FALSE)</f>
        <v>17710000</v>
      </c>
      <c r="J13" s="1185">
        <f t="shared" ref="J13" si="1">I13*F13</f>
        <v>17710000</v>
      </c>
      <c r="K13" s="1239"/>
      <c r="L13" s="1192"/>
    </row>
    <row r="14" spans="2:12" ht="17.100000000000001" customHeight="1" thickBot="1" x14ac:dyDescent="0.25">
      <c r="B14" s="1230">
        <v>4</v>
      </c>
      <c r="C14" s="1240" t="s">
        <v>724</v>
      </c>
      <c r="D14" s="1262"/>
      <c r="E14" s="1236"/>
      <c r="F14" s="1237">
        <v>1</v>
      </c>
      <c r="G14" s="1237" t="str">
        <f>V.1!U22</f>
        <v>Ls</v>
      </c>
      <c r="H14" s="2351" t="str">
        <f>'R.Anl'!B66</f>
        <v>LA.01</v>
      </c>
      <c r="I14" s="1238">
        <f>VLOOKUP(H14,'R.Anl'!B:D,3,FALSE)</f>
        <v>29450000</v>
      </c>
      <c r="J14" s="1185">
        <f t="shared" si="0"/>
        <v>29450000</v>
      </c>
      <c r="K14" s="1234"/>
      <c r="L14" s="1192"/>
    </row>
    <row r="15" spans="2:12" s="1186" customFormat="1" ht="17.25" thickBot="1" x14ac:dyDescent="0.25">
      <c r="B15" s="1241"/>
      <c r="C15" s="1242"/>
      <c r="D15" s="1263"/>
      <c r="E15" s="1243"/>
      <c r="F15" s="3021" t="s">
        <v>202</v>
      </c>
      <c r="G15" s="3021"/>
      <c r="H15" s="3021"/>
      <c r="I15" s="3022"/>
      <c r="J15" s="1200">
        <f>SUM(J11:J14)</f>
        <v>71875860</v>
      </c>
      <c r="K15" s="1244"/>
      <c r="L15" s="1192"/>
    </row>
    <row r="16" spans="2:12" s="1186" customFormat="1" x14ac:dyDescent="0.2">
      <c r="B16" s="2312" t="s">
        <v>53</v>
      </c>
      <c r="C16" s="2313" t="s">
        <v>1476</v>
      </c>
      <c r="D16" s="2314"/>
      <c r="E16" s="2315"/>
      <c r="F16" s="2328"/>
      <c r="G16" s="2328"/>
      <c r="H16" s="2328"/>
      <c r="I16" s="2328"/>
      <c r="J16" s="2329"/>
      <c r="K16" s="1244"/>
      <c r="L16" s="1192"/>
    </row>
    <row r="17" spans="2:12" s="1186" customFormat="1" x14ac:dyDescent="0.2">
      <c r="B17" s="1248">
        <v>1</v>
      </c>
      <c r="C17" s="2247" t="s">
        <v>1477</v>
      </c>
      <c r="D17" s="2324"/>
      <c r="E17" s="2325"/>
      <c r="F17" s="2326">
        <v>1542.6799999999998</v>
      </c>
      <c r="G17" s="2327" t="s">
        <v>1479</v>
      </c>
      <c r="H17" s="1233" t="s">
        <v>1375</v>
      </c>
      <c r="I17" s="1183">
        <f>BAHAN!G12</f>
        <v>35000</v>
      </c>
      <c r="J17" s="1185">
        <f t="shared" ref="J17:J18" si="2">I17*F17</f>
        <v>53993799.999999993</v>
      </c>
      <c r="K17" s="1244"/>
      <c r="L17" s="1192"/>
    </row>
    <row r="18" spans="2:12" s="1186" customFormat="1" ht="17.25" thickBot="1" x14ac:dyDescent="0.25">
      <c r="B18" s="1248">
        <f>B17+1</f>
        <v>2</v>
      </c>
      <c r="C18" s="1252" t="s">
        <v>1478</v>
      </c>
      <c r="D18" s="2324"/>
      <c r="E18" s="2325"/>
      <c r="F18" s="2326">
        <v>1051.05</v>
      </c>
      <c r="G18" s="2327" t="s">
        <v>1479</v>
      </c>
      <c r="H18" s="1233" t="s">
        <v>1375</v>
      </c>
      <c r="I18" s="1183">
        <f>BAHAN!G12</f>
        <v>35000</v>
      </c>
      <c r="J18" s="1185">
        <f t="shared" si="2"/>
        <v>36786750</v>
      </c>
      <c r="K18" s="1244"/>
      <c r="L18" s="1192"/>
    </row>
    <row r="19" spans="2:12" s="1186" customFormat="1" ht="17.25" thickBot="1" x14ac:dyDescent="0.25">
      <c r="B19" s="2297"/>
      <c r="C19" s="2321"/>
      <c r="D19" s="2322"/>
      <c r="E19" s="2323"/>
      <c r="F19" s="3021" t="s">
        <v>1353</v>
      </c>
      <c r="G19" s="3021"/>
      <c r="H19" s="3021"/>
      <c r="I19" s="3022"/>
      <c r="J19" s="2298">
        <f>SUM(J17:J18)</f>
        <v>90780550</v>
      </c>
      <c r="K19" s="1244"/>
      <c r="L19" s="1192"/>
    </row>
    <row r="20" spans="2:12" s="1246" customFormat="1" ht="17.100000000000001" customHeight="1" x14ac:dyDescent="0.2">
      <c r="B20" s="2312" t="s">
        <v>5</v>
      </c>
      <c r="C20" s="2313" t="s">
        <v>1570</v>
      </c>
      <c r="D20" s="2314"/>
      <c r="E20" s="2315"/>
      <c r="F20" s="2316"/>
      <c r="G20" s="2317"/>
      <c r="H20" s="2309"/>
      <c r="I20" s="2310"/>
      <c r="J20" s="2318"/>
      <c r="K20" s="1245"/>
      <c r="L20" s="1247"/>
    </row>
    <row r="21" spans="2:12" s="1246" customFormat="1" ht="17.100000000000001" customHeight="1" x14ac:dyDescent="0.2">
      <c r="B21" s="2987" t="s">
        <v>1544</v>
      </c>
      <c r="C21" s="2988" t="s">
        <v>1571</v>
      </c>
      <c r="D21" s="2989"/>
      <c r="E21" s="2990"/>
      <c r="F21" s="2991"/>
      <c r="G21" s="2992"/>
      <c r="H21" s="2993"/>
      <c r="I21" s="2994"/>
      <c r="J21" s="2995"/>
      <c r="K21" s="1245"/>
      <c r="L21" s="1247"/>
    </row>
    <row r="22" spans="2:12" ht="17.100000000000001" customHeight="1" x14ac:dyDescent="0.2">
      <c r="B22" s="1248">
        <v>1</v>
      </c>
      <c r="C22" s="2247" t="s">
        <v>1568</v>
      </c>
      <c r="D22" s="2248"/>
      <c r="E22" s="2245"/>
      <c r="F22" s="1249">
        <v>1542.6799999999998</v>
      </c>
      <c r="G22" s="2327" t="s">
        <v>1479</v>
      </c>
      <c r="H22" s="1233" t="str">
        <f>'R.Anl'!B52</f>
        <v>A.4.5.2.32 A</v>
      </c>
      <c r="I22" s="1183">
        <f>VLOOKUP(H22,'R.Anl'!B:D,3,FALSE)</f>
        <v>334003.7</v>
      </c>
      <c r="J22" s="1185">
        <f t="shared" ref="J22:J27" si="3">I22*F22</f>
        <v>515260827.91599995</v>
      </c>
      <c r="K22" s="1250"/>
    </row>
    <row r="23" spans="2:12" ht="17.100000000000001" customHeight="1" x14ac:dyDescent="0.2">
      <c r="B23" s="1251">
        <v>2</v>
      </c>
      <c r="C23" s="2247" t="s">
        <v>1484</v>
      </c>
      <c r="D23" s="1264"/>
      <c r="E23" s="1253"/>
      <c r="F23" s="1249">
        <v>23.55</v>
      </c>
      <c r="G23" s="2249" t="s">
        <v>27</v>
      </c>
      <c r="H23" s="1233" t="str">
        <f>'R.Anl'!B53</f>
        <v>A.4.5.2.36 A</v>
      </c>
      <c r="I23" s="1183">
        <f>VLOOKUP(H23,'R.Anl'!B:D,3,FALSE)</f>
        <v>114856.25</v>
      </c>
      <c r="J23" s="1185">
        <f t="shared" si="3"/>
        <v>2704864.6875</v>
      </c>
      <c r="K23" s="1250"/>
    </row>
    <row r="24" spans="2:12" ht="17.100000000000001" customHeight="1" x14ac:dyDescent="0.2">
      <c r="B24" s="1248">
        <v>3</v>
      </c>
      <c r="C24" s="2247" t="s">
        <v>1546</v>
      </c>
      <c r="D24" s="1264"/>
      <c r="E24" s="1253"/>
      <c r="F24" s="1249">
        <v>178.3</v>
      </c>
      <c r="G24" s="2249" t="s">
        <v>27</v>
      </c>
      <c r="H24" s="1233" t="str">
        <f>'R.Anl'!B54</f>
        <v>A.4.6.1.22 A</v>
      </c>
      <c r="I24" s="1183">
        <f>VLOOKUP(H24,'R.Anl'!B:D,3,FALSE)</f>
        <v>115132.25</v>
      </c>
      <c r="J24" s="1185">
        <f t="shared" ref="J24" si="4">I24*F24</f>
        <v>20528080.175000001</v>
      </c>
      <c r="K24" s="1250"/>
    </row>
    <row r="25" spans="2:12" ht="17.100000000000001" customHeight="1" x14ac:dyDescent="0.2">
      <c r="B25" s="1251">
        <v>4</v>
      </c>
      <c r="C25" s="2247" t="s">
        <v>1495</v>
      </c>
      <c r="D25" s="1264"/>
      <c r="E25" s="1253"/>
      <c r="F25" s="1249">
        <v>96.7</v>
      </c>
      <c r="G25" s="2249" t="s">
        <v>27</v>
      </c>
      <c r="H25" s="1233" t="str">
        <f>'R.Anl'!B42</f>
        <v>A.4.2.1.19</v>
      </c>
      <c r="I25" s="1183">
        <f>VLOOKUP(H25,'R.Anl'!B:D,3,FALSE)</f>
        <v>206760.22500000001</v>
      </c>
      <c r="J25" s="1185">
        <f t="shared" si="3"/>
        <v>19993713.7575</v>
      </c>
      <c r="K25" s="1250"/>
    </row>
    <row r="26" spans="2:12" ht="17.100000000000001" customHeight="1" x14ac:dyDescent="0.2">
      <c r="B26" s="2987" t="s">
        <v>1545</v>
      </c>
      <c r="C26" s="2988" t="s">
        <v>1569</v>
      </c>
      <c r="D26" s="2989"/>
      <c r="E26" s="2990"/>
      <c r="F26" s="2991"/>
      <c r="G26" s="2992"/>
      <c r="H26" s="2993"/>
      <c r="I26" s="2994"/>
      <c r="J26" s="2995"/>
      <c r="K26" s="1250"/>
    </row>
    <row r="27" spans="2:12" s="2999" customFormat="1" ht="17.100000000000001" customHeight="1" x14ac:dyDescent="0.2">
      <c r="B27" s="1248">
        <v>1</v>
      </c>
      <c r="C27" s="2247" t="s">
        <v>1527</v>
      </c>
      <c r="D27" s="1264"/>
      <c r="E27" s="1253"/>
      <c r="F27" s="1249">
        <v>1051.05</v>
      </c>
      <c r="G27" s="2327" t="s">
        <v>1479</v>
      </c>
      <c r="H27" s="1233" t="str">
        <f>'R.Anl'!B73</f>
        <v>Dihitung 5</v>
      </c>
      <c r="I27" s="1183">
        <f>VLOOKUP(H27,'R.Anl'!B:D,3,FALSE)</f>
        <v>203550</v>
      </c>
      <c r="J27" s="1185">
        <f t="shared" si="3"/>
        <v>213941227.5</v>
      </c>
      <c r="K27" s="2997"/>
      <c r="L27" s="2998"/>
    </row>
    <row r="28" spans="2:12" s="2999" customFormat="1" ht="17.100000000000001" customHeight="1" thickBot="1" x14ac:dyDescent="0.25">
      <c r="B28" s="1251">
        <v>2</v>
      </c>
      <c r="C28" s="2247" t="s">
        <v>1528</v>
      </c>
      <c r="D28" s="1264"/>
      <c r="E28" s="1253"/>
      <c r="F28" s="1249">
        <v>84.084000000000003</v>
      </c>
      <c r="G28" s="2327" t="s">
        <v>1479</v>
      </c>
      <c r="H28" s="1233" t="str">
        <f>'R.Anl'!B74</f>
        <v>Dihitung 6</v>
      </c>
      <c r="I28" s="1183">
        <f>VLOOKUP(H28,'R.Anl'!B:D,3,FALSE)</f>
        <v>1007078</v>
      </c>
      <c r="J28" s="1185">
        <f t="shared" ref="J28" si="5">I28*F28</f>
        <v>84679146.552000001</v>
      </c>
      <c r="K28" s="2997"/>
      <c r="L28" s="2998"/>
    </row>
    <row r="29" spans="2:12" ht="17.25" thickBot="1" x14ac:dyDescent="0.25">
      <c r="B29" s="1197"/>
      <c r="C29" s="1254"/>
      <c r="D29" s="1265"/>
      <c r="E29" s="1255"/>
      <c r="F29" s="3021" t="s">
        <v>1354</v>
      </c>
      <c r="G29" s="3021"/>
      <c r="H29" s="3021"/>
      <c r="I29" s="3022"/>
      <c r="J29" s="1200">
        <f>SUM(J21:J28)</f>
        <v>857107860.58800006</v>
      </c>
      <c r="K29" s="1201"/>
    </row>
    <row r="30" spans="2:12" s="1228" customFormat="1" x14ac:dyDescent="0.2">
      <c r="B30" s="2312" t="s">
        <v>6</v>
      </c>
      <c r="C30" s="2313" t="s">
        <v>1494</v>
      </c>
      <c r="D30" s="2314"/>
      <c r="E30" s="2315"/>
      <c r="F30" s="2319"/>
      <c r="G30" s="2308"/>
      <c r="H30" s="2320"/>
      <c r="I30" s="2310"/>
      <c r="J30" s="2311"/>
      <c r="K30" s="1256"/>
      <c r="L30" s="1229"/>
    </row>
    <row r="31" spans="2:12" x14ac:dyDescent="0.2">
      <c r="B31" s="1248">
        <v>1</v>
      </c>
      <c r="C31" s="2950" t="s">
        <v>1501</v>
      </c>
      <c r="D31" s="2951"/>
      <c r="E31" s="2245"/>
      <c r="F31" s="1182">
        <v>387</v>
      </c>
      <c r="G31" s="2327" t="s">
        <v>1479</v>
      </c>
      <c r="H31" s="1233" t="str">
        <f>'R.Anl'!B75</f>
        <v>Dihitung 7</v>
      </c>
      <c r="I31" s="1183">
        <f>VLOOKUP(H31,'R.Anl'!B:D,3,FALSE)</f>
        <v>206908</v>
      </c>
      <c r="J31" s="1185">
        <f t="shared" ref="J31:J35" si="6">I31*F31</f>
        <v>80073396</v>
      </c>
      <c r="K31" s="1250"/>
    </row>
    <row r="32" spans="2:12" x14ac:dyDescent="0.2">
      <c r="B32" s="1248">
        <v>2</v>
      </c>
      <c r="C32" s="2950" t="s">
        <v>1530</v>
      </c>
      <c r="D32" s="2951"/>
      <c r="E32" s="2245"/>
      <c r="F32" s="1182">
        <v>387</v>
      </c>
      <c r="G32" s="2327" t="s">
        <v>1479</v>
      </c>
      <c r="H32" s="1233" t="str">
        <f>'R.Anl'!B72</f>
        <v>Dihitung 2</v>
      </c>
      <c r="I32" s="1183">
        <f>VLOOKUP(H32,'R.Anl'!B:D,3,FALSE)</f>
        <v>125892.03</v>
      </c>
      <c r="J32" s="1185">
        <f t="shared" ref="J32" si="7">I32*F32</f>
        <v>48720215.609999999</v>
      </c>
      <c r="K32" s="1250"/>
    </row>
    <row r="33" spans="1:12" x14ac:dyDescent="0.2">
      <c r="B33" s="1248">
        <v>3</v>
      </c>
      <c r="C33" s="1252" t="s">
        <v>1532</v>
      </c>
      <c r="D33" s="1264"/>
      <c r="E33" s="1253"/>
      <c r="F33" s="1182">
        <v>180</v>
      </c>
      <c r="G33" s="2249" t="s">
        <v>27</v>
      </c>
      <c r="H33" s="1233" t="str">
        <f>'R.Anl'!B57</f>
        <v>A.5.1.1.32A</v>
      </c>
      <c r="I33" s="1183">
        <f>VLOOKUP(H33,'R.Anl'!B:D,3,FALSE)</f>
        <v>268165.625</v>
      </c>
      <c r="J33" s="1185">
        <f t="shared" si="6"/>
        <v>48269812.5</v>
      </c>
      <c r="K33" s="1250"/>
    </row>
    <row r="34" spans="1:12" x14ac:dyDescent="0.2">
      <c r="B34" s="1248">
        <v>4</v>
      </c>
      <c r="C34" s="1252" t="s">
        <v>1574</v>
      </c>
      <c r="D34" s="1264"/>
      <c r="E34" s="1253"/>
      <c r="F34" s="1182">
        <v>90</v>
      </c>
      <c r="G34" s="2327" t="s">
        <v>1479</v>
      </c>
      <c r="H34" s="1233" t="str">
        <f>'R.Anl'!B77</f>
        <v>Dihitung 9</v>
      </c>
      <c r="I34" s="1183">
        <f>VLOOKUP(H34,'R.Anl'!B:D,3,FALSE)</f>
        <v>357993.85</v>
      </c>
      <c r="J34" s="1185">
        <f t="shared" ref="J34" si="8">I34*F34</f>
        <v>32219446.499999996</v>
      </c>
      <c r="K34" s="1250"/>
    </row>
    <row r="35" spans="1:12" x14ac:dyDescent="0.2">
      <c r="B35" s="1248">
        <v>5</v>
      </c>
      <c r="C35" s="1252" t="s">
        <v>1531</v>
      </c>
      <c r="D35" s="1264"/>
      <c r="E35" s="1253"/>
      <c r="F35" s="1182">
        <v>12</v>
      </c>
      <c r="G35" s="2249" t="s">
        <v>9</v>
      </c>
      <c r="H35" s="1233" t="str">
        <f>'R.Anl'!B58</f>
        <v>A.5.1.1.14A</v>
      </c>
      <c r="I35" s="1183">
        <f>VLOOKUP(H35,'R.Anl'!B:D,3,FALSE)</f>
        <v>179400</v>
      </c>
      <c r="J35" s="1185">
        <f t="shared" si="6"/>
        <v>2152800</v>
      </c>
      <c r="K35" s="1250"/>
    </row>
    <row r="36" spans="1:12" x14ac:dyDescent="0.2">
      <c r="B36" s="1248">
        <v>6</v>
      </c>
      <c r="C36" s="1252" t="s">
        <v>1573</v>
      </c>
      <c r="D36" s="1264"/>
      <c r="E36" s="1253"/>
      <c r="F36" s="1182">
        <v>821.31999999999994</v>
      </c>
      <c r="G36" s="2327" t="s">
        <v>1479</v>
      </c>
      <c r="H36" s="1233" t="str">
        <f>'R.Anl'!B71</f>
        <v>Dihitung 1</v>
      </c>
      <c r="I36" s="1183">
        <f>VLOOKUP(H36,'R.Anl'!B:D,3,FALSE)</f>
        <v>72933</v>
      </c>
      <c r="J36" s="1185">
        <f t="shared" ref="J36:J37" si="9">I36*F36</f>
        <v>59901331.559999995</v>
      </c>
      <c r="K36" s="1250"/>
    </row>
    <row r="37" spans="1:12" ht="17.25" thickBot="1" x14ac:dyDescent="0.25">
      <c r="B37" s="1248">
        <v>7</v>
      </c>
      <c r="C37" s="1252" t="s">
        <v>1572</v>
      </c>
      <c r="D37" s="1264"/>
      <c r="E37" s="1253"/>
      <c r="F37" s="1182">
        <v>1</v>
      </c>
      <c r="G37" s="2249" t="s">
        <v>837</v>
      </c>
      <c r="H37" s="1233" t="s">
        <v>1376</v>
      </c>
      <c r="I37" s="1183">
        <v>8850000</v>
      </c>
      <c r="J37" s="1185">
        <f t="shared" si="9"/>
        <v>8850000</v>
      </c>
      <c r="K37" s="1250"/>
    </row>
    <row r="38" spans="1:12" ht="17.25" thickBot="1" x14ac:dyDescent="0.25">
      <c r="B38" s="1197"/>
      <c r="C38" s="1198"/>
      <c r="D38" s="1266"/>
      <c r="E38" s="1199"/>
      <c r="F38" s="3021" t="s">
        <v>1355</v>
      </c>
      <c r="G38" s="3021"/>
      <c r="H38" s="3021"/>
      <c r="I38" s="3022"/>
      <c r="J38" s="1200">
        <f>SUM(J31:J37)</f>
        <v>280187002.17000002</v>
      </c>
      <c r="K38" s="1201"/>
    </row>
    <row r="39" spans="1:12" s="1186" customFormat="1" ht="21" customHeight="1" thickBot="1" x14ac:dyDescent="0.25">
      <c r="B39" s="1194"/>
      <c r="C39" s="1187"/>
      <c r="D39" s="1195"/>
      <c r="E39" s="1187"/>
      <c r="F39" s="1188"/>
      <c r="G39" s="1189"/>
      <c r="H39" s="3023" t="s">
        <v>225</v>
      </c>
      <c r="I39" s="3024"/>
      <c r="J39" s="1190">
        <f>SUM(J10:J38)/2</f>
        <v>1299951272.7579999</v>
      </c>
      <c r="K39" s="1191"/>
      <c r="L39" s="1192"/>
    </row>
    <row r="40" spans="1:12" ht="17.25" thickTop="1" x14ac:dyDescent="0.2">
      <c r="A40" s="1257"/>
      <c r="B40" s="1204"/>
      <c r="J40" s="1208"/>
      <c r="K40" s="1250"/>
      <c r="L40" s="1258"/>
    </row>
    <row r="41" spans="1:12" x14ac:dyDescent="0.2">
      <c r="A41" s="1257"/>
      <c r="B41" s="1204"/>
      <c r="I41" s="2151"/>
      <c r="J41" s="1208"/>
      <c r="K41" s="1250"/>
      <c r="L41" s="1258"/>
    </row>
    <row r="42" spans="1:12" x14ac:dyDescent="0.2">
      <c r="A42" s="1257"/>
      <c r="B42" s="1204"/>
      <c r="I42" s="2151"/>
      <c r="J42" s="1208"/>
      <c r="K42" s="1250"/>
      <c r="L42" s="1258"/>
    </row>
    <row r="43" spans="1:12" x14ac:dyDescent="0.2">
      <c r="A43" s="1257"/>
      <c r="B43" s="1204"/>
      <c r="I43" s="2151"/>
      <c r="J43" s="1208"/>
      <c r="K43" s="1250"/>
      <c r="L43" s="1258"/>
    </row>
    <row r="44" spans="1:12" x14ac:dyDescent="0.2">
      <c r="A44" s="1257"/>
      <c r="B44" s="1204"/>
      <c r="I44" s="2152"/>
      <c r="J44" s="1208"/>
      <c r="K44" s="1250"/>
      <c r="L44" s="1258"/>
    </row>
    <row r="45" spans="1:12" x14ac:dyDescent="0.2">
      <c r="A45" s="1257"/>
      <c r="B45" s="1204"/>
      <c r="I45" s="2151"/>
      <c r="J45" s="1208"/>
      <c r="K45" s="1250"/>
      <c r="L45" s="1258"/>
    </row>
    <row r="46" spans="1:12" x14ac:dyDescent="0.2">
      <c r="A46" s="1257"/>
      <c r="B46" s="1204"/>
      <c r="I46" s="2151"/>
      <c r="J46" s="1208"/>
      <c r="K46" s="1250"/>
      <c r="L46" s="1258"/>
    </row>
    <row r="47" spans="1:12" x14ac:dyDescent="0.2">
      <c r="A47" s="1257"/>
      <c r="B47" s="1204"/>
      <c r="I47" s="2151"/>
      <c r="J47" s="1208"/>
      <c r="K47" s="1250"/>
      <c r="L47" s="1258"/>
    </row>
    <row r="48" spans="1:12" x14ac:dyDescent="0.2">
      <c r="A48" s="1257"/>
      <c r="B48" s="1204"/>
      <c r="I48" s="2153"/>
      <c r="J48" s="1208"/>
      <c r="K48" s="1250"/>
      <c r="L48" s="1258"/>
    </row>
    <row r="49" spans="1:12" x14ac:dyDescent="0.2">
      <c r="A49" s="1257"/>
      <c r="B49" s="1204"/>
      <c r="I49" s="2151"/>
      <c r="J49" s="1208"/>
      <c r="K49" s="1250"/>
      <c r="L49" s="1258"/>
    </row>
    <row r="50" spans="1:12" x14ac:dyDescent="0.2">
      <c r="A50" s="1257"/>
      <c r="B50" s="1204"/>
      <c r="J50" s="1208"/>
      <c r="K50" s="1250"/>
      <c r="L50" s="1258"/>
    </row>
    <row r="51" spans="1:12" x14ac:dyDescent="0.2">
      <c r="A51" s="1257"/>
      <c r="B51" s="1204"/>
      <c r="J51" s="1208"/>
      <c r="K51" s="1250"/>
      <c r="L51" s="1258"/>
    </row>
    <row r="52" spans="1:12" x14ac:dyDescent="0.2">
      <c r="A52" s="1257"/>
      <c r="B52" s="1204"/>
      <c r="J52" s="1208"/>
      <c r="K52" s="1250"/>
      <c r="L52" s="1258"/>
    </row>
    <row r="53" spans="1:12" x14ac:dyDescent="0.2">
      <c r="A53" s="1257"/>
      <c r="B53" s="1204"/>
      <c r="J53" s="1208"/>
      <c r="K53" s="1250"/>
      <c r="L53" s="1258"/>
    </row>
    <row r="54" spans="1:12" x14ac:dyDescent="0.2">
      <c r="A54" s="1257"/>
      <c r="B54" s="1204"/>
      <c r="G54" s="1207"/>
      <c r="J54" s="1208"/>
      <c r="K54" s="1250"/>
      <c r="L54" s="1258"/>
    </row>
    <row r="55" spans="1:12" x14ac:dyDescent="0.2">
      <c r="A55" s="1257"/>
      <c r="B55" s="1204"/>
      <c r="J55" s="1208"/>
      <c r="K55" s="1250"/>
      <c r="L55" s="1258"/>
    </row>
    <row r="56" spans="1:12" x14ac:dyDescent="0.2">
      <c r="A56" s="1257"/>
      <c r="B56" s="1204"/>
      <c r="J56" s="1269"/>
      <c r="K56" s="1250"/>
      <c r="L56" s="1258"/>
    </row>
    <row r="57" spans="1:12" x14ac:dyDescent="0.2">
      <c r="A57" s="1257"/>
      <c r="B57" s="1204"/>
      <c r="J57" s="1208"/>
      <c r="K57" s="1250"/>
      <c r="L57" s="1258"/>
    </row>
    <row r="58" spans="1:12" x14ac:dyDescent="0.2">
      <c r="A58" s="1257"/>
      <c r="B58" s="1204"/>
      <c r="J58" s="1208"/>
      <c r="K58" s="1250"/>
      <c r="L58" s="1258"/>
    </row>
    <row r="59" spans="1:12" x14ac:dyDescent="0.2">
      <c r="A59" s="1257"/>
      <c r="B59" s="1204"/>
      <c r="J59" s="1208"/>
      <c r="K59" s="1250"/>
      <c r="L59" s="1258"/>
    </row>
    <row r="60" spans="1:12" x14ac:dyDescent="0.2">
      <c r="A60" s="1257"/>
      <c r="B60" s="1204"/>
      <c r="J60" s="1208"/>
      <c r="K60" s="1250"/>
      <c r="L60" s="1258"/>
    </row>
    <row r="61" spans="1:12" x14ac:dyDescent="0.2">
      <c r="A61" s="1257"/>
      <c r="B61" s="1204"/>
      <c r="J61" s="1208"/>
      <c r="K61" s="1250"/>
      <c r="L61" s="1258"/>
    </row>
    <row r="62" spans="1:12" x14ac:dyDescent="0.2">
      <c r="A62" s="1257"/>
      <c r="B62" s="1204"/>
      <c r="J62" s="1208"/>
      <c r="K62" s="1250"/>
      <c r="L62" s="1258"/>
    </row>
    <row r="63" spans="1:12" x14ac:dyDescent="0.2">
      <c r="A63" s="1257"/>
      <c r="B63" s="1204"/>
      <c r="J63" s="1208"/>
      <c r="K63" s="1250"/>
      <c r="L63" s="1258"/>
    </row>
    <row r="64" spans="1:12" x14ac:dyDescent="0.2">
      <c r="A64" s="1257"/>
      <c r="B64" s="1204"/>
      <c r="J64" s="1208"/>
      <c r="K64" s="1250"/>
      <c r="L64" s="1258"/>
    </row>
    <row r="65" spans="1:12" x14ac:dyDescent="0.2">
      <c r="A65" s="1257"/>
      <c r="B65" s="1204"/>
      <c r="J65" s="1208"/>
      <c r="K65" s="1250"/>
      <c r="L65" s="1258"/>
    </row>
    <row r="66" spans="1:12" x14ac:dyDescent="0.2">
      <c r="A66" s="1257"/>
      <c r="B66" s="1204"/>
      <c r="J66" s="1208"/>
      <c r="K66" s="1250"/>
      <c r="L66" s="1258"/>
    </row>
    <row r="67" spans="1:12" x14ac:dyDescent="0.2">
      <c r="A67" s="1257"/>
      <c r="B67" s="1204"/>
      <c r="J67" s="1208"/>
      <c r="K67" s="1250"/>
      <c r="L67" s="1258"/>
    </row>
    <row r="68" spans="1:12" x14ac:dyDescent="0.2">
      <c r="A68" s="1257"/>
      <c r="B68" s="1204"/>
      <c r="J68" s="1208"/>
      <c r="K68" s="1250"/>
      <c r="L68" s="1258"/>
    </row>
    <row r="69" spans="1:12" x14ac:dyDescent="0.2">
      <c r="A69" s="1257"/>
      <c r="B69" s="1204"/>
      <c r="J69" s="1208"/>
      <c r="K69" s="1250"/>
      <c r="L69" s="1258"/>
    </row>
    <row r="70" spans="1:12" x14ac:dyDescent="0.2">
      <c r="A70" s="1257"/>
      <c r="B70" s="1204"/>
      <c r="J70" s="1208"/>
      <c r="K70" s="1250"/>
      <c r="L70" s="1258"/>
    </row>
  </sheetData>
  <mergeCells count="12">
    <mergeCell ref="B2:J2"/>
    <mergeCell ref="B7:B8"/>
    <mergeCell ref="C7:E8"/>
    <mergeCell ref="F7:F8"/>
    <mergeCell ref="G7:G8"/>
    <mergeCell ref="H7:H8"/>
    <mergeCell ref="F38:I38"/>
    <mergeCell ref="H39:I39"/>
    <mergeCell ref="C9:E9"/>
    <mergeCell ref="F15:I15"/>
    <mergeCell ref="F29:I29"/>
    <mergeCell ref="F19:I19"/>
  </mergeCells>
  <printOptions horizontalCentered="1"/>
  <pageMargins left="0.32" right="0.12" top="0.5" bottom="0" header="0" footer="0"/>
  <pageSetup paperSize="9" scale="72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P58"/>
  <sheetViews>
    <sheetView showGridLines="0" view="pageBreakPreview" topLeftCell="A10" zoomScale="90" zoomScaleSheetLayoutView="90" workbookViewId="0">
      <selection activeCell="J61" sqref="J61"/>
    </sheetView>
  </sheetViews>
  <sheetFormatPr defaultColWidth="9.28515625" defaultRowHeight="16.5" x14ac:dyDescent="0.2"/>
  <cols>
    <col min="1" max="1" width="4.42578125" style="1798" customWidth="1"/>
    <col min="2" max="2" width="11.42578125" style="1805" customWidth="1"/>
    <col min="3" max="3" width="40.7109375" style="1808" customWidth="1"/>
    <col min="4" max="4" width="8.7109375" style="1798" customWidth="1"/>
    <col min="5" max="5" width="11.7109375" style="1805" customWidth="1"/>
    <col min="6" max="6" width="12.7109375" style="1809" customWidth="1"/>
    <col min="7" max="7" width="15.7109375" style="1810" customWidth="1"/>
    <col min="8" max="8" width="18.7109375" style="1810" customWidth="1"/>
    <col min="9" max="9" width="1.7109375" style="1811" customWidth="1"/>
    <col min="10" max="10" width="5.7109375" style="1811" bestFit="1" customWidth="1"/>
    <col min="11" max="11" width="38.28515625" style="1812" bestFit="1" customWidth="1"/>
    <col min="12" max="12" width="4" style="1813" customWidth="1"/>
    <col min="13" max="13" width="2.28515625" style="1813" bestFit="1" customWidth="1"/>
    <col min="14" max="14" width="3.28515625" style="1813" bestFit="1" customWidth="1"/>
    <col min="15" max="15" width="3.7109375" style="1893" bestFit="1" customWidth="1"/>
    <col min="16" max="16" width="12.42578125" style="1805" customWidth="1"/>
    <col min="17" max="17" width="9.7109375" style="1805" customWidth="1"/>
    <col min="18" max="18" width="7.7109375" style="1805" customWidth="1"/>
    <col min="19" max="19" width="41.28515625" style="1805" customWidth="1"/>
    <col min="20" max="16384" width="9.28515625" style="1805"/>
  </cols>
  <sheetData>
    <row r="1" spans="1:16" ht="15" customHeight="1" x14ac:dyDescent="0.2">
      <c r="B1" s="3213" t="s">
        <v>579</v>
      </c>
      <c r="C1" s="3213"/>
      <c r="D1" s="3213"/>
      <c r="E1" s="3213"/>
      <c r="F1" s="3213"/>
      <c r="G1" s="3213"/>
      <c r="H1" s="3213"/>
      <c r="I1" s="1799"/>
      <c r="J1" s="1799"/>
      <c r="K1" s="1800"/>
      <c r="L1" s="1801"/>
      <c r="M1" s="1802"/>
      <c r="N1" s="1800"/>
      <c r="O1" s="1803"/>
      <c r="P1" s="1804"/>
    </row>
    <row r="2" spans="1:16" ht="15" customHeight="1" x14ac:dyDescent="0.2">
      <c r="B2" s="3213" t="s">
        <v>320</v>
      </c>
      <c r="C2" s="3213"/>
      <c r="D2" s="3213"/>
      <c r="E2" s="3213"/>
      <c r="F2" s="3213"/>
      <c r="G2" s="3213"/>
      <c r="H2" s="3213"/>
      <c r="I2" s="1799"/>
      <c r="J2" s="1799"/>
      <c r="K2" s="1800"/>
      <c r="L2" s="1806"/>
      <c r="M2" s="1807"/>
      <c r="N2" s="1800"/>
      <c r="O2" s="1803"/>
      <c r="P2" s="1804"/>
    </row>
    <row r="3" spans="1:16" ht="15" customHeight="1" x14ac:dyDescent="0.2">
      <c r="N3" s="1812"/>
      <c r="O3" s="1805"/>
    </row>
    <row r="4" spans="1:16" ht="15" customHeight="1" x14ac:dyDescent="0.2">
      <c r="B4" s="1365" t="s">
        <v>721</v>
      </c>
      <c r="C4" s="1814" t="str">
        <f>UPAH!D4</f>
        <v>: Renovasi Atap Gedung Paripurna DPRD Provsu</v>
      </c>
      <c r="N4" s="1812"/>
      <c r="O4" s="1805"/>
    </row>
    <row r="5" spans="1:16" ht="15" customHeight="1" x14ac:dyDescent="0.2">
      <c r="B5" s="1365" t="s">
        <v>619</v>
      </c>
      <c r="C5" s="1814" t="str">
        <f>UPAH!D5</f>
        <v>: Jalan Imam Bonjol No. 5 Medan</v>
      </c>
      <c r="D5" s="1814"/>
      <c r="N5" s="1812"/>
      <c r="O5" s="1805"/>
    </row>
    <row r="6" spans="1:16" ht="15" customHeight="1" thickBot="1" x14ac:dyDescent="0.25">
      <c r="A6" s="1815"/>
      <c r="B6" s="1816" t="s">
        <v>620</v>
      </c>
      <c r="C6" s="1817" t="str">
        <f>UPAH!D6</f>
        <v>: 2022</v>
      </c>
      <c r="D6" s="1817"/>
      <c r="E6" s="1818"/>
      <c r="F6" s="1819"/>
      <c r="G6" s="1820"/>
      <c r="H6" s="1820"/>
      <c r="N6" s="1812"/>
      <c r="O6" s="1805"/>
    </row>
    <row r="7" spans="1:16" ht="15" customHeight="1" thickTop="1" x14ac:dyDescent="0.2">
      <c r="N7" s="1812"/>
      <c r="O7" s="1805"/>
    </row>
    <row r="8" spans="1:16" ht="15" customHeight="1" x14ac:dyDescent="0.2">
      <c r="A8" s="1798">
        <v>1</v>
      </c>
      <c r="B8" s="1805" t="s">
        <v>12</v>
      </c>
      <c r="D8" s="1821" t="s">
        <v>308</v>
      </c>
      <c r="E8" s="1805" t="s">
        <v>1230</v>
      </c>
      <c r="F8" s="1822"/>
      <c r="I8" s="1822"/>
      <c r="J8" s="1823"/>
      <c r="K8" s="1824"/>
      <c r="N8" s="1812"/>
      <c r="O8" s="1805"/>
    </row>
    <row r="9" spans="1:16" ht="33" customHeight="1" x14ac:dyDescent="0.3">
      <c r="B9" s="1805" t="s">
        <v>321</v>
      </c>
      <c r="D9" s="1821" t="s">
        <v>308</v>
      </c>
      <c r="E9" s="3221" t="s">
        <v>566</v>
      </c>
      <c r="F9" s="3221"/>
      <c r="G9" s="3221"/>
      <c r="H9" s="3221"/>
      <c r="I9" s="1822"/>
      <c r="J9" s="1823"/>
      <c r="K9" s="1824"/>
      <c r="N9" s="1812"/>
      <c r="O9" s="1805"/>
    </row>
    <row r="10" spans="1:16" ht="15" customHeight="1" x14ac:dyDescent="0.2">
      <c r="B10" s="1805" t="s">
        <v>323</v>
      </c>
      <c r="D10" s="1821" t="s">
        <v>308</v>
      </c>
      <c r="E10" s="1826" t="s">
        <v>567</v>
      </c>
      <c r="F10" s="1826"/>
      <c r="I10" s="1822"/>
      <c r="J10" s="1823"/>
      <c r="K10" s="1824"/>
      <c r="N10" s="1812"/>
      <c r="O10" s="1805"/>
    </row>
    <row r="11" spans="1:16" ht="15" customHeight="1" x14ac:dyDescent="0.2">
      <c r="B11" s="1805" t="s">
        <v>325</v>
      </c>
      <c r="D11" s="1821" t="s">
        <v>308</v>
      </c>
      <c r="E11" s="1825" t="s">
        <v>1</v>
      </c>
      <c r="F11" s="1822"/>
      <c r="I11" s="1822"/>
      <c r="J11" s="1823"/>
      <c r="K11" s="1824"/>
      <c r="N11" s="1812"/>
      <c r="O11" s="1805"/>
    </row>
    <row r="12" spans="1:16" ht="15" customHeight="1" x14ac:dyDescent="0.2">
      <c r="B12" s="1805" t="s">
        <v>327</v>
      </c>
      <c r="D12" s="1821" t="s">
        <v>308</v>
      </c>
      <c r="E12" s="3214">
        <f>H27</f>
        <v>23215860</v>
      </c>
      <c r="F12" s="3214"/>
      <c r="I12" s="1822"/>
      <c r="J12" s="1823"/>
      <c r="K12" s="1824"/>
      <c r="N12" s="1812"/>
      <c r="O12" s="1805"/>
    </row>
    <row r="13" spans="1:16" ht="15" customHeight="1" x14ac:dyDescent="0.2">
      <c r="B13" s="1805" t="s">
        <v>568</v>
      </c>
      <c r="D13" s="1821" t="s">
        <v>308</v>
      </c>
      <c r="E13" s="1825" t="s">
        <v>1579</v>
      </c>
      <c r="F13" s="1822"/>
      <c r="I13" s="1822"/>
      <c r="J13" s="1823"/>
      <c r="K13" s="1824"/>
      <c r="N13" s="1812"/>
      <c r="O13" s="1805"/>
    </row>
    <row r="14" spans="1:16" ht="15" customHeight="1" x14ac:dyDescent="0.2">
      <c r="B14" s="1805" t="s">
        <v>1577</v>
      </c>
      <c r="D14" s="1821" t="s">
        <v>308</v>
      </c>
      <c r="E14" s="1827">
        <f>BAHAN!G92</f>
        <v>7738615.3307380965</v>
      </c>
      <c r="F14" s="1822"/>
      <c r="I14" s="1822"/>
      <c r="J14" s="1823"/>
      <c r="K14" s="1824">
        <v>29.874347643728299</v>
      </c>
      <c r="N14" s="1812"/>
      <c r="O14" s="1805"/>
    </row>
    <row r="15" spans="1:16" ht="15" customHeight="1" x14ac:dyDescent="0.2">
      <c r="B15" s="1805" t="s">
        <v>1578</v>
      </c>
      <c r="D15" s="1821" t="s">
        <v>308</v>
      </c>
      <c r="E15" s="1828">
        <f>12*2.4</f>
        <v>28.799999999999997</v>
      </c>
      <c r="F15" s="1822" t="s">
        <v>113</v>
      </c>
      <c r="I15" s="1822"/>
      <c r="J15" s="1823"/>
      <c r="K15" s="1829"/>
      <c r="N15" s="1812"/>
      <c r="O15" s="1805"/>
    </row>
    <row r="16" spans="1:16" ht="15" customHeight="1" x14ac:dyDescent="0.2">
      <c r="K16" s="1812">
        <v>369</v>
      </c>
      <c r="N16" s="1812"/>
      <c r="O16" s="1805"/>
    </row>
    <row r="17" spans="1:15" ht="15" customHeight="1" x14ac:dyDescent="0.2">
      <c r="B17" s="3215" t="s">
        <v>12</v>
      </c>
      <c r="C17" s="3217" t="s">
        <v>36</v>
      </c>
      <c r="D17" s="3215" t="s">
        <v>37</v>
      </c>
      <c r="E17" s="3215" t="s">
        <v>14</v>
      </c>
      <c r="F17" s="3219" t="s">
        <v>10</v>
      </c>
      <c r="G17" s="1830" t="s">
        <v>327</v>
      </c>
      <c r="H17" s="1830" t="s">
        <v>329</v>
      </c>
      <c r="N17" s="1812"/>
      <c r="O17" s="1805"/>
    </row>
    <row r="18" spans="1:15" ht="15" customHeight="1" thickBot="1" x14ac:dyDescent="0.25">
      <c r="B18" s="3216"/>
      <c r="C18" s="3218"/>
      <c r="D18" s="3216"/>
      <c r="E18" s="3216"/>
      <c r="F18" s="3220"/>
      <c r="G18" s="1831" t="s">
        <v>125</v>
      </c>
      <c r="H18" s="1831" t="s">
        <v>125</v>
      </c>
      <c r="N18" s="1812"/>
      <c r="O18" s="1805"/>
    </row>
    <row r="19" spans="1:15" ht="15" customHeight="1" thickTop="1" x14ac:dyDescent="0.2">
      <c r="B19" s="1832"/>
      <c r="C19" s="1833"/>
      <c r="D19" s="1832"/>
      <c r="E19" s="1832"/>
      <c r="F19" s="1834"/>
      <c r="G19" s="1835"/>
      <c r="H19" s="1835"/>
      <c r="N19" s="1812"/>
      <c r="O19" s="1805"/>
    </row>
    <row r="20" spans="1:15" ht="15" customHeight="1" x14ac:dyDescent="0.2">
      <c r="B20" s="1836" t="s">
        <v>41</v>
      </c>
      <c r="C20" s="1837" t="s">
        <v>60</v>
      </c>
      <c r="D20" s="1838"/>
      <c r="E20" s="1839"/>
      <c r="F20" s="1840"/>
      <c r="G20" s="1841"/>
      <c r="H20" s="1841"/>
      <c r="N20" s="1812"/>
      <c r="O20" s="1805"/>
    </row>
    <row r="21" spans="1:15" ht="15" customHeight="1" x14ac:dyDescent="0.2">
      <c r="B21" s="1842"/>
      <c r="C21" s="1843" t="s">
        <v>569</v>
      </c>
      <c r="D21" s="1844"/>
      <c r="E21" s="1838"/>
      <c r="F21" s="1845"/>
      <c r="G21" s="1846"/>
      <c r="H21" s="1841"/>
      <c r="N21" s="1812"/>
      <c r="O21" s="1805"/>
    </row>
    <row r="22" spans="1:15" ht="15" customHeight="1" x14ac:dyDescent="0.2">
      <c r="B22" s="1842">
        <v>1</v>
      </c>
      <c r="C22" s="1847" t="s">
        <v>1576</v>
      </c>
      <c r="D22" s="1844"/>
      <c r="E22" s="1838" t="s">
        <v>309</v>
      </c>
      <c r="F22" s="1848">
        <v>1</v>
      </c>
      <c r="G22" s="1849">
        <f>$E$14*1</f>
        <v>7738615.3307380965</v>
      </c>
      <c r="H22" s="1841">
        <f>F22*G22</f>
        <v>7738615.3307380965</v>
      </c>
      <c r="N22" s="1812"/>
      <c r="O22" s="1805"/>
    </row>
    <row r="23" spans="1:15" ht="15" customHeight="1" x14ac:dyDescent="0.2">
      <c r="B23" s="1838"/>
      <c r="D23" s="1850"/>
      <c r="E23" s="1839"/>
      <c r="F23" s="1840"/>
      <c r="G23" s="1841"/>
      <c r="H23" s="1841"/>
      <c r="N23" s="1812"/>
      <c r="O23" s="1805"/>
    </row>
    <row r="24" spans="1:15" ht="15" customHeight="1" x14ac:dyDescent="0.2">
      <c r="B24" s="1851" t="s">
        <v>5</v>
      </c>
      <c r="C24" s="1852" t="s">
        <v>570</v>
      </c>
      <c r="D24" s="1853"/>
      <c r="E24" s="1853"/>
      <c r="F24" s="1853"/>
      <c r="G24" s="1854"/>
      <c r="H24" s="1855">
        <f>SUM(H21:H23)</f>
        <v>7738615.3307380965</v>
      </c>
      <c r="N24" s="1812"/>
      <c r="O24" s="1805"/>
    </row>
    <row r="25" spans="1:15" ht="15" customHeight="1" x14ac:dyDescent="0.2">
      <c r="B25" s="1851" t="s">
        <v>6</v>
      </c>
      <c r="C25" s="3222" t="s">
        <v>847</v>
      </c>
      <c r="D25" s="3223"/>
      <c r="E25" s="3223"/>
      <c r="F25" s="3223"/>
      <c r="G25" s="3224"/>
      <c r="H25" s="1856">
        <f>H24*0</f>
        <v>0</v>
      </c>
      <c r="N25" s="1812"/>
      <c r="O25" s="1805"/>
    </row>
    <row r="26" spans="1:15" ht="15" customHeight="1" x14ac:dyDescent="0.2">
      <c r="B26" s="1851" t="s">
        <v>7</v>
      </c>
      <c r="C26" s="3222" t="str">
        <f>"Harga Satuan Pekerjaan per - "&amp;H12&amp;" ("&amp;B24&amp;" + "&amp;B25&amp;")"</f>
        <v>Harga Satuan Pekerjaan per -  (C + D)</v>
      </c>
      <c r="D26" s="3223"/>
      <c r="E26" s="3223"/>
      <c r="F26" s="3223"/>
      <c r="G26" s="3224"/>
      <c r="H26" s="1855">
        <f>ROUND(SUM(H24:H25),-1)</f>
        <v>7738620</v>
      </c>
      <c r="N26" s="1812"/>
      <c r="O26" s="1805"/>
    </row>
    <row r="27" spans="1:15" ht="15" customHeight="1" x14ac:dyDescent="0.2">
      <c r="B27" s="1857" t="s">
        <v>63</v>
      </c>
      <c r="C27" s="3222" t="s">
        <v>1580</v>
      </c>
      <c r="D27" s="3223"/>
      <c r="E27" s="3223"/>
      <c r="F27" s="3223"/>
      <c r="G27" s="3224"/>
      <c r="H27" s="1858">
        <f>ROUND((3*H26),-1)</f>
        <v>23215860</v>
      </c>
      <c r="N27" s="1812"/>
      <c r="O27" s="1805"/>
    </row>
    <row r="28" spans="1:15" ht="15" customHeight="1" x14ac:dyDescent="0.2">
      <c r="N28" s="1812"/>
      <c r="O28" s="1805"/>
    </row>
    <row r="29" spans="1:15" ht="15" hidden="1" customHeight="1" x14ac:dyDescent="0.2">
      <c r="A29" s="1798">
        <v>2</v>
      </c>
      <c r="B29" s="1859" t="s">
        <v>12</v>
      </c>
      <c r="C29" s="1860"/>
      <c r="D29" s="1861" t="s">
        <v>308</v>
      </c>
      <c r="E29" s="1859" t="str">
        <f>""&amp;'[65]Rekap AHSP'!$B$8&amp;".0"&amp;A29&amp;""</f>
        <v>ANS.02</v>
      </c>
      <c r="F29" s="1862"/>
      <c r="G29" s="1863"/>
      <c r="H29" s="1863"/>
      <c r="N29" s="1812"/>
      <c r="O29" s="1805"/>
    </row>
    <row r="30" spans="1:15" ht="15" hidden="1" customHeight="1" x14ac:dyDescent="0.2">
      <c r="B30" s="1859" t="s">
        <v>321</v>
      </c>
      <c r="C30" s="1860"/>
      <c r="D30" s="1861" t="s">
        <v>308</v>
      </c>
      <c r="E30" s="1859" t="s">
        <v>571</v>
      </c>
      <c r="F30" s="1864"/>
      <c r="G30" s="1863"/>
      <c r="H30" s="1863"/>
      <c r="N30" s="1812"/>
      <c r="O30" s="1805"/>
    </row>
    <row r="31" spans="1:15" ht="15" hidden="1" customHeight="1" x14ac:dyDescent="0.2">
      <c r="B31" s="1859" t="s">
        <v>323</v>
      </c>
      <c r="C31" s="1860"/>
      <c r="D31" s="1861" t="s">
        <v>308</v>
      </c>
      <c r="E31" s="1859" t="s">
        <v>572</v>
      </c>
      <c r="F31" s="1865"/>
      <c r="G31" s="1863"/>
      <c r="H31" s="1863"/>
      <c r="N31" s="1812"/>
      <c r="O31" s="1805"/>
    </row>
    <row r="32" spans="1:15" ht="15" hidden="1" customHeight="1" x14ac:dyDescent="0.2">
      <c r="B32" s="1859" t="s">
        <v>325</v>
      </c>
      <c r="C32" s="1860"/>
      <c r="D32" s="1861" t="s">
        <v>308</v>
      </c>
      <c r="E32" s="1859" t="s">
        <v>128</v>
      </c>
      <c r="F32" s="1862"/>
      <c r="G32" s="1863"/>
      <c r="H32" s="1863"/>
      <c r="N32" s="1812"/>
      <c r="O32" s="1805"/>
    </row>
    <row r="33" spans="2:15" ht="15" hidden="1" customHeight="1" x14ac:dyDescent="0.2">
      <c r="B33" s="1859" t="s">
        <v>327</v>
      </c>
      <c r="C33" s="1860"/>
      <c r="D33" s="1861" t="s">
        <v>308</v>
      </c>
      <c r="E33" s="3225">
        <f>H57</f>
        <v>335800</v>
      </c>
      <c r="F33" s="3225"/>
      <c r="G33" s="1863"/>
      <c r="H33" s="1863"/>
      <c r="N33" s="1812"/>
      <c r="O33" s="1805"/>
    </row>
    <row r="34" spans="2:15" ht="15" hidden="1" customHeight="1" x14ac:dyDescent="0.2">
      <c r="B34" s="1859"/>
      <c r="C34" s="1860"/>
      <c r="D34" s="1866"/>
      <c r="E34" s="1859"/>
      <c r="F34" s="1867"/>
      <c r="G34" s="1863"/>
      <c r="H34" s="1863"/>
      <c r="N34" s="1812"/>
      <c r="O34" s="1805"/>
    </row>
    <row r="35" spans="2:15" ht="15" hidden="1" customHeight="1" x14ac:dyDescent="0.2">
      <c r="B35" s="3226" t="s">
        <v>12</v>
      </c>
      <c r="C35" s="3228" t="s">
        <v>36</v>
      </c>
      <c r="D35" s="3226" t="s">
        <v>37</v>
      </c>
      <c r="E35" s="3226" t="s">
        <v>14</v>
      </c>
      <c r="F35" s="3230" t="s">
        <v>38</v>
      </c>
      <c r="G35" s="1868" t="s">
        <v>327</v>
      </c>
      <c r="H35" s="1868" t="s">
        <v>329</v>
      </c>
      <c r="N35" s="1812"/>
      <c r="O35" s="1805"/>
    </row>
    <row r="36" spans="2:15" ht="15" hidden="1" customHeight="1" thickBot="1" x14ac:dyDescent="0.25">
      <c r="B36" s="3227"/>
      <c r="C36" s="3229"/>
      <c r="D36" s="3227"/>
      <c r="E36" s="3227"/>
      <c r="F36" s="3231"/>
      <c r="G36" s="1869" t="s">
        <v>125</v>
      </c>
      <c r="H36" s="1869" t="s">
        <v>125</v>
      </c>
      <c r="N36" s="1812"/>
      <c r="O36" s="1805"/>
    </row>
    <row r="37" spans="2:15" ht="15" hidden="1" customHeight="1" thickTop="1" x14ac:dyDescent="0.2">
      <c r="B37" s="1870"/>
      <c r="C37" s="1871"/>
      <c r="D37" s="1872"/>
      <c r="E37" s="1870"/>
      <c r="F37" s="1873"/>
      <c r="G37" s="1874"/>
      <c r="H37" s="1874"/>
      <c r="N37" s="1812"/>
      <c r="O37" s="1805"/>
    </row>
    <row r="38" spans="2:15" ht="15" hidden="1" customHeight="1" x14ac:dyDescent="0.2">
      <c r="B38" s="1875" t="s">
        <v>41</v>
      </c>
      <c r="C38" s="1871" t="s">
        <v>573</v>
      </c>
      <c r="D38" s="1870"/>
      <c r="E38" s="1876"/>
      <c r="F38" s="1873"/>
      <c r="G38" s="1877"/>
      <c r="H38" s="1877"/>
      <c r="N38" s="1812"/>
      <c r="O38" s="1805"/>
    </row>
    <row r="39" spans="2:15" ht="15" hidden="1" customHeight="1" x14ac:dyDescent="0.2">
      <c r="B39" s="1878">
        <v>1</v>
      </c>
      <c r="C39" s="1879" t="s">
        <v>71</v>
      </c>
      <c r="D39" s="1880" t="str">
        <f>IF(F39="","",VLOOKUP(C39,'[65]Basic Price'!$C$8:$F$204,2,FALSE))</f>
        <v>L.01</v>
      </c>
      <c r="E39" s="1870" t="s">
        <v>574</v>
      </c>
      <c r="F39" s="1881">
        <f>'[65]Penyediaan Tiang Pancang'!$L$55</f>
        <v>0.17849174475680499</v>
      </c>
      <c r="G39" s="1882">
        <f>IF(F39="","",VLOOKUP(C39,'[65]Basic Price'!$C$8:$F$204,4,FALSE))/7</f>
        <v>17857.142857142859</v>
      </c>
      <c r="H39" s="1877">
        <f>F39*G39</f>
        <v>3187.3525849429466</v>
      </c>
      <c r="N39" s="1812"/>
      <c r="O39" s="1805"/>
    </row>
    <row r="40" spans="2:15" ht="15" hidden="1" customHeight="1" x14ac:dyDescent="0.2">
      <c r="B40" s="1878">
        <f>B39+1</f>
        <v>2</v>
      </c>
      <c r="C40" s="1879" t="s">
        <v>97</v>
      </c>
      <c r="D40" s="1880" t="str">
        <f>IF(F40="","",VLOOKUP(C40,'[65]Basic Price'!$C$8:$F$204,2,FALSE))</f>
        <v>L.02</v>
      </c>
      <c r="E40" s="1870" t="s">
        <v>574</v>
      </c>
      <c r="F40" s="1881">
        <f>'[65]Penyediaan Tiang Pancang'!$L$56</f>
        <v>4.4622936189201247E-2</v>
      </c>
      <c r="G40" s="1882">
        <f>IF(F40="","",VLOOKUP(C40,'[65]Basic Price'!$C$8:$F$204,4,FALSE))/7</f>
        <v>21428.571428571428</v>
      </c>
      <c r="H40" s="1877">
        <f>F40*G40</f>
        <v>956.20577548288384</v>
      </c>
      <c r="N40" s="1812"/>
      <c r="O40" s="1805"/>
    </row>
    <row r="41" spans="2:15" ht="15" hidden="1" customHeight="1" x14ac:dyDescent="0.2">
      <c r="B41" s="1878">
        <f>B40+1</f>
        <v>3</v>
      </c>
      <c r="C41" s="1879" t="s">
        <v>50</v>
      </c>
      <c r="D41" s="1880" t="str">
        <f>IF(F41="","",VLOOKUP(C41,'[65]Basic Price'!$C$8:$F$204,2,FALSE))</f>
        <v>L.04</v>
      </c>
      <c r="E41" s="1870" t="s">
        <v>574</v>
      </c>
      <c r="F41" s="1881">
        <f>'[65]Penyediaan Tiang Pancang'!$L$57</f>
        <v>4.4622936189201247E-2</v>
      </c>
      <c r="G41" s="1882">
        <f>IF(F41="","",VLOOKUP(C41,'[65]Basic Price'!$C$8:$F$204,4,FALSE))/7</f>
        <v>22285.714285714286</v>
      </c>
      <c r="H41" s="1877">
        <f>F41*G41</f>
        <v>994.45400650219926</v>
      </c>
      <c r="N41" s="1812"/>
      <c r="O41" s="1805"/>
    </row>
    <row r="42" spans="2:15" ht="15" hidden="1" customHeight="1" x14ac:dyDescent="0.2">
      <c r="B42" s="1870"/>
      <c r="C42" s="1860"/>
      <c r="D42" s="1883"/>
      <c r="E42" s="1884"/>
      <c r="F42" s="1873"/>
      <c r="G42" s="1877"/>
      <c r="H42" s="1877"/>
      <c r="N42" s="1812"/>
      <c r="O42" s="1805"/>
    </row>
    <row r="43" spans="2:15" ht="15" hidden="1" customHeight="1" x14ac:dyDescent="0.2">
      <c r="B43" s="3235" t="str">
        <f>"Jumlah Harga "&amp;C38&amp;""</f>
        <v>Jumlah Harga Tenaga Kerja</v>
      </c>
      <c r="C43" s="3236"/>
      <c r="D43" s="3236"/>
      <c r="E43" s="3236"/>
      <c r="F43" s="3236"/>
      <c r="G43" s="3237"/>
      <c r="H43" s="1885">
        <f>SUM(H38:H42)</f>
        <v>5138.0123669280292</v>
      </c>
      <c r="N43" s="1812"/>
      <c r="O43" s="1805"/>
    </row>
    <row r="44" spans="2:15" ht="15" hidden="1" customHeight="1" x14ac:dyDescent="0.2">
      <c r="B44" s="1870"/>
      <c r="C44" s="1860"/>
      <c r="D44" s="1886"/>
      <c r="E44" s="1876"/>
      <c r="F44" s="1873"/>
      <c r="G44" s="1877"/>
      <c r="H44" s="1877"/>
      <c r="K44" s="1812">
        <f>SUM(H39:H54)/2</f>
        <v>305272.72727272718</v>
      </c>
      <c r="N44" s="1812"/>
      <c r="O44" s="1805"/>
    </row>
    <row r="45" spans="2:15" ht="15" hidden="1" customHeight="1" x14ac:dyDescent="0.2">
      <c r="B45" s="1875" t="s">
        <v>53</v>
      </c>
      <c r="C45" s="1871" t="s">
        <v>106</v>
      </c>
      <c r="D45" s="1870"/>
      <c r="E45" s="1876"/>
      <c r="F45" s="1873"/>
      <c r="G45" s="1877"/>
      <c r="H45" s="1877"/>
      <c r="N45" s="1812"/>
      <c r="O45" s="1805"/>
    </row>
    <row r="46" spans="2:15" ht="15" hidden="1" customHeight="1" x14ac:dyDescent="0.2">
      <c r="B46" s="1878">
        <v>1</v>
      </c>
      <c r="C46" s="1879" t="s">
        <v>575</v>
      </c>
      <c r="D46" s="1880"/>
      <c r="E46" s="1870" t="str">
        <f>'[65]Penyediaan Tiang Pancang'!$M$27</f>
        <v>m3</v>
      </c>
      <c r="F46" s="1881">
        <f>'[65]Penyediaan Tiang Pancang'!$L$27</f>
        <v>6.25E-2</v>
      </c>
      <c r="G46" s="1882">
        <f>K50</f>
        <v>4255633.3843694152</v>
      </c>
      <c r="H46" s="1877">
        <f>F46*G46</f>
        <v>265977.08652308845</v>
      </c>
      <c r="N46" s="1812"/>
      <c r="O46" s="1805"/>
    </row>
    <row r="47" spans="2:15" ht="15" hidden="1" customHeight="1" x14ac:dyDescent="0.2">
      <c r="B47" s="1878"/>
      <c r="C47" s="1879" t="s">
        <v>576</v>
      </c>
      <c r="D47" s="1880"/>
      <c r="E47" s="1870"/>
      <c r="F47" s="1881"/>
      <c r="G47" s="1882"/>
      <c r="H47" s="1877"/>
      <c r="N47" s="1812"/>
      <c r="O47" s="1805"/>
    </row>
    <row r="48" spans="2:15" ht="15" hidden="1" customHeight="1" x14ac:dyDescent="0.2">
      <c r="B48" s="1870"/>
      <c r="C48" s="1879"/>
      <c r="D48" s="1883"/>
      <c r="E48" s="1870"/>
      <c r="F48" s="1873"/>
      <c r="G48" s="1877"/>
      <c r="H48" s="1877"/>
      <c r="N48" s="1812"/>
      <c r="O48" s="1805"/>
    </row>
    <row r="49" spans="2:16" ht="15" hidden="1" customHeight="1" x14ac:dyDescent="0.2">
      <c r="B49" s="3235" t="str">
        <f>"Jumlah Harga "&amp;C45&amp;""</f>
        <v>Jumlah Harga Bahan</v>
      </c>
      <c r="C49" s="3236"/>
      <c r="D49" s="3236"/>
      <c r="E49" s="3236"/>
      <c r="F49" s="3236"/>
      <c r="G49" s="3237"/>
      <c r="H49" s="1885">
        <f>SUM(H45:H48)</f>
        <v>265977.08652308845</v>
      </c>
      <c r="K49" s="1812">
        <f>K55-H54-H43</f>
        <v>265977.08652308845</v>
      </c>
      <c r="N49" s="1812"/>
      <c r="O49" s="1805"/>
    </row>
    <row r="50" spans="2:16" ht="15" hidden="1" customHeight="1" x14ac:dyDescent="0.2">
      <c r="B50" s="1870"/>
      <c r="C50" s="1860"/>
      <c r="D50" s="1886"/>
      <c r="E50" s="1870"/>
      <c r="F50" s="1873"/>
      <c r="G50" s="1877"/>
      <c r="H50" s="1877"/>
      <c r="K50" s="1812">
        <f>K49/F46</f>
        <v>4255633.3843694152</v>
      </c>
      <c r="N50" s="1812"/>
      <c r="O50" s="1805"/>
    </row>
    <row r="51" spans="2:16" ht="15" hidden="1" customHeight="1" x14ac:dyDescent="0.2">
      <c r="B51" s="1875" t="s">
        <v>5</v>
      </c>
      <c r="C51" s="1871" t="s">
        <v>133</v>
      </c>
      <c r="D51" s="1870"/>
      <c r="E51" s="1876"/>
      <c r="F51" s="1873"/>
      <c r="G51" s="1877"/>
      <c r="H51" s="1877"/>
      <c r="N51" s="1812"/>
      <c r="O51" s="1805"/>
    </row>
    <row r="52" spans="2:16" ht="15" hidden="1" customHeight="1" x14ac:dyDescent="0.2">
      <c r="B52" s="1870">
        <v>1</v>
      </c>
      <c r="C52" s="1879" t="s">
        <v>577</v>
      </c>
      <c r="D52" s="1870"/>
      <c r="E52" s="1870" t="str">
        <f>'[65]Penyediaan Tiang Pancang'!$M$40</f>
        <v>jam</v>
      </c>
      <c r="F52" s="1873">
        <f>'[65]Penyediaan Tiang Pancang'!$L$40</f>
        <v>4.4622936189201247E-2</v>
      </c>
      <c r="G52" s="1877">
        <f>'[65]Anl. Alat'!I169</f>
        <v>765472.45205654786</v>
      </c>
      <c r="H52" s="1877">
        <f>F52*G52</f>
        <v>34157.628382710747</v>
      </c>
      <c r="N52" s="1812"/>
      <c r="O52" s="1805"/>
    </row>
    <row r="53" spans="2:16" ht="15" hidden="1" customHeight="1" x14ac:dyDescent="0.2">
      <c r="B53" s="1870"/>
      <c r="C53" s="1860"/>
      <c r="D53" s="1883"/>
      <c r="E53" s="1876"/>
      <c r="F53" s="1873"/>
      <c r="G53" s="1877"/>
      <c r="H53" s="1877"/>
      <c r="N53" s="1812"/>
      <c r="O53" s="1805"/>
      <c r="P53" s="1810"/>
    </row>
    <row r="54" spans="2:16" ht="15" hidden="1" customHeight="1" x14ac:dyDescent="0.2">
      <c r="B54" s="3235" t="str">
        <f>"Jumlah Harga "&amp;C51&amp;""</f>
        <v>Jumlah Harga Peralatan</v>
      </c>
      <c r="C54" s="3236"/>
      <c r="D54" s="3236"/>
      <c r="E54" s="3236"/>
      <c r="F54" s="3236"/>
      <c r="G54" s="3237"/>
      <c r="H54" s="1885">
        <f>SUM(H51:H53)</f>
        <v>34157.628382710747</v>
      </c>
      <c r="N54" s="1812"/>
      <c r="O54" s="1805"/>
    </row>
    <row r="55" spans="2:16" ht="15" hidden="1" customHeight="1" x14ac:dyDescent="0.2">
      <c r="B55" s="1887" t="s">
        <v>6</v>
      </c>
      <c r="C55" s="3232" t="str">
        <f>"Jumlah ("&amp;B38&amp;" + "&amp;B45&amp;" + "&amp;B51&amp;")"</f>
        <v>Jumlah (A + B + C)</v>
      </c>
      <c r="D55" s="3233"/>
      <c r="E55" s="3233"/>
      <c r="F55" s="3233"/>
      <c r="G55" s="3234"/>
      <c r="H55" s="1888">
        <f>H43+H49+H54</f>
        <v>305272.72727272724</v>
      </c>
      <c r="K55" s="1812">
        <f>K57/1.1</f>
        <v>305272.72727272724</v>
      </c>
      <c r="N55" s="1812"/>
      <c r="O55" s="1805"/>
    </row>
    <row r="56" spans="2:16" ht="15" hidden="1" customHeight="1" x14ac:dyDescent="0.2">
      <c r="B56" s="1889" t="s">
        <v>7</v>
      </c>
      <c r="C56" s="3232" t="str">
        <f>"Overhead &amp; Profit ("&amp;[65]Identitas!$D$9&amp;"% x "&amp;B55&amp;")"</f>
        <v>Overhead &amp; Profit (10% x D)</v>
      </c>
      <c r="D56" s="3233"/>
      <c r="E56" s="3233"/>
      <c r="F56" s="3233"/>
      <c r="G56" s="3234"/>
      <c r="H56" s="1885">
        <f>[65]Identitas!$D$9%*H55</f>
        <v>30527.272727272724</v>
      </c>
      <c r="N56" s="1812"/>
      <c r="O56" s="1805"/>
    </row>
    <row r="57" spans="2:16" ht="15" hidden="1" customHeight="1" x14ac:dyDescent="0.3">
      <c r="B57" s="1890" t="s">
        <v>63</v>
      </c>
      <c r="C57" s="3232" t="str">
        <f>"Harga Satuan Pekerjaan per - "&amp;E32&amp;" ("&amp;B55&amp;" + "&amp;B56&amp;")"</f>
        <v>Harga Satuan Pekerjaan per - m' (D + E)</v>
      </c>
      <c r="D57" s="3233"/>
      <c r="E57" s="3233"/>
      <c r="F57" s="3233"/>
      <c r="G57" s="3234"/>
      <c r="H57" s="1891">
        <f>ROUND(SUM(H55:H56),-1)</f>
        <v>335800</v>
      </c>
      <c r="K57" s="1892">
        <f>292000*1.15</f>
        <v>335800</v>
      </c>
      <c r="N57" s="1812"/>
      <c r="O57" s="1805"/>
    </row>
    <row r="58" spans="2:16" ht="15" hidden="1" customHeight="1" x14ac:dyDescent="0.2">
      <c r="N58" s="1812"/>
      <c r="O58" s="1805"/>
    </row>
  </sheetData>
  <mergeCells count="24">
    <mergeCell ref="C57:G57"/>
    <mergeCell ref="B43:G43"/>
    <mergeCell ref="B49:G49"/>
    <mergeCell ref="B54:G54"/>
    <mergeCell ref="C55:G55"/>
    <mergeCell ref="C56:G56"/>
    <mergeCell ref="C25:G25"/>
    <mergeCell ref="C26:G26"/>
    <mergeCell ref="C27:G27"/>
    <mergeCell ref="E33:F33"/>
    <mergeCell ref="B35:B36"/>
    <mergeCell ref="C35:C36"/>
    <mergeCell ref="D35:D36"/>
    <mergeCell ref="E35:E36"/>
    <mergeCell ref="F35:F36"/>
    <mergeCell ref="B1:H1"/>
    <mergeCell ref="B2:H2"/>
    <mergeCell ref="E12:F12"/>
    <mergeCell ref="B17:B18"/>
    <mergeCell ref="C17:C18"/>
    <mergeCell ref="D17:D18"/>
    <mergeCell ref="E17:E18"/>
    <mergeCell ref="F17:F18"/>
    <mergeCell ref="E9:H9"/>
  </mergeCells>
  <pageMargins left="0.51181102362204722" right="0.19685039370078741" top="0.51181102362204722" bottom="0.31496062992125984" header="0" footer="0"/>
  <pageSetup paperSize="9" scale="80" orientation="portrait" horizontalDpi="4294967293" vertic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3:AJ177"/>
  <sheetViews>
    <sheetView showGridLines="0" view="pageBreakPreview" topLeftCell="A49" zoomScale="90" zoomScaleSheetLayoutView="90" workbookViewId="0">
      <selection activeCell="Q3" sqref="Q3"/>
    </sheetView>
  </sheetViews>
  <sheetFormatPr defaultColWidth="16.28515625" defaultRowHeight="13.5" x14ac:dyDescent="0.2"/>
  <cols>
    <col min="1" max="1" width="1.28515625" style="1894" customWidth="1"/>
    <col min="2" max="2" width="15.42578125" style="1895" hidden="1" customWidth="1"/>
    <col min="3" max="3" width="18.7109375" style="1895" hidden="1" customWidth="1"/>
    <col min="4" max="4" width="5.7109375" style="1894" customWidth="1"/>
    <col min="5" max="5" width="1.7109375" style="1894" customWidth="1"/>
    <col min="6" max="6" width="15.7109375" style="1894" customWidth="1"/>
    <col min="7" max="7" width="1.5703125" style="1894" customWidth="1"/>
    <col min="8" max="9" width="16.7109375" style="1894" customWidth="1"/>
    <col min="10" max="10" width="1.7109375" style="1894" customWidth="1"/>
    <col min="11" max="13" width="7.7109375" style="1894" customWidth="1"/>
    <col min="14" max="14" width="27.7109375" style="1894" bestFit="1" customWidth="1"/>
    <col min="15" max="15" width="5.7109375" style="1894" customWidth="1"/>
    <col min="16" max="16" width="1.7109375" style="1894" customWidth="1"/>
    <col min="17" max="17" width="13.7109375" style="1894" bestFit="1" customWidth="1"/>
    <col min="18" max="18" width="1.42578125" style="1894" customWidth="1"/>
    <col min="19" max="19" width="8.28515625" style="1894" bestFit="1" customWidth="1"/>
    <col min="20" max="20" width="6.28515625" style="1894" bestFit="1" customWidth="1"/>
    <col min="21" max="21" width="1.7109375" style="1894" customWidth="1"/>
    <col min="22" max="22" width="6.7109375" style="1894" customWidth="1"/>
    <col min="23" max="23" width="9.7109375" style="1894" customWidth="1"/>
    <col min="24" max="24" width="8.7109375" style="1894" customWidth="1"/>
    <col min="25" max="25" width="16.28515625" style="1895" customWidth="1"/>
    <col min="26" max="26" width="5.7109375" style="1894" customWidth="1"/>
    <col min="27" max="27" width="1.7109375" style="1894" customWidth="1"/>
    <col min="28" max="28" width="18" style="1894" customWidth="1"/>
    <col min="29" max="29" width="1.42578125" style="1894" customWidth="1"/>
    <col min="30" max="30" width="10.7109375" style="1894" customWidth="1"/>
    <col min="31" max="31" width="7.7109375" style="1894" customWidth="1"/>
    <col min="32" max="32" width="11.42578125" style="1894" customWidth="1"/>
    <col min="33" max="33" width="1.7109375" style="1894" customWidth="1"/>
    <col min="34" max="34" width="6.7109375" style="1894" customWidth="1"/>
    <col min="35" max="35" width="7.7109375" style="1894" customWidth="1"/>
    <col min="36" max="36" width="10" style="1894" customWidth="1"/>
    <col min="37" max="37" width="17.28515625" style="1895" customWidth="1"/>
    <col min="38" max="245" width="9.28515625" style="1895" customWidth="1"/>
    <col min="246" max="246" width="6.7109375" style="1895" customWidth="1"/>
    <col min="247" max="247" width="1.7109375" style="1895" customWidth="1"/>
    <col min="248" max="248" width="23.7109375" style="1895" customWidth="1"/>
    <col min="249" max="249" width="1.28515625" style="1895" customWidth="1"/>
    <col min="250" max="251" width="8.7109375" style="1895" customWidth="1"/>
    <col min="252" max="252" width="12.28515625" style="1895" customWidth="1"/>
    <col min="253" max="253" width="15.7109375" style="1895" customWidth="1"/>
    <col min="254" max="255" width="1.7109375" style="1895" customWidth="1"/>
    <col min="256" max="16384" width="16.28515625" style="1895"/>
  </cols>
  <sheetData>
    <row r="3" spans="1:26" ht="15.75" x14ac:dyDescent="0.2">
      <c r="D3" s="3238" t="s">
        <v>1379</v>
      </c>
      <c r="E3" s="3238"/>
      <c r="F3" s="3238"/>
      <c r="G3" s="3238"/>
      <c r="H3" s="3238"/>
      <c r="I3" s="3238"/>
      <c r="J3" s="3238"/>
      <c r="K3" s="3238"/>
      <c r="L3" s="3238"/>
      <c r="M3" s="3238"/>
      <c r="N3" s="3238"/>
      <c r="Q3" s="1894" t="s">
        <v>532</v>
      </c>
    </row>
    <row r="4" spans="1:26" x14ac:dyDescent="0.2">
      <c r="Q4" s="1894" t="s">
        <v>533</v>
      </c>
    </row>
    <row r="5" spans="1:26" x14ac:dyDescent="0.2">
      <c r="A5" s="1896"/>
      <c r="B5" s="1896"/>
      <c r="D5" s="1897" t="s">
        <v>454</v>
      </c>
      <c r="E5" s="1897"/>
      <c r="F5" s="1897"/>
      <c r="G5" s="1897" t="s">
        <v>308</v>
      </c>
      <c r="H5" s="1898" t="s">
        <v>1380</v>
      </c>
      <c r="I5" s="1896"/>
      <c r="J5" s="1896"/>
      <c r="K5" s="1896"/>
      <c r="L5" s="1896"/>
      <c r="M5" s="1896"/>
      <c r="N5" s="1896"/>
      <c r="O5" s="1899"/>
      <c r="P5" s="1899"/>
      <c r="Q5" s="1894" t="s">
        <v>534</v>
      </c>
      <c r="R5" s="1897"/>
      <c r="S5" s="1899"/>
      <c r="T5" s="1896"/>
      <c r="U5" s="1896"/>
      <c r="V5" s="1896"/>
      <c r="W5" s="1900"/>
      <c r="X5" s="1899"/>
      <c r="Y5" s="1899"/>
      <c r="Z5" s="1895"/>
    </row>
    <row r="6" spans="1:26" x14ac:dyDescent="0.2">
      <c r="A6" s="1901"/>
      <c r="B6" s="1896"/>
      <c r="D6" s="1897" t="s">
        <v>455</v>
      </c>
      <c r="E6" s="1897"/>
      <c r="F6" s="1897"/>
      <c r="G6" s="1897" t="s">
        <v>308</v>
      </c>
      <c r="H6" s="1898" t="s">
        <v>3</v>
      </c>
      <c r="I6" s="1896"/>
      <c r="J6" s="1896"/>
      <c r="K6" s="1896"/>
      <c r="M6" s="1902"/>
      <c r="N6" s="1903" t="s">
        <v>457</v>
      </c>
      <c r="O6" s="1899"/>
      <c r="P6" s="1899"/>
      <c r="Q6" s="1899"/>
      <c r="R6" s="1897"/>
      <c r="S6" s="1899"/>
      <c r="T6" s="1896"/>
      <c r="U6" s="1896"/>
      <c r="V6" s="1896"/>
      <c r="X6" s="1902"/>
      <c r="Y6" s="1902"/>
      <c r="Z6" s="1895"/>
    </row>
    <row r="7" spans="1:26" ht="14.25" thickBot="1" x14ac:dyDescent="0.25">
      <c r="A7" s="1901"/>
      <c r="B7" s="1896"/>
      <c r="D7" s="1896"/>
      <c r="E7" s="1896"/>
      <c r="F7" s="1896"/>
      <c r="G7" s="1896"/>
      <c r="H7" s="1896"/>
      <c r="I7" s="1896"/>
      <c r="J7" s="1896"/>
      <c r="K7" s="1896"/>
      <c r="L7" s="1896"/>
      <c r="M7" s="1896"/>
      <c r="N7" s="1896"/>
      <c r="O7" s="1896"/>
      <c r="P7" s="1896"/>
      <c r="Q7" s="1896"/>
      <c r="R7" s="1896"/>
      <c r="S7" s="1896"/>
      <c r="T7" s="1896"/>
      <c r="U7" s="1896"/>
      <c r="V7" s="1896"/>
      <c r="W7" s="1900"/>
      <c r="X7" s="1896"/>
      <c r="Y7" s="1904"/>
      <c r="Z7" s="1895"/>
    </row>
    <row r="8" spans="1:26" x14ac:dyDescent="0.2">
      <c r="A8" s="1901"/>
      <c r="B8" s="1896"/>
      <c r="D8" s="1905"/>
      <c r="E8" s="1906"/>
      <c r="F8" s="1907"/>
      <c r="G8" s="1907"/>
      <c r="H8" s="1907"/>
      <c r="I8" s="1907"/>
      <c r="J8" s="1907"/>
      <c r="K8" s="1906"/>
      <c r="L8" s="1906"/>
      <c r="M8" s="1906"/>
      <c r="N8" s="1908"/>
      <c r="O8" s="1909"/>
      <c r="P8" s="1896"/>
      <c r="Q8" s="1896"/>
      <c r="R8" s="1896"/>
      <c r="S8" s="1896"/>
      <c r="T8" s="1896"/>
      <c r="U8" s="1896"/>
      <c r="V8" s="1896"/>
      <c r="W8" s="1900"/>
      <c r="X8" s="1896"/>
      <c r="Y8" s="1896"/>
      <c r="Z8" s="1895"/>
    </row>
    <row r="9" spans="1:26" x14ac:dyDescent="0.2">
      <c r="A9" s="1896"/>
      <c r="B9" s="1896"/>
      <c r="D9" s="1910" t="s">
        <v>12</v>
      </c>
      <c r="E9" s="1911"/>
      <c r="F9" s="1912" t="s">
        <v>363</v>
      </c>
      <c r="G9" s="1912"/>
      <c r="H9" s="1912"/>
      <c r="I9" s="1912"/>
      <c r="J9" s="1912"/>
      <c r="K9" s="1913" t="s">
        <v>364</v>
      </c>
      <c r="L9" s="1913" t="s">
        <v>365</v>
      </c>
      <c r="M9" s="1913" t="s">
        <v>458</v>
      </c>
      <c r="N9" s="1914" t="s">
        <v>95</v>
      </c>
      <c r="O9" s="1915"/>
      <c r="P9" s="1899"/>
      <c r="Q9" s="1916"/>
      <c r="R9" s="1916"/>
      <c r="S9" s="1916"/>
      <c r="T9" s="1916"/>
      <c r="U9" s="1916"/>
      <c r="V9" s="1917"/>
      <c r="W9" s="1917"/>
      <c r="X9" s="1917"/>
      <c r="Y9" s="1917"/>
      <c r="Z9" s="1895"/>
    </row>
    <row r="10" spans="1:26" ht="14.25" thickBot="1" x14ac:dyDescent="0.25">
      <c r="A10" s="1896"/>
      <c r="B10" s="1896"/>
      <c r="D10" s="1918"/>
      <c r="E10" s="1919"/>
      <c r="F10" s="1920"/>
      <c r="G10" s="1920"/>
      <c r="H10" s="1920"/>
      <c r="I10" s="1920"/>
      <c r="J10" s="1920"/>
      <c r="K10" s="1919"/>
      <c r="L10" s="1919"/>
      <c r="M10" s="1919"/>
      <c r="N10" s="1921"/>
      <c r="O10" s="1909"/>
      <c r="P10" s="1896"/>
      <c r="Q10" s="1896"/>
      <c r="R10" s="1896"/>
      <c r="S10" s="1896"/>
      <c r="T10" s="1896"/>
      <c r="U10" s="1896"/>
      <c r="V10" s="1896"/>
      <c r="W10" s="1900"/>
      <c r="X10" s="1896"/>
      <c r="Y10" s="1896"/>
      <c r="Z10" s="1895"/>
    </row>
    <row r="11" spans="1:26" x14ac:dyDescent="0.2">
      <c r="A11" s="1922"/>
      <c r="D11" s="1923"/>
      <c r="E11" s="1924"/>
      <c r="F11" s="1909"/>
      <c r="G11" s="1909"/>
      <c r="H11" s="1909"/>
      <c r="I11" s="1909"/>
      <c r="J11" s="1909"/>
      <c r="K11" s="1924"/>
      <c r="L11" s="1925"/>
      <c r="M11" s="1924"/>
      <c r="N11" s="1926"/>
      <c r="O11" s="1909"/>
      <c r="P11" s="1896"/>
      <c r="Q11" s="1896"/>
      <c r="R11" s="1896"/>
      <c r="S11" s="1896"/>
      <c r="T11" s="1896"/>
      <c r="U11" s="1896"/>
      <c r="V11" s="1896"/>
      <c r="W11" s="1900"/>
      <c r="X11" s="1896"/>
      <c r="Y11" s="1896"/>
      <c r="Z11" s="1895"/>
    </row>
    <row r="12" spans="1:26" x14ac:dyDescent="0.2">
      <c r="A12" s="1922"/>
      <c r="D12" s="1927" t="s">
        <v>459</v>
      </c>
      <c r="E12" s="1911"/>
      <c r="F12" s="1928" t="s">
        <v>460</v>
      </c>
      <c r="G12" s="1928"/>
      <c r="H12" s="1909"/>
      <c r="I12" s="1909"/>
      <c r="J12" s="1909"/>
      <c r="K12" s="1924"/>
      <c r="L12" s="1925"/>
      <c r="M12" s="1924"/>
      <c r="N12" s="1926"/>
      <c r="O12" s="1928"/>
      <c r="P12" s="1899"/>
      <c r="Q12" s="1899"/>
      <c r="R12" s="1899"/>
      <c r="S12" s="1896"/>
      <c r="T12" s="1896"/>
      <c r="U12" s="1896"/>
      <c r="V12" s="1896"/>
      <c r="W12" s="1896"/>
      <c r="X12" s="1896"/>
      <c r="Y12" s="1896"/>
      <c r="Z12" s="1895"/>
    </row>
    <row r="13" spans="1:26" x14ac:dyDescent="0.2">
      <c r="A13" s="1922"/>
      <c r="D13" s="1929">
        <v>1</v>
      </c>
      <c r="E13" s="1911"/>
      <c r="F13" s="1909" t="s">
        <v>1381</v>
      </c>
      <c r="G13" s="1928"/>
      <c r="H13" s="1909"/>
      <c r="I13" s="1909"/>
      <c r="J13" s="1909"/>
      <c r="K13" s="1924"/>
      <c r="L13" s="1925"/>
      <c r="M13" s="1924"/>
      <c r="N13" s="1926"/>
      <c r="O13" s="1928"/>
      <c r="P13" s="1899"/>
      <c r="Q13" s="1899"/>
      <c r="R13" s="1899"/>
      <c r="S13" s="1896"/>
      <c r="T13" s="1896"/>
      <c r="U13" s="1896"/>
      <c r="V13" s="1896"/>
      <c r="W13" s="1896"/>
      <c r="X13" s="1896"/>
      <c r="Y13" s="1896"/>
      <c r="Z13" s="1895"/>
    </row>
    <row r="14" spans="1:26" x14ac:dyDescent="0.2">
      <c r="A14" s="1922"/>
      <c r="D14" s="1930">
        <v>2</v>
      </c>
      <c r="E14" s="1924"/>
      <c r="F14" s="1909" t="s">
        <v>1382</v>
      </c>
      <c r="G14" s="1909"/>
      <c r="H14" s="1909"/>
      <c r="I14" s="1909"/>
      <c r="J14" s="1909"/>
      <c r="K14" s="1924"/>
      <c r="L14" s="1925"/>
      <c r="M14" s="1924"/>
      <c r="N14" s="1926"/>
      <c r="O14" s="1909"/>
      <c r="P14" s="1896"/>
      <c r="Q14" s="1896"/>
      <c r="R14" s="1896"/>
      <c r="S14" s="1896"/>
      <c r="T14" s="1896"/>
      <c r="U14" s="1896"/>
      <c r="V14" s="1931"/>
      <c r="W14" s="1900"/>
      <c r="X14" s="1931"/>
      <c r="Y14" s="1896"/>
      <c r="Z14" s="1895"/>
    </row>
    <row r="15" spans="1:26" x14ac:dyDescent="0.2">
      <c r="A15" s="1932"/>
      <c r="B15" s="1933" t="e">
        <f>#REF!</f>
        <v>#REF!</v>
      </c>
      <c r="C15" s="1934" t="e">
        <f>#REF!</f>
        <v>#REF!</v>
      </c>
      <c r="D15" s="1930">
        <f>D14+1</f>
        <v>3</v>
      </c>
      <c r="E15" s="1924"/>
      <c r="F15" s="1935" t="s">
        <v>1383</v>
      </c>
      <c r="G15" s="1935"/>
      <c r="H15" s="1935"/>
      <c r="I15" s="1935"/>
      <c r="J15" s="1935"/>
      <c r="K15" s="1936"/>
      <c r="L15" s="1937"/>
      <c r="M15" s="1936"/>
      <c r="N15" s="1926"/>
      <c r="O15" s="1909"/>
      <c r="P15" s="1896"/>
      <c r="Q15" s="1938"/>
      <c r="R15" s="1896"/>
      <c r="S15" s="1896"/>
      <c r="T15" s="1896"/>
      <c r="U15" s="1896"/>
      <c r="V15" s="1931"/>
      <c r="W15" s="1939"/>
      <c r="X15" s="1931"/>
      <c r="Y15" s="1896"/>
      <c r="Z15" s="1895"/>
    </row>
    <row r="16" spans="1:26" x14ac:dyDescent="0.2">
      <c r="A16" s="1932"/>
      <c r="B16" s="1933"/>
      <c r="C16" s="1934"/>
      <c r="D16" s="1930">
        <f t="shared" ref="D16:D17" si="0">D15+1</f>
        <v>4</v>
      </c>
      <c r="E16" s="1924"/>
      <c r="F16" s="1935" t="s">
        <v>1386</v>
      </c>
      <c r="G16" s="1935"/>
      <c r="H16" s="1935"/>
      <c r="I16" s="1935"/>
      <c r="J16" s="1935"/>
      <c r="K16" s="1936" t="s">
        <v>463</v>
      </c>
      <c r="L16" s="1937">
        <v>7</v>
      </c>
      <c r="M16" s="1936" t="s">
        <v>464</v>
      </c>
      <c r="N16" s="1926"/>
      <c r="O16" s="1909"/>
      <c r="P16" s="1896"/>
      <c r="Q16" s="1938"/>
      <c r="R16" s="1896"/>
      <c r="S16" s="1896"/>
      <c r="T16" s="1896"/>
      <c r="U16" s="1896"/>
      <c r="V16" s="1931"/>
      <c r="W16" s="1939"/>
      <c r="X16" s="1931"/>
      <c r="Y16" s="1896"/>
      <c r="Z16" s="1895"/>
    </row>
    <row r="17" spans="1:28" x14ac:dyDescent="0.2">
      <c r="A17" s="1932"/>
      <c r="D17" s="1930">
        <f t="shared" si="0"/>
        <v>5</v>
      </c>
      <c r="E17" s="1924"/>
      <c r="F17" s="1909" t="s">
        <v>1384</v>
      </c>
      <c r="G17" s="1909"/>
      <c r="H17" s="1909"/>
      <c r="I17" s="1909"/>
      <c r="J17" s="1909"/>
      <c r="K17" s="1940" t="s">
        <v>1387</v>
      </c>
      <c r="L17" s="1925">
        <v>0.7</v>
      </c>
      <c r="M17" s="1940" t="s">
        <v>1364</v>
      </c>
      <c r="N17" s="1926"/>
      <c r="O17" s="1909"/>
      <c r="P17" s="1896"/>
      <c r="Q17" s="1938"/>
      <c r="R17" s="1896"/>
      <c r="S17" s="1896"/>
      <c r="T17" s="1896"/>
      <c r="U17" s="1896"/>
      <c r="V17" s="1931"/>
      <c r="W17" s="1939"/>
      <c r="X17" s="1931"/>
      <c r="Y17" s="1896"/>
      <c r="Z17" s="1895"/>
    </row>
    <row r="18" spans="1:28" x14ac:dyDescent="0.2">
      <c r="A18" s="1932"/>
      <c r="D18" s="1930">
        <v>5</v>
      </c>
      <c r="E18" s="1924"/>
      <c r="F18" s="1909" t="s">
        <v>1385</v>
      </c>
      <c r="G18" s="1909"/>
      <c r="H18" s="1909"/>
      <c r="I18" s="1909"/>
      <c r="J18" s="1909"/>
      <c r="K18" s="1940" t="s">
        <v>1388</v>
      </c>
      <c r="L18" s="1941">
        <v>1.1000000000000001</v>
      </c>
      <c r="M18" s="1940" t="s">
        <v>1389</v>
      </c>
      <c r="N18" s="1926"/>
      <c r="O18" s="1909"/>
      <c r="P18" s="1896"/>
      <c r="Q18" s="1896"/>
      <c r="R18" s="1896"/>
      <c r="S18" s="1896"/>
      <c r="T18" s="1896"/>
      <c r="U18" s="1896"/>
      <c r="V18" s="1896"/>
      <c r="W18" s="1900"/>
      <c r="X18" s="1896"/>
      <c r="Y18" s="1896"/>
      <c r="Z18" s="1895"/>
    </row>
    <row r="19" spans="1:28" x14ac:dyDescent="0.2">
      <c r="B19" s="1894"/>
      <c r="D19" s="1930"/>
      <c r="E19" s="1924"/>
      <c r="F19" s="1909"/>
      <c r="G19" s="1909"/>
      <c r="H19" s="1909"/>
      <c r="I19" s="1909"/>
      <c r="J19" s="1909"/>
      <c r="K19" s="1924"/>
      <c r="L19" s="1942"/>
      <c r="M19" s="1940"/>
      <c r="N19" s="1926"/>
      <c r="O19" s="1909"/>
      <c r="P19" s="1896"/>
      <c r="Q19" s="1899"/>
      <c r="R19" s="1899"/>
      <c r="S19" s="1899"/>
      <c r="T19" s="1896"/>
      <c r="U19" s="1896"/>
      <c r="V19" s="1896"/>
      <c r="W19" s="1900"/>
      <c r="X19" s="1896"/>
      <c r="Y19" s="1896"/>
      <c r="Z19" s="1895"/>
    </row>
    <row r="20" spans="1:28" x14ac:dyDescent="0.2">
      <c r="A20" s="1943"/>
      <c r="B20" s="1896"/>
      <c r="D20" s="1927" t="s">
        <v>467</v>
      </c>
      <c r="E20" s="1911"/>
      <c r="F20" s="1928" t="s">
        <v>468</v>
      </c>
      <c r="G20" s="1928"/>
      <c r="H20" s="1909"/>
      <c r="I20" s="1909"/>
      <c r="J20" s="1909"/>
      <c r="K20" s="1924"/>
      <c r="L20" s="1942"/>
      <c r="M20" s="1940"/>
      <c r="N20" s="1926"/>
      <c r="O20" s="1909"/>
      <c r="P20" s="1896"/>
      <c r="Q20" s="1896"/>
      <c r="R20" s="1896"/>
      <c r="S20" s="1896"/>
      <c r="T20" s="1896"/>
      <c r="U20" s="1896"/>
      <c r="V20" s="1931"/>
      <c r="W20" s="1944"/>
      <c r="X20" s="1931"/>
      <c r="Y20" s="1896"/>
      <c r="Z20" s="1895"/>
    </row>
    <row r="21" spans="1:28" x14ac:dyDescent="0.2">
      <c r="A21" s="1945"/>
      <c r="B21" s="1896"/>
      <c r="D21" s="1930">
        <v>1</v>
      </c>
      <c r="E21" s="1924"/>
      <c r="F21" s="1909" t="s">
        <v>1390</v>
      </c>
      <c r="G21" s="1909"/>
      <c r="H21" s="1909"/>
      <c r="I21" s="1909"/>
      <c r="J21" s="1909"/>
      <c r="K21" s="1924"/>
      <c r="L21" s="1941"/>
      <c r="M21" s="1940"/>
      <c r="N21" s="1926"/>
      <c r="O21" s="1909"/>
      <c r="P21" s="1896"/>
      <c r="Q21" s="1896"/>
      <c r="R21" s="1896"/>
      <c r="S21" s="1899"/>
      <c r="T21" s="1896"/>
      <c r="U21" s="1896"/>
      <c r="V21" s="1931"/>
      <c r="W21" s="1944"/>
      <c r="X21" s="1931"/>
      <c r="Y21" s="1896"/>
      <c r="Z21" s="1895"/>
      <c r="AB21" s="1894">
        <f>W21*7</f>
        <v>0</v>
      </c>
    </row>
    <row r="22" spans="1:28" x14ac:dyDescent="0.2">
      <c r="A22" s="1945"/>
      <c r="B22" s="1896"/>
      <c r="D22" s="1930">
        <f>D21+1</f>
        <v>2</v>
      </c>
      <c r="E22" s="1924"/>
      <c r="F22" s="1909" t="s">
        <v>1391</v>
      </c>
      <c r="G22" s="1909"/>
      <c r="H22" s="1909"/>
      <c r="I22" s="1909"/>
      <c r="J22" s="1909"/>
      <c r="K22" s="1924"/>
      <c r="L22" s="1941"/>
      <c r="M22" s="1940"/>
      <c r="N22" s="1926"/>
      <c r="O22" s="1909"/>
      <c r="P22" s="1896"/>
      <c r="Q22" s="1896"/>
      <c r="R22" s="1896"/>
      <c r="S22" s="1896"/>
      <c r="T22" s="1896"/>
      <c r="U22" s="1896"/>
      <c r="V22" s="1896"/>
      <c r="W22" s="1900"/>
      <c r="X22" s="1896"/>
      <c r="Y22" s="1896"/>
      <c r="Z22" s="1895"/>
    </row>
    <row r="23" spans="1:28" x14ac:dyDescent="0.2">
      <c r="A23" s="1945"/>
      <c r="B23" s="1896"/>
      <c r="D23" s="1930">
        <f>D22+1</f>
        <v>3</v>
      </c>
      <c r="E23" s="1924"/>
      <c r="F23" s="1909" t="s">
        <v>542</v>
      </c>
      <c r="G23" s="1909"/>
      <c r="H23" s="1909"/>
      <c r="I23" s="1909"/>
      <c r="J23" s="1909"/>
      <c r="K23" s="1924"/>
      <c r="L23" s="1941"/>
      <c r="M23" s="1940"/>
      <c r="N23" s="1926"/>
      <c r="O23" s="1915"/>
      <c r="P23" s="1899"/>
      <c r="Q23" s="1899"/>
      <c r="R23" s="1899"/>
      <c r="S23" s="1896"/>
      <c r="T23" s="1896"/>
      <c r="U23" s="1896"/>
      <c r="V23" s="1896"/>
      <c r="W23" s="1900"/>
      <c r="X23" s="1896"/>
      <c r="Y23" s="1896"/>
      <c r="Z23" s="1895"/>
    </row>
    <row r="24" spans="1:28" x14ac:dyDescent="0.2">
      <c r="A24" s="1945"/>
      <c r="B24" s="1896"/>
      <c r="D24" s="1930">
        <f>D23+1</f>
        <v>4</v>
      </c>
      <c r="E24" s="1924"/>
      <c r="F24" s="1909" t="s">
        <v>543</v>
      </c>
      <c r="G24" s="1909"/>
      <c r="H24" s="1909"/>
      <c r="I24" s="1909"/>
      <c r="J24" s="1909"/>
      <c r="K24" s="1924"/>
      <c r="L24" s="1946"/>
      <c r="M24" s="1940"/>
      <c r="N24" s="1926"/>
      <c r="O24" s="1909"/>
      <c r="P24" s="1896"/>
      <c r="Q24" s="1896"/>
      <c r="R24" s="1896"/>
      <c r="S24" s="1896"/>
      <c r="T24" s="1896"/>
      <c r="U24" s="1896"/>
      <c r="V24" s="1896"/>
      <c r="W24" s="1900"/>
      <c r="X24" s="1896"/>
      <c r="Y24" s="1896"/>
      <c r="Z24" s="1895"/>
    </row>
    <row r="25" spans="1:28" x14ac:dyDescent="0.2">
      <c r="A25" s="1943"/>
      <c r="B25" s="1896"/>
      <c r="D25" s="1930">
        <f>D24+1</f>
        <v>5</v>
      </c>
      <c r="E25" s="1924"/>
      <c r="F25" s="1909" t="s">
        <v>544</v>
      </c>
      <c r="G25" s="1909"/>
      <c r="H25" s="1909"/>
      <c r="I25" s="1909"/>
      <c r="J25" s="1909"/>
      <c r="K25" s="1940"/>
      <c r="L25" s="1946"/>
      <c r="M25" s="1940"/>
      <c r="N25" s="1926"/>
      <c r="O25" s="1909"/>
      <c r="P25" s="1896"/>
      <c r="Q25" s="1896"/>
      <c r="R25" s="1896"/>
      <c r="S25" s="1896"/>
      <c r="T25" s="1896"/>
      <c r="U25" s="1896"/>
      <c r="V25" s="1896"/>
      <c r="W25" s="1900"/>
      <c r="X25" s="1896"/>
      <c r="Y25" s="1896"/>
      <c r="Z25" s="1895"/>
    </row>
    <row r="26" spans="1:28" x14ac:dyDescent="0.2">
      <c r="A26" s="1943"/>
      <c r="B26" s="1896"/>
      <c r="D26" s="1930">
        <f>D25+1</f>
        <v>6</v>
      </c>
      <c r="E26" s="1924"/>
      <c r="F26" s="1909" t="s">
        <v>545</v>
      </c>
      <c r="G26" s="1909"/>
      <c r="H26" s="1909"/>
      <c r="I26" s="1909"/>
      <c r="J26" s="1909"/>
      <c r="K26" s="1940"/>
      <c r="L26" s="1946"/>
      <c r="M26" s="1940"/>
      <c r="N26" s="1926"/>
      <c r="O26" s="1909"/>
      <c r="P26" s="1896"/>
      <c r="Q26" s="1896"/>
      <c r="R26" s="1896"/>
      <c r="S26" s="1896"/>
      <c r="T26" s="1896"/>
      <c r="U26" s="1896"/>
      <c r="V26" s="1896"/>
      <c r="W26" s="1900"/>
      <c r="X26" s="1896"/>
      <c r="Y26" s="1896"/>
      <c r="Z26" s="1895"/>
    </row>
    <row r="27" spans="1:28" x14ac:dyDescent="0.2">
      <c r="A27" s="1943"/>
      <c r="B27" s="1896"/>
      <c r="D27" s="1923"/>
      <c r="E27" s="1924"/>
      <c r="F27" s="1909" t="s">
        <v>546</v>
      </c>
      <c r="G27" s="1909"/>
      <c r="H27" s="1909"/>
      <c r="I27" s="1909"/>
      <c r="J27" s="1909"/>
      <c r="K27" s="1940"/>
      <c r="L27" s="1946"/>
      <c r="M27" s="1940"/>
      <c r="N27" s="1926"/>
      <c r="O27" s="1909"/>
      <c r="P27" s="1896"/>
      <c r="Q27" s="1896"/>
      <c r="R27" s="1896"/>
      <c r="S27" s="1896"/>
      <c r="T27" s="1896"/>
      <c r="U27" s="1896"/>
      <c r="V27" s="1896"/>
      <c r="W27" s="1900"/>
      <c r="X27" s="1896"/>
      <c r="Y27" s="1896"/>
      <c r="Z27" s="1895"/>
    </row>
    <row r="28" spans="1:28" x14ac:dyDescent="0.2">
      <c r="A28" s="1947"/>
      <c r="B28" s="1896"/>
      <c r="D28" s="1923"/>
      <c r="E28" s="1924"/>
      <c r="F28" s="1909"/>
      <c r="G28" s="1909"/>
      <c r="H28" s="1909"/>
      <c r="I28" s="1909"/>
      <c r="J28" s="1909"/>
      <c r="K28" s="1924"/>
      <c r="L28" s="1946"/>
      <c r="M28" s="1940"/>
      <c r="N28" s="1926"/>
      <c r="O28" s="1915"/>
      <c r="P28" s="1899"/>
      <c r="Q28" s="1899"/>
      <c r="R28" s="1899"/>
      <c r="S28" s="1896"/>
      <c r="T28" s="1896"/>
      <c r="U28" s="1896"/>
      <c r="V28" s="1896"/>
      <c r="W28" s="1900"/>
      <c r="X28" s="1896"/>
      <c r="Y28" s="1896"/>
      <c r="Z28" s="1895"/>
    </row>
    <row r="29" spans="1:28" x14ac:dyDescent="0.2">
      <c r="A29" s="1947"/>
      <c r="B29" s="1896"/>
      <c r="D29" s="1910" t="s">
        <v>471</v>
      </c>
      <c r="E29" s="1911"/>
      <c r="F29" s="1928" t="s">
        <v>472</v>
      </c>
      <c r="G29" s="1928"/>
      <c r="H29" s="1909"/>
      <c r="I29" s="1909"/>
      <c r="J29" s="1909"/>
      <c r="K29" s="1924"/>
      <c r="L29" s="1946"/>
      <c r="M29" s="1940"/>
      <c r="N29" s="1926"/>
      <c r="O29" s="1909"/>
      <c r="P29" s="1896"/>
      <c r="Q29" s="1896"/>
      <c r="R29" s="1896"/>
      <c r="S29" s="1896"/>
      <c r="T29" s="1896"/>
      <c r="U29" s="1896"/>
      <c r="V29" s="1896"/>
      <c r="W29" s="1900"/>
      <c r="X29" s="1896"/>
      <c r="Y29" s="1896"/>
      <c r="Z29" s="1895"/>
    </row>
    <row r="30" spans="1:28" x14ac:dyDescent="0.2">
      <c r="A30" s="1947"/>
      <c r="B30" s="1896"/>
      <c r="D30" s="1948" t="s">
        <v>473</v>
      </c>
      <c r="E30" s="1911"/>
      <c r="F30" s="1928" t="s">
        <v>54</v>
      </c>
      <c r="G30" s="1928"/>
      <c r="H30" s="1909"/>
      <c r="I30" s="1909"/>
      <c r="J30" s="1909"/>
      <c r="K30" s="1924"/>
      <c r="L30" s="1946"/>
      <c r="M30" s="1940"/>
      <c r="N30" s="1926"/>
      <c r="O30" s="1909"/>
      <c r="P30" s="1896"/>
      <c r="T30" s="1896"/>
      <c r="U30" s="1896"/>
      <c r="V30" s="1896"/>
      <c r="W30" s="1900"/>
      <c r="X30" s="1896"/>
      <c r="Y30" s="1896"/>
      <c r="Z30" s="1895"/>
    </row>
    <row r="31" spans="1:28" x14ac:dyDescent="0.2">
      <c r="A31" s="1949"/>
      <c r="B31" s="1896"/>
      <c r="D31" s="1923"/>
      <c r="E31" s="1924"/>
      <c r="F31" s="1909" t="s">
        <v>1350</v>
      </c>
      <c r="G31" s="1909"/>
      <c r="H31" s="1909"/>
      <c r="I31" s="1909"/>
      <c r="J31" s="1909"/>
      <c r="K31" s="1940" t="s">
        <v>547</v>
      </c>
      <c r="L31" s="1950">
        <f>22/7*0.15*0.15</f>
        <v>7.0714285714285716E-2</v>
      </c>
      <c r="M31" s="1940" t="s">
        <v>130</v>
      </c>
      <c r="N31" s="1926"/>
      <c r="O31" s="1909"/>
      <c r="P31" s="1896"/>
      <c r="Q31" s="1951"/>
      <c r="R31" s="3239"/>
      <c r="S31" s="3240"/>
      <c r="T31" s="1896"/>
      <c r="U31" s="1896"/>
      <c r="V31" s="1896"/>
      <c r="W31" s="1900"/>
      <c r="X31" s="1896"/>
      <c r="Y31" s="1896"/>
      <c r="Z31" s="1895"/>
    </row>
    <row r="32" spans="1:28" x14ac:dyDescent="0.2">
      <c r="A32" s="1949"/>
      <c r="B32" s="1896"/>
      <c r="D32" s="1923"/>
      <c r="E32" s="1924"/>
      <c r="F32" s="1909"/>
      <c r="G32" s="1909"/>
      <c r="H32" s="1909"/>
      <c r="I32" s="1909"/>
      <c r="J32" s="1909"/>
      <c r="K32" s="1924"/>
      <c r="L32" s="1925"/>
      <c r="M32" s="1940"/>
      <c r="N32" s="1926"/>
      <c r="O32" s="1909"/>
      <c r="P32" s="1896"/>
      <c r="T32" s="1896"/>
      <c r="U32" s="1896"/>
      <c r="V32" s="1896"/>
      <c r="W32" s="1900"/>
      <c r="X32" s="1896"/>
      <c r="Y32" s="1896"/>
      <c r="Z32" s="1895"/>
    </row>
    <row r="33" spans="1:26" x14ac:dyDescent="0.2">
      <c r="A33" s="1949"/>
      <c r="B33" s="1896"/>
      <c r="D33" s="1948" t="s">
        <v>474</v>
      </c>
      <c r="E33" s="1911"/>
      <c r="F33" s="1928" t="s">
        <v>475</v>
      </c>
      <c r="G33" s="1928"/>
      <c r="H33" s="1909"/>
      <c r="I33" s="1909"/>
      <c r="J33" s="1909"/>
      <c r="K33" s="1924"/>
      <c r="L33" s="1925"/>
      <c r="M33" s="1940"/>
      <c r="N33" s="1926"/>
      <c r="O33" s="1909"/>
      <c r="P33" s="1896"/>
      <c r="Q33" s="1896"/>
      <c r="R33" s="1896"/>
      <c r="S33" s="1896"/>
      <c r="T33" s="1896"/>
      <c r="U33" s="1896"/>
      <c r="V33" s="1896"/>
      <c r="W33" s="1896"/>
      <c r="X33" s="1896"/>
      <c r="Y33" s="1896"/>
      <c r="Z33" s="1895"/>
    </row>
    <row r="34" spans="1:26" x14ac:dyDescent="0.2">
      <c r="A34" s="1949"/>
      <c r="B34" s="1896"/>
      <c r="D34" s="1923" t="s">
        <v>476</v>
      </c>
      <c r="E34" s="1924"/>
      <c r="F34" s="1952" t="s">
        <v>548</v>
      </c>
      <c r="G34" s="1952"/>
      <c r="H34" s="1909"/>
      <c r="I34" s="1909"/>
      <c r="J34" s="1909"/>
      <c r="K34" s="1940"/>
      <c r="L34" s="1925"/>
      <c r="M34" s="1940"/>
      <c r="N34" s="1926"/>
      <c r="O34" s="1909"/>
      <c r="P34" s="1896"/>
      <c r="Q34" s="1896"/>
      <c r="R34" s="1896"/>
      <c r="S34" s="1896"/>
      <c r="T34" s="1896"/>
      <c r="U34" s="1896"/>
      <c r="V34" s="1896"/>
      <c r="W34" s="1896"/>
      <c r="X34" s="1896"/>
      <c r="Y34" s="1896"/>
      <c r="Z34" s="1895"/>
    </row>
    <row r="35" spans="1:26" x14ac:dyDescent="0.2">
      <c r="A35" s="1949"/>
      <c r="B35" s="1896"/>
      <c r="D35" s="1923"/>
      <c r="E35" s="1924"/>
      <c r="F35" s="1909" t="s">
        <v>549</v>
      </c>
      <c r="G35" s="1952"/>
      <c r="H35" s="1909"/>
      <c r="I35" s="1909"/>
      <c r="J35" s="1909"/>
      <c r="K35" s="1940" t="s">
        <v>343</v>
      </c>
      <c r="L35" s="1925">
        <v>18</v>
      </c>
      <c r="M35" s="1940" t="s">
        <v>487</v>
      </c>
      <c r="N35" s="1926" t="s">
        <v>550</v>
      </c>
      <c r="O35" s="1909"/>
      <c r="P35" s="1896"/>
      <c r="Q35" s="1896">
        <v>125</v>
      </c>
      <c r="R35" s="1896"/>
      <c r="S35" s="1896" t="s">
        <v>551</v>
      </c>
      <c r="T35" s="1896"/>
      <c r="U35" s="1896"/>
      <c r="V35" s="1896"/>
      <c r="W35" s="1896"/>
      <c r="X35" s="1896"/>
      <c r="Y35" s="1896"/>
      <c r="Z35" s="1895"/>
    </row>
    <row r="36" spans="1:26" x14ac:dyDescent="0.2">
      <c r="A36" s="1949"/>
      <c r="B36" s="1896"/>
      <c r="D36" s="1923"/>
      <c r="E36" s="1924"/>
      <c r="F36" s="1909" t="s">
        <v>523</v>
      </c>
      <c r="G36" s="1952"/>
      <c r="H36" s="1909"/>
      <c r="I36" s="1909"/>
      <c r="J36" s="1909"/>
      <c r="K36" s="1940" t="s">
        <v>524</v>
      </c>
      <c r="L36" s="1925">
        <v>0.75</v>
      </c>
      <c r="M36" s="1940"/>
      <c r="N36" s="1926" t="s">
        <v>552</v>
      </c>
      <c r="O36" s="1909"/>
      <c r="P36" s="1896"/>
      <c r="Q36" s="1896">
        <f>Q35/7</f>
        <v>17.857142857142858</v>
      </c>
      <c r="R36" s="1896"/>
      <c r="S36" s="1896"/>
      <c r="T36" s="1896"/>
      <c r="U36" s="1896"/>
      <c r="V36" s="1896"/>
      <c r="W36" s="1896"/>
      <c r="X36" s="1896"/>
      <c r="Y36" s="1896"/>
      <c r="Z36" s="1895"/>
    </row>
    <row r="37" spans="1:26" x14ac:dyDescent="0.2">
      <c r="A37" s="1949"/>
      <c r="B37" s="1896"/>
      <c r="D37" s="1923"/>
      <c r="E37" s="1924"/>
      <c r="F37" s="1909"/>
      <c r="G37" s="1952"/>
      <c r="H37" s="1909"/>
      <c r="I37" s="1909"/>
      <c r="J37" s="1909"/>
      <c r="K37" s="1940"/>
      <c r="L37" s="1925"/>
      <c r="M37" s="1940"/>
      <c r="N37" s="1926"/>
      <c r="O37" s="1909"/>
      <c r="P37" s="1896"/>
      <c r="Q37" s="1896"/>
      <c r="R37" s="1896"/>
      <c r="S37" s="1896"/>
      <c r="T37" s="1896"/>
      <c r="U37" s="1896"/>
      <c r="V37" s="1896"/>
      <c r="W37" s="1896"/>
      <c r="X37" s="1896"/>
      <c r="Y37" s="1896"/>
      <c r="Z37" s="1895"/>
    </row>
    <row r="38" spans="1:26" x14ac:dyDescent="0.2">
      <c r="A38" s="1949"/>
      <c r="B38" s="1896"/>
      <c r="D38" s="1923"/>
      <c r="E38" s="1924"/>
      <c r="F38" s="1909" t="s">
        <v>553</v>
      </c>
      <c r="G38" s="1952"/>
      <c r="H38" s="1909"/>
      <c r="I38" s="1909"/>
      <c r="J38" s="1909"/>
      <c r="K38" s="1940"/>
      <c r="L38" s="1925"/>
      <c r="M38" s="1940"/>
      <c r="N38" s="1926"/>
      <c r="O38" s="1909"/>
      <c r="P38" s="1896"/>
      <c r="Q38" s="1896"/>
      <c r="R38" s="1896"/>
      <c r="S38" s="1896"/>
      <c r="T38" s="1896"/>
      <c r="U38" s="1896"/>
      <c r="V38" s="1896"/>
      <c r="W38" s="1896"/>
      <c r="X38" s="1896"/>
      <c r="Y38" s="1896"/>
      <c r="Z38" s="1895"/>
    </row>
    <row r="39" spans="1:26" x14ac:dyDescent="0.2">
      <c r="A39" s="1949"/>
      <c r="B39" s="1896"/>
      <c r="D39" s="1923"/>
      <c r="E39" s="1924"/>
      <c r="F39" s="1953" t="s">
        <v>554</v>
      </c>
      <c r="G39" s="1952"/>
      <c r="H39" s="1909"/>
      <c r="I39" s="1909"/>
      <c r="J39" s="1909"/>
      <c r="K39" s="1940" t="s">
        <v>480</v>
      </c>
      <c r="L39" s="1925">
        <v>15</v>
      </c>
      <c r="M39" s="1940" t="s">
        <v>481</v>
      </c>
      <c r="N39" s="1926" t="s">
        <v>482</v>
      </c>
      <c r="O39" s="1909"/>
      <c r="P39" s="1896"/>
      <c r="Q39" s="1938">
        <f>[65]Analisa!H83</f>
        <v>485800</v>
      </c>
      <c r="R39" s="1896"/>
      <c r="S39" s="1896"/>
      <c r="T39" s="1896"/>
      <c r="U39" s="1896"/>
      <c r="V39" s="1896"/>
      <c r="W39" s="1896"/>
      <c r="X39" s="1896"/>
      <c r="Y39" s="1896"/>
      <c r="Z39" s="1895"/>
    </row>
    <row r="40" spans="1:26" x14ac:dyDescent="0.2">
      <c r="A40" s="1949"/>
      <c r="B40" s="1896"/>
      <c r="D40" s="1923"/>
      <c r="E40" s="1924"/>
      <c r="F40" s="1953" t="s">
        <v>555</v>
      </c>
      <c r="G40" s="1952"/>
      <c r="H40" s="1909"/>
      <c r="I40" s="1909"/>
      <c r="J40" s="1909"/>
      <c r="K40" s="1940" t="s">
        <v>556</v>
      </c>
      <c r="L40" s="1925">
        <v>17.5</v>
      </c>
      <c r="M40" s="1940" t="s">
        <v>481</v>
      </c>
      <c r="N40" s="1926" t="s">
        <v>482</v>
      </c>
      <c r="O40" s="1909"/>
      <c r="P40" s="1896"/>
      <c r="Q40" s="1896"/>
      <c r="R40" s="1896"/>
      <c r="S40" s="1896"/>
      <c r="T40" s="1896"/>
      <c r="U40" s="1896"/>
      <c r="V40" s="1896"/>
      <c r="W40" s="1896"/>
      <c r="X40" s="1896"/>
      <c r="Y40" s="1896"/>
      <c r="Z40" s="1895"/>
    </row>
    <row r="41" spans="1:26" x14ac:dyDescent="0.2">
      <c r="A41" s="1949"/>
      <c r="B41" s="1896"/>
      <c r="D41" s="1923"/>
      <c r="E41" s="1924"/>
      <c r="F41" s="1953" t="s">
        <v>557</v>
      </c>
      <c r="G41" s="1952"/>
      <c r="H41" s="1909"/>
      <c r="I41" s="1909"/>
      <c r="J41" s="1909"/>
      <c r="K41" s="1940" t="s">
        <v>558</v>
      </c>
      <c r="L41" s="1925">
        <v>8</v>
      </c>
      <c r="M41" s="1940" t="s">
        <v>481</v>
      </c>
      <c r="N41" s="1926" t="s">
        <v>482</v>
      </c>
      <c r="O41" s="1909"/>
      <c r="P41" s="1896"/>
      <c r="Q41" s="1896"/>
      <c r="R41" s="1896"/>
      <c r="S41" s="1896"/>
      <c r="T41" s="1896"/>
      <c r="U41" s="1896"/>
      <c r="V41" s="1896"/>
      <c r="W41" s="1896"/>
      <c r="X41" s="1896"/>
      <c r="Y41" s="1896"/>
      <c r="Z41" s="1895"/>
    </row>
    <row r="42" spans="1:26" x14ac:dyDescent="0.2">
      <c r="A42" s="1949"/>
      <c r="B42" s="1896"/>
      <c r="D42" s="1923"/>
      <c r="E42" s="1924"/>
      <c r="F42" s="1909"/>
      <c r="G42" s="1952"/>
      <c r="H42" s="1909"/>
      <c r="I42" s="1909"/>
      <c r="J42" s="1909"/>
      <c r="K42" s="1954" t="s">
        <v>483</v>
      </c>
      <c r="L42" s="1955">
        <f>SUM(L39:L41)</f>
        <v>40.5</v>
      </c>
      <c r="M42" s="1956" t="s">
        <v>481</v>
      </c>
      <c r="N42" s="1926"/>
      <c r="O42" s="1909"/>
      <c r="P42" s="1896"/>
      <c r="Q42" s="1896"/>
      <c r="R42" s="1896"/>
      <c r="S42" s="1896"/>
      <c r="T42" s="1896"/>
      <c r="U42" s="1896"/>
      <c r="V42" s="1896"/>
      <c r="W42" s="1896"/>
      <c r="X42" s="1896"/>
      <c r="Y42" s="1896"/>
      <c r="Z42" s="1895"/>
    </row>
    <row r="43" spans="1:26" x14ac:dyDescent="0.2">
      <c r="A43" s="1949"/>
      <c r="B43" s="1896"/>
      <c r="D43" s="1923"/>
      <c r="E43" s="1924"/>
      <c r="F43" s="1909"/>
      <c r="G43" s="1952"/>
      <c r="H43" s="1909"/>
      <c r="I43" s="1909"/>
      <c r="J43" s="1909"/>
      <c r="K43" s="1940"/>
      <c r="L43" s="1925"/>
      <c r="M43" s="1940"/>
      <c r="N43" s="1926"/>
      <c r="O43" s="1909"/>
      <c r="P43" s="1896"/>
      <c r="Q43" s="1896">
        <v>15</v>
      </c>
      <c r="R43" s="1896"/>
      <c r="S43" s="1896"/>
      <c r="T43" s="1896"/>
      <c r="U43" s="1896"/>
      <c r="V43" s="1896"/>
      <c r="W43" s="1896"/>
      <c r="X43" s="1896"/>
      <c r="Y43" s="1896"/>
      <c r="Z43" s="1895"/>
    </row>
    <row r="44" spans="1:26" x14ac:dyDescent="0.2">
      <c r="A44" s="1949"/>
      <c r="B44" s="1896"/>
      <c r="D44" s="1923"/>
      <c r="E44" s="1924"/>
      <c r="F44" s="1909" t="s">
        <v>484</v>
      </c>
      <c r="G44" s="1952"/>
      <c r="H44" s="1952" t="s">
        <v>559</v>
      </c>
      <c r="I44" s="1909"/>
      <c r="J44" s="1909"/>
      <c r="K44" s="1940" t="s">
        <v>486</v>
      </c>
      <c r="L44" s="1925">
        <f>L35*L36*L40/L42</f>
        <v>5.833333333333333</v>
      </c>
      <c r="M44" s="1940" t="s">
        <v>487</v>
      </c>
      <c r="N44" s="1926"/>
      <c r="O44" s="1909"/>
      <c r="P44" s="1896"/>
      <c r="Q44" s="1896">
        <f>1/Q43</f>
        <v>6.6666666666666666E-2</v>
      </c>
      <c r="R44" s="1896"/>
      <c r="S44" s="1896"/>
      <c r="T44" s="1896"/>
      <c r="U44" s="1896"/>
      <c r="V44" s="1896"/>
      <c r="W44" s="1896"/>
      <c r="X44" s="1896"/>
      <c r="Y44" s="1896"/>
      <c r="Z44" s="1895"/>
    </row>
    <row r="45" spans="1:26" x14ac:dyDescent="0.2">
      <c r="A45" s="1949"/>
      <c r="B45" s="1896"/>
      <c r="D45" s="1923"/>
      <c r="E45" s="1924"/>
      <c r="F45" s="1909"/>
      <c r="G45" s="1952"/>
      <c r="H45" s="1909" t="s">
        <v>527</v>
      </c>
      <c r="I45" s="1909"/>
      <c r="J45" s="1909"/>
      <c r="K45" s="1940"/>
      <c r="L45" s="1925"/>
      <c r="M45" s="1940"/>
      <c r="N45" s="1926"/>
      <c r="O45" s="1909"/>
      <c r="P45" s="1896"/>
      <c r="Q45" s="1896"/>
      <c r="R45" s="1896"/>
      <c r="S45" s="1896"/>
      <c r="T45" s="1896"/>
      <c r="U45" s="1896"/>
      <c r="V45" s="1896"/>
      <c r="W45" s="1896"/>
      <c r="X45" s="1896"/>
      <c r="Y45" s="1896"/>
      <c r="Z45" s="1895"/>
    </row>
    <row r="46" spans="1:26" x14ac:dyDescent="0.2">
      <c r="A46" s="1949"/>
      <c r="B46" s="1896"/>
      <c r="D46" s="1923"/>
      <c r="E46" s="1924"/>
      <c r="F46" s="1928" t="s">
        <v>528</v>
      </c>
      <c r="G46" s="1928"/>
      <c r="H46" s="1928" t="s">
        <v>529</v>
      </c>
      <c r="I46" s="1909"/>
      <c r="J46" s="1909"/>
      <c r="K46" s="1940"/>
      <c r="L46" s="1957">
        <f>1/L44</f>
        <v>0.17142857142857143</v>
      </c>
      <c r="M46" s="1940" t="s">
        <v>464</v>
      </c>
      <c r="N46" s="1926"/>
      <c r="O46" s="1909"/>
      <c r="P46" s="1896"/>
      <c r="Q46" s="1958"/>
      <c r="R46" s="1896"/>
      <c r="S46" s="1896"/>
      <c r="T46" s="1896"/>
      <c r="U46" s="1896"/>
      <c r="V46" s="1896"/>
      <c r="W46" s="1896"/>
      <c r="X46" s="1896"/>
      <c r="Y46" s="1896"/>
      <c r="Z46" s="1895"/>
    </row>
    <row r="47" spans="1:26" x14ac:dyDescent="0.2">
      <c r="A47" s="1949"/>
      <c r="B47" s="1896"/>
      <c r="D47" s="1923"/>
      <c r="E47" s="1924"/>
      <c r="F47" s="1909"/>
      <c r="G47" s="1952"/>
      <c r="H47" s="1909"/>
      <c r="I47" s="1909"/>
      <c r="J47" s="1909"/>
      <c r="K47" s="1940"/>
      <c r="L47" s="1925"/>
      <c r="M47" s="1924"/>
      <c r="N47" s="1926"/>
      <c r="O47" s="1909"/>
      <c r="P47" s="1896"/>
      <c r="Q47" s="1896"/>
      <c r="R47" s="1896"/>
      <c r="S47" s="1896"/>
      <c r="T47" s="1896"/>
      <c r="U47" s="1896"/>
      <c r="V47" s="1896"/>
      <c r="W47" s="1896"/>
      <c r="X47" s="1896"/>
      <c r="Y47" s="1896"/>
      <c r="Z47" s="1895"/>
    </row>
    <row r="48" spans="1:26" x14ac:dyDescent="0.2">
      <c r="A48" s="1959"/>
      <c r="D48" s="1923" t="s">
        <v>489</v>
      </c>
      <c r="E48" s="1924"/>
      <c r="F48" s="1952" t="s">
        <v>490</v>
      </c>
      <c r="G48" s="1952"/>
      <c r="H48" s="1909"/>
      <c r="I48" s="1909"/>
      <c r="J48" s="1909"/>
      <c r="K48" s="1924"/>
      <c r="L48" s="1924"/>
      <c r="M48" s="1924"/>
      <c r="N48" s="1926"/>
      <c r="O48" s="1909"/>
      <c r="P48" s="1896"/>
      <c r="Q48" s="1899"/>
      <c r="R48" s="1899"/>
      <c r="S48" s="1896"/>
      <c r="T48" s="1896"/>
      <c r="U48" s="1896"/>
      <c r="V48" s="1896"/>
      <c r="W48" s="1944"/>
      <c r="X48" s="1896"/>
      <c r="Y48" s="1896"/>
      <c r="Z48" s="1895"/>
    </row>
    <row r="49" spans="1:26" x14ac:dyDescent="0.2">
      <c r="A49" s="1959"/>
      <c r="D49" s="1923"/>
      <c r="E49" s="1924"/>
      <c r="F49" s="1909" t="s">
        <v>491</v>
      </c>
      <c r="G49" s="1909"/>
      <c r="H49" s="1909"/>
      <c r="I49" s="1909"/>
      <c r="J49" s="1909"/>
      <c r="K49" s="1924"/>
      <c r="L49" s="1924"/>
      <c r="M49" s="1924"/>
      <c r="N49" s="1960" t="s">
        <v>492</v>
      </c>
      <c r="O49" s="1909"/>
      <c r="P49" s="1896"/>
      <c r="Q49" s="1899"/>
      <c r="R49" s="1899"/>
      <c r="S49" s="1896"/>
      <c r="T49" s="1896"/>
      <c r="U49" s="1896"/>
      <c r="V49" s="1896"/>
      <c r="W49" s="1944"/>
      <c r="X49" s="1896"/>
      <c r="Y49" s="1896"/>
      <c r="Z49" s="1895"/>
    </row>
    <row r="50" spans="1:26" x14ac:dyDescent="0.2">
      <c r="A50" s="1959"/>
      <c r="D50" s="1923"/>
      <c r="E50" s="1924"/>
      <c r="F50" s="1953" t="s">
        <v>560</v>
      </c>
      <c r="G50" s="1909"/>
      <c r="H50" s="1909"/>
      <c r="I50" s="1909"/>
      <c r="J50" s="1909"/>
      <c r="K50" s="1924"/>
      <c r="L50" s="1924"/>
      <c r="M50" s="1924"/>
      <c r="N50" s="1926"/>
      <c r="O50" s="1909"/>
      <c r="P50" s="1896"/>
      <c r="Q50" s="1899"/>
      <c r="R50" s="1899"/>
      <c r="S50" s="1896"/>
      <c r="T50" s="1896"/>
      <c r="U50" s="1896"/>
      <c r="V50" s="1896"/>
      <c r="W50" s="1944"/>
      <c r="X50" s="1896"/>
      <c r="Y50" s="1896"/>
      <c r="Z50" s="1895"/>
    </row>
    <row r="51" spans="1:26" x14ac:dyDescent="0.2">
      <c r="A51" s="1959"/>
      <c r="D51" s="1923"/>
      <c r="E51" s="1924"/>
      <c r="F51" s="1953" t="s">
        <v>561</v>
      </c>
      <c r="G51" s="1909"/>
      <c r="H51" s="1909"/>
      <c r="I51" s="1909"/>
      <c r="J51" s="1909"/>
      <c r="K51" s="1924"/>
      <c r="L51" s="1924"/>
      <c r="M51" s="1924"/>
      <c r="N51" s="1926"/>
      <c r="O51" s="1909"/>
      <c r="P51" s="1896"/>
      <c r="Q51" s="1899"/>
      <c r="R51" s="1899"/>
      <c r="S51" s="1896"/>
      <c r="T51" s="1896"/>
      <c r="U51" s="1896"/>
      <c r="V51" s="1896"/>
      <c r="W51" s="1944"/>
      <c r="X51" s="1896"/>
      <c r="Y51" s="1896"/>
      <c r="Z51" s="1895"/>
    </row>
    <row r="52" spans="1:26" x14ac:dyDescent="0.2">
      <c r="A52" s="1961"/>
      <c r="D52" s="1923"/>
      <c r="E52" s="1924"/>
      <c r="F52" s="1909"/>
      <c r="G52" s="1909"/>
      <c r="H52" s="1909"/>
      <c r="I52" s="1909"/>
      <c r="J52" s="1909"/>
      <c r="K52" s="1924"/>
      <c r="L52" s="1924"/>
      <c r="M52" s="1924"/>
      <c r="N52" s="1926"/>
      <c r="O52" s="1909"/>
      <c r="P52" s="1896"/>
      <c r="Q52" s="1899"/>
      <c r="R52" s="1899"/>
      <c r="S52" s="1896"/>
      <c r="T52" s="1896"/>
      <c r="U52" s="1896"/>
      <c r="V52" s="1896"/>
      <c r="W52" s="1944"/>
      <c r="X52" s="1896"/>
      <c r="Y52" s="1896"/>
      <c r="Z52" s="1895"/>
    </row>
    <row r="53" spans="1:26" x14ac:dyDescent="0.2">
      <c r="A53" s="1961"/>
      <c r="D53" s="1948" t="s">
        <v>494</v>
      </c>
      <c r="E53" s="1911"/>
      <c r="F53" s="1928" t="s">
        <v>42</v>
      </c>
      <c r="G53" s="1928"/>
      <c r="H53" s="1909"/>
      <c r="I53" s="1909"/>
      <c r="J53" s="1909"/>
      <c r="K53" s="1924"/>
      <c r="L53" s="1924"/>
      <c r="M53" s="1924"/>
      <c r="N53" s="1926"/>
      <c r="O53" s="1909"/>
      <c r="P53" s="1896"/>
      <c r="Q53" s="1899"/>
      <c r="R53" s="1899"/>
      <c r="S53" s="1896"/>
      <c r="T53" s="1896"/>
      <c r="U53" s="1896"/>
      <c r="V53" s="1896"/>
      <c r="W53" s="1944"/>
      <c r="X53" s="1896"/>
      <c r="Y53" s="1896"/>
      <c r="Z53" s="1895"/>
    </row>
    <row r="54" spans="1:26" x14ac:dyDescent="0.2">
      <c r="A54" s="1959"/>
      <c r="D54" s="1923"/>
      <c r="E54" s="1924"/>
      <c r="F54" s="1909" t="s">
        <v>562</v>
      </c>
      <c r="G54" s="1909"/>
      <c r="H54" s="1909"/>
      <c r="I54" s="1909"/>
      <c r="J54" s="1909"/>
      <c r="K54" s="1940" t="s">
        <v>486</v>
      </c>
      <c r="L54" s="1925">
        <f>+L44</f>
        <v>5.833333333333333</v>
      </c>
      <c r="M54" s="1940" t="s">
        <v>496</v>
      </c>
      <c r="N54" s="1926"/>
      <c r="O54" s="1909"/>
      <c r="P54" s="1896"/>
      <c r="Q54" s="1896"/>
      <c r="R54" s="1896"/>
      <c r="S54" s="1896"/>
      <c r="T54" s="1896"/>
      <c r="U54" s="1896"/>
      <c r="V54" s="1896"/>
      <c r="W54" s="1900"/>
      <c r="X54" s="1896"/>
      <c r="Y54" s="1896"/>
      <c r="Z54" s="1895"/>
    </row>
    <row r="55" spans="1:26" x14ac:dyDescent="0.2">
      <c r="A55" s="1959"/>
      <c r="D55" s="1923"/>
      <c r="E55" s="1924"/>
      <c r="F55" s="1909" t="s">
        <v>497</v>
      </c>
      <c r="G55" s="1909"/>
      <c r="H55" s="1909"/>
      <c r="I55" s="1909"/>
      <c r="J55" s="1909"/>
      <c r="K55" s="1940" t="s">
        <v>498</v>
      </c>
      <c r="L55" s="1925">
        <f>L15*L54</f>
        <v>0</v>
      </c>
      <c r="M55" s="1940" t="s">
        <v>563</v>
      </c>
      <c r="N55" s="1926"/>
      <c r="O55" s="1896"/>
      <c r="P55" s="1896"/>
      <c r="Q55" s="1896"/>
      <c r="R55" s="1896"/>
      <c r="S55" s="1896"/>
      <c r="T55" s="1896"/>
      <c r="U55" s="1896"/>
      <c r="V55" s="1896"/>
      <c r="W55" s="1896"/>
      <c r="X55" s="1896"/>
      <c r="Y55" s="1896"/>
      <c r="Z55" s="1895"/>
    </row>
    <row r="56" spans="1:26" x14ac:dyDescent="0.2">
      <c r="A56" s="1959"/>
      <c r="D56" s="1923"/>
      <c r="E56" s="1924"/>
      <c r="F56" s="1909" t="s">
        <v>499</v>
      </c>
      <c r="G56" s="1909"/>
      <c r="H56" s="1909"/>
      <c r="I56" s="1909"/>
      <c r="J56" s="1909"/>
      <c r="K56" s="1924"/>
      <c r="L56" s="1925"/>
      <c r="M56" s="1924"/>
      <c r="N56" s="1926"/>
      <c r="O56" s="1959"/>
      <c r="P56" s="1959"/>
      <c r="Q56" s="1959"/>
      <c r="R56" s="1959"/>
      <c r="S56" s="1959"/>
      <c r="T56" s="1959"/>
      <c r="U56" s="1959"/>
      <c r="V56" s="1959"/>
      <c r="W56" s="1959"/>
      <c r="X56" s="1959"/>
      <c r="Y56" s="1959"/>
      <c r="Z56" s="1895"/>
    </row>
    <row r="57" spans="1:26" x14ac:dyDescent="0.2">
      <c r="A57" s="1959"/>
      <c r="D57" s="1923"/>
      <c r="E57" s="1924"/>
      <c r="F57" s="1909"/>
      <c r="G57" s="1909"/>
      <c r="H57" s="1953" t="s">
        <v>564</v>
      </c>
      <c r="I57" s="1909"/>
      <c r="J57" s="1909"/>
      <c r="K57" s="1940" t="s">
        <v>150</v>
      </c>
      <c r="L57" s="1962">
        <v>4</v>
      </c>
      <c r="M57" s="1940" t="s">
        <v>501</v>
      </c>
      <c r="N57" s="1926"/>
      <c r="O57" s="1959"/>
      <c r="P57" s="1959"/>
      <c r="Q57" s="1959"/>
      <c r="R57" s="1959"/>
      <c r="S57" s="1959"/>
      <c r="T57" s="1959"/>
      <c r="U57" s="1959"/>
      <c r="V57" s="1959"/>
      <c r="W57" s="1959"/>
      <c r="X57" s="1959"/>
      <c r="Y57" s="1959"/>
      <c r="Z57" s="1895"/>
    </row>
    <row r="58" spans="1:26" x14ac:dyDescent="0.2">
      <c r="A58" s="1959"/>
      <c r="D58" s="1923"/>
      <c r="E58" s="1924"/>
      <c r="F58" s="1909"/>
      <c r="G58" s="1909"/>
      <c r="H58" s="1953" t="s">
        <v>565</v>
      </c>
      <c r="I58" s="1909"/>
      <c r="J58" s="1909"/>
      <c r="K58" s="1940" t="s">
        <v>152</v>
      </c>
      <c r="L58" s="1962">
        <v>1</v>
      </c>
      <c r="M58" s="1940" t="s">
        <v>501</v>
      </c>
      <c r="N58" s="1926"/>
      <c r="O58" s="1959"/>
      <c r="P58" s="1959"/>
      <c r="Q58" s="1959"/>
      <c r="R58" s="1959"/>
      <c r="S58" s="1959"/>
      <c r="T58" s="1959"/>
      <c r="U58" s="1959"/>
      <c r="V58" s="1959"/>
      <c r="W58" s="1959"/>
      <c r="X58" s="1959"/>
      <c r="Y58" s="1959"/>
      <c r="Z58" s="1895"/>
    </row>
    <row r="59" spans="1:26" x14ac:dyDescent="0.2">
      <c r="A59" s="1959"/>
      <c r="D59" s="1923"/>
      <c r="E59" s="1924"/>
      <c r="F59" s="1909"/>
      <c r="G59" s="1909"/>
      <c r="H59" s="1909" t="s">
        <v>503</v>
      </c>
      <c r="I59" s="1909"/>
      <c r="J59" s="1909"/>
      <c r="K59" s="1940" t="s">
        <v>310</v>
      </c>
      <c r="L59" s="1962">
        <v>0.4</v>
      </c>
      <c r="M59" s="1940" t="s">
        <v>501</v>
      </c>
      <c r="N59" s="1926"/>
      <c r="O59" s="1959"/>
      <c r="P59" s="1959"/>
      <c r="Q59" s="1959"/>
      <c r="R59" s="1959"/>
      <c r="S59" s="1959"/>
      <c r="T59" s="1959"/>
      <c r="U59" s="1959"/>
      <c r="V59" s="1959"/>
      <c r="W59" s="1959"/>
      <c r="X59" s="1959"/>
      <c r="Y59" s="1959"/>
      <c r="Z59" s="1895"/>
    </row>
    <row r="60" spans="1:26" x14ac:dyDescent="0.2">
      <c r="A60" s="1959"/>
      <c r="D60" s="1923"/>
      <c r="E60" s="1924"/>
      <c r="F60" s="1909"/>
      <c r="G60" s="1909"/>
      <c r="H60" s="1909"/>
      <c r="I60" s="1909"/>
      <c r="J60" s="1909"/>
      <c r="K60" s="1924"/>
      <c r="L60" s="1925"/>
      <c r="M60" s="1924"/>
      <c r="N60" s="1926"/>
      <c r="O60" s="1959"/>
      <c r="P60" s="1959"/>
      <c r="Q60" s="1959"/>
      <c r="R60" s="1959"/>
      <c r="S60" s="1959"/>
      <c r="T60" s="1959"/>
      <c r="U60" s="1959"/>
      <c r="V60" s="1959"/>
      <c r="W60" s="1959"/>
      <c r="X60" s="1959"/>
      <c r="Y60" s="1959"/>
      <c r="Z60" s="1895"/>
    </row>
    <row r="61" spans="1:26" x14ac:dyDescent="0.2">
      <c r="A61" s="1959"/>
      <c r="D61" s="1923"/>
      <c r="E61" s="1924"/>
      <c r="F61" s="1928" t="s">
        <v>504</v>
      </c>
      <c r="G61" s="1928"/>
      <c r="H61" s="1909"/>
      <c r="I61" s="1909"/>
      <c r="J61" s="1909"/>
      <c r="K61" s="1924"/>
      <c r="L61" s="1925"/>
      <c r="M61" s="1924"/>
      <c r="N61" s="1926"/>
      <c r="O61" s="1959"/>
      <c r="P61" s="1959"/>
      <c r="Q61" s="1959"/>
      <c r="R61" s="1959"/>
      <c r="S61" s="1959"/>
      <c r="T61" s="1959"/>
      <c r="U61" s="1959"/>
      <c r="V61" s="1959"/>
      <c r="W61" s="1959"/>
      <c r="X61" s="1959"/>
      <c r="Y61" s="1959"/>
      <c r="Z61" s="1895"/>
    </row>
    <row r="62" spans="1:26" x14ac:dyDescent="0.2">
      <c r="A62" s="1959"/>
      <c r="D62" s="1923"/>
      <c r="E62" s="1924"/>
      <c r="F62" s="1909"/>
      <c r="G62" s="1909"/>
      <c r="H62" s="1928" t="s">
        <v>500</v>
      </c>
      <c r="I62" s="1953" t="s">
        <v>505</v>
      </c>
      <c r="J62" s="1909"/>
      <c r="K62" s="1940"/>
      <c r="L62" s="1957" t="e">
        <f>(L15*L57)/L55</f>
        <v>#DIV/0!</v>
      </c>
      <c r="M62" s="1940" t="s">
        <v>247</v>
      </c>
      <c r="N62" s="1926"/>
      <c r="O62" s="1959"/>
      <c r="P62" s="1959"/>
      <c r="Q62" s="1896"/>
      <c r="R62" s="1959"/>
      <c r="S62" s="1959"/>
      <c r="T62" s="1963"/>
      <c r="U62" s="1959"/>
      <c r="V62" s="1959"/>
      <c r="W62" s="1959"/>
      <c r="X62" s="1959"/>
      <c r="Y62" s="1959"/>
      <c r="Z62" s="1895"/>
    </row>
    <row r="63" spans="1:26" x14ac:dyDescent="0.2">
      <c r="A63" s="1959"/>
      <c r="D63" s="1923"/>
      <c r="E63" s="1924"/>
      <c r="F63" s="1909"/>
      <c r="G63" s="1909"/>
      <c r="H63" s="1964" t="s">
        <v>502</v>
      </c>
      <c r="I63" s="1953" t="s">
        <v>506</v>
      </c>
      <c r="J63" s="1909"/>
      <c r="K63" s="1940"/>
      <c r="L63" s="1957" t="e">
        <f>(L15*L58)/L55</f>
        <v>#DIV/0!</v>
      </c>
      <c r="M63" s="1940" t="s">
        <v>247</v>
      </c>
      <c r="N63" s="1926"/>
      <c r="O63" s="1959"/>
      <c r="P63" s="1959"/>
      <c r="Q63" s="1896"/>
      <c r="R63" s="1959"/>
      <c r="S63" s="1959"/>
      <c r="T63" s="1959"/>
      <c r="U63" s="1959"/>
      <c r="V63" s="1959"/>
      <c r="W63" s="1959"/>
      <c r="X63" s="1959"/>
      <c r="Y63" s="1959"/>
      <c r="Z63" s="1895"/>
    </row>
    <row r="64" spans="1:26" x14ac:dyDescent="0.2">
      <c r="A64" s="1959"/>
      <c r="D64" s="1923"/>
      <c r="E64" s="1924"/>
      <c r="F64" s="1909"/>
      <c r="G64" s="1909"/>
      <c r="H64" s="1928" t="s">
        <v>503</v>
      </c>
      <c r="I64" s="1953" t="s">
        <v>507</v>
      </c>
      <c r="J64" s="1909"/>
      <c r="K64" s="1940"/>
      <c r="L64" s="1957" t="e">
        <f>(L15*L59)/L55</f>
        <v>#DIV/0!</v>
      </c>
      <c r="M64" s="1940" t="s">
        <v>247</v>
      </c>
      <c r="N64" s="1926"/>
      <c r="O64" s="1959"/>
      <c r="P64" s="1959"/>
      <c r="Q64" s="1896"/>
      <c r="R64" s="1959"/>
      <c r="S64" s="1959"/>
      <c r="T64" s="1959"/>
      <c r="U64" s="1959"/>
      <c r="V64" s="1959"/>
      <c r="W64" s="1959"/>
      <c r="X64" s="1959"/>
      <c r="Y64" s="1959"/>
      <c r="Z64" s="1895"/>
    </row>
    <row r="65" spans="1:26" x14ac:dyDescent="0.2">
      <c r="A65" s="1959"/>
      <c r="D65" s="1923"/>
      <c r="E65" s="1924"/>
      <c r="F65" s="1909"/>
      <c r="G65" s="1909"/>
      <c r="H65" s="1909"/>
      <c r="I65" s="1909"/>
      <c r="J65" s="1909"/>
      <c r="K65" s="1924"/>
      <c r="L65" s="1925"/>
      <c r="M65" s="1924"/>
      <c r="N65" s="1926"/>
      <c r="O65" s="1959"/>
      <c r="P65" s="1959"/>
      <c r="Q65" s="1959"/>
      <c r="R65" s="1959"/>
      <c r="S65" s="1959"/>
      <c r="T65" s="1959"/>
      <c r="U65" s="1959"/>
      <c r="V65" s="1959"/>
      <c r="W65" s="1959"/>
      <c r="X65" s="1959"/>
      <c r="Y65" s="1959"/>
      <c r="Z65" s="1895"/>
    </row>
    <row r="66" spans="1:26" x14ac:dyDescent="0.2">
      <c r="A66" s="1959"/>
      <c r="D66" s="1910" t="s">
        <v>508</v>
      </c>
      <c r="E66" s="1911"/>
      <c r="F66" s="1928" t="s">
        <v>509</v>
      </c>
      <c r="G66" s="1928"/>
      <c r="H66" s="1909"/>
      <c r="I66" s="1909"/>
      <c r="J66" s="1909"/>
      <c r="K66" s="1924"/>
      <c r="L66" s="1925"/>
      <c r="M66" s="1924"/>
      <c r="N66" s="1926"/>
      <c r="O66" s="1959"/>
      <c r="P66" s="1959"/>
      <c r="Q66" s="1959"/>
      <c r="R66" s="1959"/>
      <c r="S66" s="1959"/>
      <c r="T66" s="1959"/>
      <c r="U66" s="1959"/>
      <c r="V66" s="1959"/>
      <c r="W66" s="1959"/>
      <c r="X66" s="1959"/>
      <c r="Y66" s="1959"/>
      <c r="Z66" s="1895"/>
    </row>
    <row r="67" spans="1:26" x14ac:dyDescent="0.2">
      <c r="A67" s="1959"/>
      <c r="D67" s="1923"/>
      <c r="E67" s="1924"/>
      <c r="F67" s="1909" t="s">
        <v>510</v>
      </c>
      <c r="G67" s="1909"/>
      <c r="H67" s="1909"/>
      <c r="I67" s="1909"/>
      <c r="J67" s="1909"/>
      <c r="K67" s="1924"/>
      <c r="L67" s="1925"/>
      <c r="M67" s="1924"/>
      <c r="N67" s="1926"/>
      <c r="O67" s="1959"/>
      <c r="P67" s="1959"/>
      <c r="Q67" s="1959"/>
      <c r="R67" s="1959"/>
      <c r="S67" s="1959"/>
      <c r="T67" s="1959"/>
      <c r="U67" s="1959"/>
      <c r="V67" s="1959"/>
      <c r="W67" s="1959"/>
      <c r="X67" s="1959"/>
      <c r="Y67" s="1959"/>
      <c r="Z67" s="1895"/>
    </row>
    <row r="68" spans="1:26" x14ac:dyDescent="0.2">
      <c r="A68" s="1959"/>
      <c r="D68" s="1923"/>
      <c r="E68" s="1924"/>
      <c r="F68" s="1909"/>
      <c r="G68" s="1909"/>
      <c r="H68" s="1909"/>
      <c r="I68" s="1909"/>
      <c r="J68" s="1909"/>
      <c r="K68" s="1924"/>
      <c r="L68" s="1925"/>
      <c r="M68" s="1924"/>
      <c r="N68" s="1926"/>
      <c r="O68" s="1959"/>
      <c r="P68" s="1959"/>
      <c r="Q68" s="1959"/>
      <c r="R68" s="1959"/>
      <c r="S68" s="1959"/>
      <c r="T68" s="1959"/>
      <c r="U68" s="1959"/>
      <c r="V68" s="1959"/>
      <c r="W68" s="1959"/>
      <c r="X68" s="1959"/>
      <c r="Y68" s="1959"/>
      <c r="Z68" s="1895"/>
    </row>
    <row r="69" spans="1:26" x14ac:dyDescent="0.2">
      <c r="A69" s="1959"/>
      <c r="D69" s="1910" t="s">
        <v>511</v>
      </c>
      <c r="E69" s="1911"/>
      <c r="F69" s="1928" t="s">
        <v>512</v>
      </c>
      <c r="G69" s="1928"/>
      <c r="H69" s="1909"/>
      <c r="I69" s="1909"/>
      <c r="J69" s="1909"/>
      <c r="K69" s="1924"/>
      <c r="L69" s="1925"/>
      <c r="M69" s="1924"/>
      <c r="N69" s="1926"/>
      <c r="O69" s="1959"/>
      <c r="P69" s="1959"/>
      <c r="Q69" s="1959"/>
      <c r="R69" s="1959"/>
      <c r="S69" s="1959"/>
      <c r="T69" s="1959"/>
      <c r="U69" s="1959"/>
      <c r="V69" s="1959"/>
      <c r="W69" s="1959"/>
      <c r="X69" s="1959"/>
      <c r="Y69" s="1959"/>
      <c r="Z69" s="1895"/>
    </row>
    <row r="70" spans="1:26" x14ac:dyDescent="0.2">
      <c r="A70" s="1959"/>
      <c r="D70" s="1923"/>
      <c r="E70" s="1924"/>
      <c r="F70" s="1909"/>
      <c r="G70" s="1909"/>
      <c r="H70" s="1909"/>
      <c r="I70" s="1909"/>
      <c r="J70" s="1909"/>
      <c r="K70" s="1924"/>
      <c r="L70" s="1925"/>
      <c r="M70" s="1924"/>
      <c r="N70" s="1926"/>
      <c r="O70" s="1959"/>
      <c r="P70" s="1959"/>
      <c r="Q70" s="1959"/>
      <c r="R70" s="1959"/>
      <c r="S70" s="1959"/>
      <c r="T70" s="1959"/>
      <c r="U70" s="1959"/>
      <c r="V70" s="1959"/>
      <c r="W70" s="1959"/>
      <c r="X70" s="1959"/>
      <c r="Y70" s="1959"/>
      <c r="Z70" s="1895"/>
    </row>
    <row r="71" spans="1:26" x14ac:dyDescent="0.2">
      <c r="A71" s="1959"/>
      <c r="D71" s="1923"/>
      <c r="E71" s="1924"/>
      <c r="F71" s="1965"/>
      <c r="G71" s="1966"/>
      <c r="H71" s="1966"/>
      <c r="I71" s="1967"/>
      <c r="J71" s="1909"/>
      <c r="K71" s="1924"/>
      <c r="L71" s="1925"/>
      <c r="M71" s="1924"/>
      <c r="N71" s="1926"/>
      <c r="O71" s="1959"/>
      <c r="P71" s="1959"/>
      <c r="Q71" s="1959"/>
      <c r="R71" s="1959"/>
      <c r="S71" s="1959"/>
      <c r="T71" s="1959"/>
      <c r="U71" s="1959"/>
      <c r="V71" s="1959"/>
      <c r="W71" s="1959"/>
      <c r="X71" s="1959"/>
      <c r="Y71" s="1959"/>
      <c r="Z71" s="1895"/>
    </row>
    <row r="72" spans="1:26" x14ac:dyDescent="0.2">
      <c r="A72" s="1959"/>
      <c r="D72" s="1923"/>
      <c r="E72" s="1924"/>
      <c r="F72" s="1968"/>
      <c r="G72" s="3241"/>
      <c r="H72" s="3242"/>
      <c r="I72" s="1969"/>
      <c r="J72" s="1909"/>
      <c r="K72" s="1924"/>
      <c r="L72" s="1925"/>
      <c r="M72" s="1924"/>
      <c r="N72" s="1926"/>
      <c r="O72" s="1959"/>
      <c r="P72" s="1959"/>
      <c r="Q72" s="1959"/>
      <c r="R72" s="1959"/>
      <c r="S72" s="1959"/>
      <c r="T72" s="1959"/>
      <c r="U72" s="1959"/>
      <c r="V72" s="1959"/>
      <c r="W72" s="1959"/>
      <c r="X72" s="1959"/>
      <c r="Y72" s="1959"/>
      <c r="Z72" s="1895"/>
    </row>
    <row r="73" spans="1:26" x14ac:dyDescent="0.2">
      <c r="A73" s="1959"/>
      <c r="D73" s="1923"/>
      <c r="E73" s="1924"/>
      <c r="F73" s="1970"/>
      <c r="G73" s="1971"/>
      <c r="H73" s="1971"/>
      <c r="I73" s="1972"/>
      <c r="J73" s="1909"/>
      <c r="K73" s="1924"/>
      <c r="L73" s="1925"/>
      <c r="M73" s="1924"/>
      <c r="N73" s="1926"/>
      <c r="O73" s="1959"/>
      <c r="P73" s="1959"/>
      <c r="Q73" s="1959"/>
      <c r="R73" s="1959"/>
      <c r="S73" s="1959"/>
      <c r="T73" s="1959"/>
      <c r="U73" s="1959"/>
      <c r="V73" s="1959"/>
      <c r="W73" s="1959"/>
      <c r="X73" s="1959"/>
      <c r="Y73" s="1959"/>
      <c r="Z73" s="1895"/>
    </row>
    <row r="74" spans="1:26" ht="14.25" thickBot="1" x14ac:dyDescent="0.25">
      <c r="A74" s="1959"/>
      <c r="D74" s="1918"/>
      <c r="E74" s="1919"/>
      <c r="F74" s="1920"/>
      <c r="G74" s="1920"/>
      <c r="H74" s="1920"/>
      <c r="I74" s="1920"/>
      <c r="J74" s="1920"/>
      <c r="K74" s="1919"/>
      <c r="L74" s="1919"/>
      <c r="M74" s="1919"/>
      <c r="N74" s="1973"/>
      <c r="O74" s="1959"/>
      <c r="P74" s="1959"/>
      <c r="Q74" s="1959"/>
      <c r="R74" s="1959"/>
      <c r="S74" s="1959"/>
      <c r="T74" s="1959"/>
      <c r="U74" s="1959"/>
      <c r="V74" s="1959"/>
      <c r="W74" s="1959"/>
      <c r="X74" s="1959"/>
      <c r="Y74" s="1959"/>
      <c r="Z74" s="1895"/>
    </row>
    <row r="75" spans="1:26" x14ac:dyDescent="0.2">
      <c r="A75" s="1959"/>
      <c r="D75" s="1895"/>
      <c r="E75" s="1895"/>
      <c r="F75" s="1895"/>
      <c r="G75" s="1895"/>
      <c r="H75" s="1895"/>
      <c r="I75" s="1895"/>
      <c r="J75" s="1895"/>
      <c r="K75" s="1895"/>
      <c r="L75" s="1895"/>
      <c r="M75" s="1895"/>
      <c r="N75" s="1895"/>
      <c r="O75" s="1959"/>
      <c r="P75" s="1959"/>
      <c r="Q75" s="1959"/>
      <c r="R75" s="1959"/>
      <c r="S75" s="1959"/>
      <c r="T75" s="1959"/>
      <c r="U75" s="1959"/>
      <c r="V75" s="1959"/>
      <c r="W75" s="1959"/>
      <c r="X75" s="1959"/>
      <c r="Y75" s="1959"/>
      <c r="Z75" s="1895"/>
    </row>
    <row r="76" spans="1:26" x14ac:dyDescent="0.2">
      <c r="A76" s="1959"/>
      <c r="D76" s="1895"/>
      <c r="E76" s="1895"/>
      <c r="F76" s="1895"/>
      <c r="G76" s="1895"/>
      <c r="H76" s="1895"/>
      <c r="I76" s="1895"/>
      <c r="J76" s="1895"/>
      <c r="K76" s="1895"/>
      <c r="L76" s="1895"/>
      <c r="M76" s="1895"/>
      <c r="N76" s="1895"/>
      <c r="O76" s="1959"/>
      <c r="P76" s="1959"/>
      <c r="Q76" s="1959"/>
      <c r="R76" s="1959"/>
      <c r="S76" s="1959"/>
      <c r="T76" s="1959"/>
      <c r="U76" s="1959"/>
      <c r="V76" s="1959"/>
      <c r="W76" s="1959"/>
      <c r="X76" s="1959"/>
      <c r="Y76" s="1959"/>
      <c r="Z76" s="1895"/>
    </row>
    <row r="77" spans="1:26" x14ac:dyDescent="0.2">
      <c r="A77" s="1959"/>
      <c r="D77" s="1895"/>
      <c r="E77" s="1895"/>
      <c r="F77" s="1895"/>
      <c r="G77" s="1895"/>
      <c r="H77" s="1895"/>
      <c r="I77" s="1895"/>
      <c r="J77" s="1895"/>
      <c r="K77" s="1895"/>
      <c r="L77" s="1895"/>
      <c r="M77" s="1895"/>
      <c r="N77" s="1895"/>
      <c r="O77" s="1959"/>
      <c r="P77" s="1959"/>
      <c r="Q77" s="1959"/>
      <c r="R77" s="1959"/>
      <c r="S77" s="1959"/>
      <c r="T77" s="1959"/>
      <c r="U77" s="1959"/>
      <c r="V77" s="1959"/>
      <c r="W77" s="1959"/>
      <c r="X77" s="1959"/>
      <c r="Y77" s="1959"/>
      <c r="Z77" s="1895"/>
    </row>
    <row r="78" spans="1:26" x14ac:dyDescent="0.2">
      <c r="A78" s="1959"/>
      <c r="D78" s="1895"/>
      <c r="E78" s="1895"/>
      <c r="F78" s="1895"/>
      <c r="G78" s="1895"/>
      <c r="H78" s="1895"/>
      <c r="I78" s="1895"/>
      <c r="J78" s="1895"/>
      <c r="K78" s="1895"/>
      <c r="L78" s="1895"/>
      <c r="M78" s="1895"/>
      <c r="N78" s="1895"/>
      <c r="O78" s="1959"/>
      <c r="P78" s="1959"/>
      <c r="Q78" s="1959"/>
      <c r="R78" s="1959"/>
      <c r="S78" s="1959"/>
      <c r="T78" s="1959"/>
      <c r="U78" s="1959"/>
      <c r="V78" s="1959"/>
      <c r="W78" s="1959"/>
      <c r="X78" s="1959"/>
      <c r="Y78" s="1959"/>
      <c r="Z78" s="1895"/>
    </row>
    <row r="79" spans="1:26" x14ac:dyDescent="0.2">
      <c r="A79" s="1959"/>
      <c r="D79" s="1895"/>
      <c r="E79" s="1895"/>
      <c r="F79" s="1895"/>
      <c r="G79" s="1895"/>
      <c r="H79" s="1895"/>
      <c r="I79" s="1895"/>
      <c r="J79" s="1895"/>
      <c r="K79" s="1895"/>
      <c r="L79" s="1895"/>
      <c r="M79" s="1895"/>
      <c r="N79" s="1895"/>
      <c r="O79" s="1959"/>
      <c r="P79" s="1959"/>
      <c r="Q79" s="1959"/>
      <c r="R79" s="1959"/>
      <c r="S79" s="1959"/>
      <c r="T79" s="1959"/>
      <c r="U79" s="1959"/>
      <c r="V79" s="1959"/>
      <c r="W79" s="1959"/>
      <c r="X79" s="1959"/>
      <c r="Y79" s="1959"/>
      <c r="Z79" s="1895"/>
    </row>
    <row r="80" spans="1:26" x14ac:dyDescent="0.2">
      <c r="A80" s="1959"/>
      <c r="D80" s="1895"/>
      <c r="E80" s="1895"/>
      <c r="F80" s="1895"/>
      <c r="G80" s="1895"/>
      <c r="H80" s="1895"/>
      <c r="I80" s="1895"/>
      <c r="J80" s="1895"/>
      <c r="K80" s="1895"/>
      <c r="L80" s="1895"/>
      <c r="M80" s="1895"/>
      <c r="N80" s="1895"/>
      <c r="O80" s="1959"/>
      <c r="P80" s="1959"/>
      <c r="Q80" s="1959"/>
      <c r="R80" s="1959"/>
      <c r="S80" s="1959"/>
      <c r="T80" s="1959"/>
      <c r="U80" s="1959"/>
      <c r="V80" s="1959"/>
      <c r="W80" s="1959"/>
      <c r="X80" s="1959"/>
      <c r="Y80" s="1959"/>
      <c r="Z80" s="1895"/>
    </row>
    <row r="81" spans="1:26" x14ac:dyDescent="0.2">
      <c r="A81" s="1959"/>
      <c r="D81" s="1895"/>
      <c r="E81" s="1895"/>
      <c r="F81" s="1895"/>
      <c r="G81" s="1895"/>
      <c r="H81" s="1895"/>
      <c r="I81" s="1895"/>
      <c r="J81" s="1895"/>
      <c r="K81" s="1895"/>
      <c r="L81" s="1895"/>
      <c r="M81" s="1895"/>
      <c r="N81" s="1895"/>
      <c r="O81" s="1959"/>
      <c r="P81" s="1959"/>
      <c r="Q81" s="1959"/>
      <c r="R81" s="1959"/>
      <c r="S81" s="1959"/>
      <c r="T81" s="1959"/>
      <c r="U81" s="1959"/>
      <c r="V81" s="1959"/>
      <c r="W81" s="1959"/>
      <c r="X81" s="1959"/>
      <c r="Y81" s="1959"/>
      <c r="Z81" s="1895"/>
    </row>
    <row r="82" spans="1:26" x14ac:dyDescent="0.2">
      <c r="A82" s="1959"/>
      <c r="D82" s="1895"/>
      <c r="E82" s="1895"/>
      <c r="F82" s="1895"/>
      <c r="G82" s="1895"/>
      <c r="H82" s="1895"/>
      <c r="I82" s="1895"/>
      <c r="J82" s="1895"/>
      <c r="K82" s="1895"/>
      <c r="L82" s="1895"/>
      <c r="M82" s="1895"/>
      <c r="N82" s="1895"/>
      <c r="O82" s="1959"/>
      <c r="P82" s="1959"/>
      <c r="Q82" s="1959"/>
      <c r="R82" s="1959"/>
      <c r="S82" s="1959"/>
      <c r="T82" s="1959"/>
      <c r="U82" s="1959"/>
      <c r="V82" s="1959"/>
      <c r="W82" s="1959"/>
      <c r="X82" s="1959"/>
      <c r="Y82" s="1959"/>
      <c r="Z82" s="1895"/>
    </row>
    <row r="83" spans="1:26" x14ac:dyDescent="0.2">
      <c r="A83" s="1959"/>
      <c r="D83" s="1895"/>
      <c r="E83" s="1895"/>
      <c r="F83" s="1895"/>
      <c r="G83" s="1895"/>
      <c r="H83" s="1895"/>
      <c r="I83" s="1895"/>
      <c r="J83" s="1895"/>
      <c r="K83" s="1895"/>
      <c r="L83" s="1895"/>
      <c r="M83" s="1895"/>
      <c r="N83" s="1895"/>
      <c r="O83" s="1959"/>
      <c r="P83" s="1959"/>
      <c r="Q83" s="1959"/>
      <c r="R83" s="1959"/>
      <c r="S83" s="1959"/>
      <c r="T83" s="1959"/>
      <c r="U83" s="1959"/>
      <c r="V83" s="1959"/>
      <c r="W83" s="1959"/>
      <c r="X83" s="1959"/>
      <c r="Y83" s="1959"/>
      <c r="Z83" s="1895"/>
    </row>
    <row r="84" spans="1:26" x14ac:dyDescent="0.2">
      <c r="A84" s="1959"/>
      <c r="D84" s="1895"/>
      <c r="E84" s="1895"/>
      <c r="F84" s="1895"/>
      <c r="G84" s="1895"/>
      <c r="H84" s="1895"/>
      <c r="I84" s="1895"/>
      <c r="J84" s="1895"/>
      <c r="K84" s="1895"/>
      <c r="L84" s="1895"/>
      <c r="M84" s="1895"/>
      <c r="N84" s="1895"/>
      <c r="O84" s="1959"/>
      <c r="P84" s="1959"/>
      <c r="Q84" s="1959"/>
      <c r="R84" s="1959"/>
      <c r="S84" s="1959"/>
      <c r="T84" s="1959"/>
      <c r="U84" s="1959"/>
      <c r="V84" s="1959"/>
      <c r="W84" s="1959"/>
      <c r="X84" s="1959"/>
      <c r="Y84" s="1959"/>
      <c r="Z84" s="1895"/>
    </row>
    <row r="85" spans="1:26" x14ac:dyDescent="0.2">
      <c r="A85" s="1959"/>
      <c r="D85" s="1895"/>
      <c r="E85" s="1895"/>
      <c r="F85" s="1895"/>
      <c r="G85" s="1895"/>
      <c r="H85" s="1895"/>
      <c r="I85" s="1895"/>
      <c r="J85" s="1895"/>
      <c r="K85" s="1895"/>
      <c r="L85" s="1895"/>
      <c r="M85" s="1895"/>
      <c r="N85" s="1895"/>
      <c r="O85" s="1959"/>
      <c r="P85" s="1959"/>
      <c r="Q85" s="1959"/>
      <c r="R85" s="1959"/>
      <c r="S85" s="1959"/>
      <c r="T85" s="1959"/>
      <c r="U85" s="1959"/>
      <c r="V85" s="1959"/>
      <c r="W85" s="1959"/>
      <c r="X85" s="1959"/>
      <c r="Y85" s="1959"/>
      <c r="Z85" s="1895"/>
    </row>
    <row r="86" spans="1:26" x14ac:dyDescent="0.2">
      <c r="A86" s="1959"/>
      <c r="D86" s="1895"/>
      <c r="E86" s="1895"/>
      <c r="F86" s="1895"/>
      <c r="G86" s="1895"/>
      <c r="H86" s="1895"/>
      <c r="I86" s="1895"/>
      <c r="J86" s="1895"/>
      <c r="K86" s="1895"/>
      <c r="L86" s="1895"/>
      <c r="M86" s="1895"/>
      <c r="N86" s="1895"/>
      <c r="O86" s="1959"/>
      <c r="P86" s="1959"/>
      <c r="Q86" s="1959"/>
      <c r="R86" s="1959"/>
      <c r="S86" s="1959"/>
      <c r="T86" s="1959"/>
      <c r="U86" s="1959"/>
      <c r="V86" s="1959"/>
      <c r="W86" s="1959"/>
      <c r="X86" s="1959"/>
      <c r="Y86" s="1959"/>
      <c r="Z86" s="1895"/>
    </row>
    <row r="87" spans="1:26" x14ac:dyDescent="0.2">
      <c r="A87" s="1959"/>
      <c r="D87" s="1895"/>
      <c r="E87" s="1895"/>
      <c r="F87" s="1895"/>
      <c r="G87" s="1895"/>
      <c r="H87" s="1895"/>
      <c r="I87" s="1895"/>
      <c r="J87" s="1895"/>
      <c r="K87" s="1895"/>
      <c r="L87" s="1895"/>
      <c r="M87" s="1895"/>
      <c r="N87" s="1895"/>
      <c r="O87" s="1959"/>
      <c r="P87" s="1959"/>
      <c r="Q87" s="1959"/>
      <c r="R87" s="1959"/>
      <c r="S87" s="1959"/>
      <c r="T87" s="1959"/>
      <c r="U87" s="1959"/>
      <c r="V87" s="1959"/>
      <c r="W87" s="1959"/>
      <c r="X87" s="1959"/>
      <c r="Y87" s="1959"/>
      <c r="Z87" s="1895"/>
    </row>
    <row r="88" spans="1:26" x14ac:dyDescent="0.2">
      <c r="A88" s="1959"/>
      <c r="D88" s="1895"/>
      <c r="E88" s="1895"/>
      <c r="F88" s="1895"/>
      <c r="G88" s="1895"/>
      <c r="H88" s="1895"/>
      <c r="I88" s="1895"/>
      <c r="J88" s="1895"/>
      <c r="K88" s="1895"/>
      <c r="L88" s="1895"/>
      <c r="M88" s="1895"/>
      <c r="N88" s="1895"/>
      <c r="O88" s="1959"/>
      <c r="P88" s="1959"/>
      <c r="Q88" s="1959"/>
      <c r="R88" s="1959"/>
      <c r="S88" s="1959"/>
      <c r="T88" s="1959"/>
      <c r="U88" s="1959"/>
      <c r="V88" s="1959"/>
      <c r="W88" s="1959"/>
      <c r="X88" s="1959"/>
      <c r="Y88" s="1959"/>
      <c r="Z88" s="1895"/>
    </row>
    <row r="89" spans="1:26" x14ac:dyDescent="0.2">
      <c r="A89" s="1959"/>
      <c r="D89" s="1895"/>
      <c r="E89" s="1895"/>
      <c r="F89" s="1895"/>
      <c r="G89" s="1895"/>
      <c r="H89" s="1895"/>
      <c r="I89" s="1895"/>
      <c r="J89" s="1895"/>
      <c r="K89" s="1895"/>
      <c r="L89" s="1895"/>
      <c r="M89" s="1895"/>
      <c r="N89" s="1895"/>
      <c r="O89" s="1959"/>
      <c r="P89" s="1959"/>
      <c r="Q89" s="1959"/>
      <c r="R89" s="1959"/>
      <c r="S89" s="1959"/>
      <c r="T89" s="1959"/>
      <c r="U89" s="1959"/>
      <c r="V89" s="1959"/>
      <c r="W89" s="1959"/>
      <c r="X89" s="1959"/>
      <c r="Y89" s="1959"/>
      <c r="Z89" s="1895"/>
    </row>
    <row r="90" spans="1:26" x14ac:dyDescent="0.2">
      <c r="A90" s="1959"/>
      <c r="D90" s="1895"/>
      <c r="E90" s="1895"/>
      <c r="F90" s="1895"/>
      <c r="G90" s="1895"/>
      <c r="H90" s="1895"/>
      <c r="I90" s="1895"/>
      <c r="J90" s="1895"/>
      <c r="K90" s="1895"/>
      <c r="L90" s="1895"/>
      <c r="M90" s="1895"/>
      <c r="N90" s="1895"/>
      <c r="O90" s="1959"/>
      <c r="P90" s="1959"/>
      <c r="Q90" s="1959"/>
      <c r="R90" s="1959"/>
      <c r="S90" s="1959"/>
      <c r="T90" s="1959"/>
      <c r="U90" s="1959"/>
      <c r="V90" s="1959"/>
      <c r="W90" s="1959"/>
      <c r="X90" s="1959"/>
      <c r="Y90" s="1959"/>
      <c r="Z90" s="1895"/>
    </row>
    <row r="91" spans="1:26" x14ac:dyDescent="0.2">
      <c r="A91" s="1959"/>
      <c r="D91" s="1895"/>
      <c r="E91" s="1895"/>
      <c r="F91" s="1895"/>
      <c r="G91" s="1895"/>
      <c r="H91" s="1895"/>
      <c r="I91" s="1895"/>
      <c r="J91" s="1895"/>
      <c r="K91" s="1895"/>
      <c r="L91" s="1895"/>
      <c r="M91" s="1895"/>
      <c r="N91" s="1895"/>
      <c r="O91" s="1959"/>
      <c r="P91" s="1959"/>
      <c r="Q91" s="1959"/>
      <c r="R91" s="1959"/>
      <c r="S91" s="1959"/>
      <c r="T91" s="1959"/>
      <c r="U91" s="1959"/>
      <c r="V91" s="1959"/>
      <c r="W91" s="1959"/>
      <c r="X91" s="1959"/>
      <c r="Y91" s="1959"/>
      <c r="Z91" s="1895"/>
    </row>
    <row r="92" spans="1:26" x14ac:dyDescent="0.2">
      <c r="A92" s="1959"/>
      <c r="D92" s="1895"/>
      <c r="E92" s="1895"/>
      <c r="F92" s="1895"/>
      <c r="G92" s="1895"/>
      <c r="H92" s="1895"/>
      <c r="I92" s="1895"/>
      <c r="J92" s="1895"/>
      <c r="K92" s="1895"/>
      <c r="L92" s="1895"/>
      <c r="M92" s="1895"/>
      <c r="N92" s="1895"/>
      <c r="O92" s="1959"/>
      <c r="P92" s="1959"/>
      <c r="Q92" s="1959"/>
      <c r="R92" s="1959"/>
      <c r="S92" s="1959"/>
      <c r="T92" s="1959"/>
      <c r="U92" s="1959"/>
      <c r="V92" s="1959"/>
      <c r="W92" s="1959"/>
      <c r="X92" s="1959"/>
      <c r="Y92" s="1959"/>
      <c r="Z92" s="1895"/>
    </row>
    <row r="93" spans="1:26" x14ac:dyDescent="0.2">
      <c r="A93" s="1959"/>
      <c r="D93" s="1895"/>
      <c r="E93" s="1895"/>
      <c r="F93" s="1895"/>
      <c r="G93" s="1895"/>
      <c r="H93" s="1895"/>
      <c r="I93" s="1895"/>
      <c r="J93" s="1895"/>
      <c r="K93" s="1895"/>
      <c r="L93" s="1895"/>
      <c r="M93" s="1895"/>
      <c r="N93" s="1895"/>
      <c r="O93" s="1959"/>
      <c r="P93" s="1959"/>
      <c r="Q93" s="1959"/>
      <c r="R93" s="1959"/>
      <c r="S93" s="1959"/>
      <c r="T93" s="1959"/>
      <c r="U93" s="1959"/>
      <c r="V93" s="1959"/>
      <c r="W93" s="1959"/>
      <c r="X93" s="1959"/>
      <c r="Y93" s="1959"/>
      <c r="Z93" s="1895"/>
    </row>
    <row r="94" spans="1:26" x14ac:dyDescent="0.2">
      <c r="A94" s="1959"/>
      <c r="D94" s="1895"/>
      <c r="E94" s="1895"/>
      <c r="F94" s="1895"/>
      <c r="G94" s="1895"/>
      <c r="H94" s="1895"/>
      <c r="I94" s="1895"/>
      <c r="J94" s="1895"/>
      <c r="K94" s="1895"/>
      <c r="L94" s="1895"/>
      <c r="M94" s="1895"/>
      <c r="N94" s="1895"/>
      <c r="O94" s="1959"/>
      <c r="P94" s="1959"/>
      <c r="Q94" s="1959"/>
      <c r="R94" s="1959"/>
      <c r="S94" s="1959"/>
      <c r="T94" s="1959"/>
      <c r="U94" s="1959"/>
      <c r="V94" s="1959"/>
      <c r="W94" s="1959"/>
      <c r="X94" s="1959"/>
      <c r="Y94" s="1959"/>
      <c r="Z94" s="1895"/>
    </row>
    <row r="95" spans="1:26" x14ac:dyDescent="0.2">
      <c r="A95" s="1959"/>
      <c r="D95" s="1895"/>
      <c r="E95" s="1895"/>
      <c r="F95" s="1895"/>
      <c r="G95" s="1895"/>
      <c r="H95" s="1895"/>
      <c r="I95" s="1895"/>
      <c r="J95" s="1895"/>
      <c r="K95" s="1895"/>
      <c r="L95" s="1895"/>
      <c r="M95" s="1895"/>
      <c r="N95" s="1895"/>
      <c r="O95" s="1959"/>
      <c r="P95" s="1959"/>
      <c r="Q95" s="1959"/>
      <c r="R95" s="1959"/>
      <c r="S95" s="1959"/>
      <c r="T95" s="1959"/>
      <c r="U95" s="1959"/>
      <c r="V95" s="1959"/>
      <c r="W95" s="1959"/>
      <c r="X95" s="1959"/>
      <c r="Y95" s="1959"/>
      <c r="Z95" s="1895"/>
    </row>
    <row r="96" spans="1:26" x14ac:dyDescent="0.2">
      <c r="A96" s="1959"/>
      <c r="D96" s="1895"/>
      <c r="E96" s="1895"/>
      <c r="F96" s="1895"/>
      <c r="G96" s="1895"/>
      <c r="H96" s="1895"/>
      <c r="I96" s="1895"/>
      <c r="J96" s="1895"/>
      <c r="K96" s="1895"/>
      <c r="L96" s="1895"/>
      <c r="M96" s="1895"/>
      <c r="N96" s="1895"/>
      <c r="O96" s="1959"/>
      <c r="P96" s="1959"/>
      <c r="Q96" s="1959"/>
      <c r="R96" s="1959"/>
      <c r="S96" s="1959"/>
      <c r="T96" s="1959"/>
      <c r="U96" s="1959"/>
      <c r="V96" s="1959"/>
      <c r="W96" s="1959"/>
      <c r="X96" s="1959"/>
      <c r="Y96" s="1959"/>
      <c r="Z96" s="1895"/>
    </row>
    <row r="97" spans="1:26" x14ac:dyDescent="0.2">
      <c r="A97" s="1959"/>
      <c r="D97" s="1895"/>
      <c r="E97" s="1895"/>
      <c r="F97" s="1895"/>
      <c r="G97" s="1895"/>
      <c r="H97" s="1895"/>
      <c r="I97" s="1895"/>
      <c r="J97" s="1895"/>
      <c r="K97" s="1895"/>
      <c r="L97" s="1895"/>
      <c r="M97" s="1895"/>
      <c r="N97" s="1895"/>
      <c r="O97" s="1959"/>
      <c r="P97" s="1959"/>
      <c r="Q97" s="1959"/>
      <c r="R97" s="1959"/>
      <c r="S97" s="1959"/>
      <c r="T97" s="1959"/>
      <c r="U97" s="1959"/>
      <c r="V97" s="1959"/>
      <c r="W97" s="1959"/>
      <c r="X97" s="1959"/>
      <c r="Y97" s="1959"/>
      <c r="Z97" s="1895"/>
    </row>
    <row r="98" spans="1:26" x14ac:dyDescent="0.2">
      <c r="A98" s="1959"/>
      <c r="D98" s="1895"/>
      <c r="E98" s="1895"/>
      <c r="F98" s="1895"/>
      <c r="G98" s="1895"/>
      <c r="H98" s="1895"/>
      <c r="I98" s="1895"/>
      <c r="J98" s="1895"/>
      <c r="K98" s="1895"/>
      <c r="L98" s="1895"/>
      <c r="M98" s="1895"/>
      <c r="N98" s="1895"/>
      <c r="O98" s="1959"/>
      <c r="P98" s="1959"/>
      <c r="Q98" s="1959"/>
      <c r="R98" s="1959"/>
      <c r="S98" s="1959"/>
      <c r="T98" s="1959"/>
      <c r="U98" s="1959"/>
      <c r="V98" s="1959"/>
      <c r="W98" s="1959"/>
      <c r="X98" s="1959"/>
      <c r="Y98" s="1959"/>
      <c r="Z98" s="1895"/>
    </row>
    <row r="99" spans="1:26" x14ac:dyDescent="0.2">
      <c r="A99" s="1959"/>
      <c r="D99" s="1895"/>
      <c r="E99" s="1895"/>
      <c r="F99" s="1895"/>
      <c r="G99" s="1895"/>
      <c r="H99" s="1895"/>
      <c r="I99" s="1895"/>
      <c r="J99" s="1895"/>
      <c r="K99" s="1895"/>
      <c r="L99" s="1895"/>
      <c r="M99" s="1895"/>
      <c r="N99" s="1895"/>
      <c r="O99" s="1959"/>
      <c r="P99" s="1959"/>
      <c r="Q99" s="1959"/>
      <c r="R99" s="1959"/>
      <c r="S99" s="1959"/>
      <c r="T99" s="1959"/>
      <c r="U99" s="1959"/>
      <c r="V99" s="1959"/>
      <c r="W99" s="1959"/>
      <c r="X99" s="1959"/>
      <c r="Y99" s="1959"/>
      <c r="Z99" s="1895"/>
    </row>
    <row r="100" spans="1:26" x14ac:dyDescent="0.2">
      <c r="A100" s="1959"/>
      <c r="D100" s="1895"/>
      <c r="E100" s="1895"/>
      <c r="F100" s="1895"/>
      <c r="G100" s="1895"/>
      <c r="H100" s="1895"/>
      <c r="I100" s="1895"/>
      <c r="J100" s="1895"/>
      <c r="K100" s="1895"/>
      <c r="L100" s="1895"/>
      <c r="M100" s="1895"/>
      <c r="N100" s="1895"/>
      <c r="O100" s="1959"/>
      <c r="P100" s="1959"/>
      <c r="Q100" s="1959"/>
      <c r="R100" s="1959"/>
      <c r="S100" s="1959"/>
      <c r="T100" s="1959"/>
      <c r="U100" s="1959"/>
      <c r="V100" s="1959"/>
      <c r="W100" s="1959"/>
      <c r="X100" s="1959"/>
      <c r="Y100" s="1959"/>
      <c r="Z100" s="1895"/>
    </row>
    <row r="101" spans="1:26" x14ac:dyDescent="0.2">
      <c r="A101" s="1959"/>
      <c r="D101" s="1895"/>
      <c r="E101" s="1895"/>
      <c r="F101" s="1895"/>
      <c r="G101" s="1895"/>
      <c r="H101" s="1895"/>
      <c r="I101" s="1895"/>
      <c r="J101" s="1895"/>
      <c r="K101" s="1895"/>
      <c r="L101" s="1895"/>
      <c r="M101" s="1895"/>
      <c r="N101" s="1895"/>
      <c r="O101" s="1959"/>
      <c r="P101" s="1959"/>
      <c r="Q101" s="1959"/>
      <c r="R101" s="1959"/>
      <c r="S101" s="1959"/>
      <c r="T101" s="1959"/>
      <c r="U101" s="1959"/>
      <c r="V101" s="1959"/>
      <c r="W101" s="1959"/>
      <c r="X101" s="1959"/>
      <c r="Y101" s="1959"/>
      <c r="Z101" s="1895"/>
    </row>
    <row r="102" spans="1:26" x14ac:dyDescent="0.2">
      <c r="A102" s="1959"/>
      <c r="D102" s="1895"/>
      <c r="E102" s="1895"/>
      <c r="F102" s="1895"/>
      <c r="G102" s="1895"/>
      <c r="H102" s="1895"/>
      <c r="I102" s="1895"/>
      <c r="J102" s="1895"/>
      <c r="K102" s="1895"/>
      <c r="L102" s="1895"/>
      <c r="M102" s="1895"/>
      <c r="N102" s="1895"/>
      <c r="O102" s="1959"/>
      <c r="P102" s="1959"/>
      <c r="Q102" s="1959"/>
      <c r="R102" s="1959"/>
      <c r="S102" s="1959"/>
      <c r="T102" s="1959"/>
      <c r="U102" s="1959"/>
      <c r="V102" s="1959"/>
      <c r="W102" s="1959"/>
      <c r="X102" s="1959"/>
      <c r="Y102" s="1959"/>
      <c r="Z102" s="1895"/>
    </row>
    <row r="103" spans="1:26" x14ac:dyDescent="0.2">
      <c r="A103" s="1959"/>
      <c r="D103" s="1895"/>
      <c r="E103" s="1895"/>
      <c r="F103" s="1895"/>
      <c r="G103" s="1895"/>
      <c r="H103" s="1895"/>
      <c r="I103" s="1895"/>
      <c r="J103" s="1895"/>
      <c r="K103" s="1895"/>
      <c r="L103" s="1895"/>
      <c r="M103" s="1895"/>
      <c r="N103" s="1895"/>
      <c r="O103" s="1959"/>
      <c r="P103" s="1959"/>
      <c r="Q103" s="1959"/>
      <c r="R103" s="1959"/>
      <c r="S103" s="1959"/>
      <c r="T103" s="1959"/>
      <c r="U103" s="1959"/>
      <c r="V103" s="1959"/>
      <c r="W103" s="1959"/>
      <c r="X103" s="1959"/>
      <c r="Y103" s="1959"/>
      <c r="Z103" s="1895"/>
    </row>
    <row r="104" spans="1:26" x14ac:dyDescent="0.2">
      <c r="A104" s="1959"/>
      <c r="D104" s="1895"/>
      <c r="E104" s="1895"/>
      <c r="F104" s="1895"/>
      <c r="G104" s="1895"/>
      <c r="H104" s="1895"/>
      <c r="I104" s="1895"/>
      <c r="J104" s="1895"/>
      <c r="K104" s="1895"/>
      <c r="L104" s="1895"/>
      <c r="M104" s="1895"/>
      <c r="N104" s="1895"/>
      <c r="O104" s="1959"/>
      <c r="P104" s="1959"/>
      <c r="Q104" s="1959"/>
      <c r="R104" s="1959"/>
      <c r="S104" s="1959"/>
      <c r="T104" s="1959"/>
      <c r="U104" s="1959"/>
      <c r="V104" s="1959"/>
      <c r="W104" s="1959"/>
      <c r="X104" s="1959"/>
      <c r="Y104" s="1959"/>
      <c r="Z104" s="1895"/>
    </row>
    <row r="105" spans="1:26" x14ac:dyDescent="0.2">
      <c r="A105" s="1959"/>
      <c r="D105" s="1895"/>
      <c r="E105" s="1895"/>
      <c r="F105" s="1895"/>
      <c r="G105" s="1895"/>
      <c r="H105" s="1895"/>
      <c r="I105" s="1895"/>
      <c r="J105" s="1895"/>
      <c r="K105" s="1895"/>
      <c r="L105" s="1895"/>
      <c r="M105" s="1895"/>
      <c r="N105" s="1895"/>
      <c r="O105" s="1959"/>
      <c r="P105" s="1959"/>
      <c r="Q105" s="1959"/>
      <c r="R105" s="1959"/>
      <c r="S105" s="1959"/>
      <c r="T105" s="1959"/>
      <c r="U105" s="1959"/>
      <c r="V105" s="1959"/>
      <c r="W105" s="1959"/>
      <c r="X105" s="1959"/>
      <c r="Y105" s="1959"/>
      <c r="Z105" s="1895"/>
    </row>
    <row r="106" spans="1:26" x14ac:dyDescent="0.2">
      <c r="A106" s="1959"/>
      <c r="D106" s="1895"/>
      <c r="E106" s="1895"/>
      <c r="F106" s="1895"/>
      <c r="G106" s="1895"/>
      <c r="H106" s="1895"/>
      <c r="I106" s="1895"/>
      <c r="J106" s="1895"/>
      <c r="K106" s="1895"/>
      <c r="L106" s="1895"/>
      <c r="M106" s="1895"/>
      <c r="N106" s="1895"/>
      <c r="O106" s="1959"/>
      <c r="P106" s="1959"/>
      <c r="Q106" s="1959"/>
      <c r="R106" s="1959"/>
      <c r="S106" s="1959"/>
      <c r="T106" s="1959"/>
      <c r="U106" s="1959"/>
      <c r="V106" s="1959"/>
      <c r="W106" s="1959"/>
      <c r="X106" s="1959"/>
      <c r="Y106" s="1959"/>
      <c r="Z106" s="1895"/>
    </row>
    <row r="107" spans="1:26" x14ac:dyDescent="0.2">
      <c r="A107" s="1959"/>
      <c r="D107" s="1895"/>
      <c r="E107" s="1895"/>
      <c r="F107" s="1895"/>
      <c r="G107" s="1895"/>
      <c r="H107" s="1895"/>
      <c r="I107" s="1895"/>
      <c r="J107" s="1895"/>
      <c r="K107" s="1895"/>
      <c r="L107" s="1895"/>
      <c r="M107" s="1895"/>
      <c r="N107" s="1895"/>
      <c r="O107" s="1959"/>
      <c r="P107" s="1959"/>
      <c r="Q107" s="1959"/>
      <c r="R107" s="1959"/>
      <c r="S107" s="1959"/>
      <c r="T107" s="1959"/>
      <c r="U107" s="1959"/>
      <c r="V107" s="1959"/>
      <c r="W107" s="1959"/>
      <c r="X107" s="1959"/>
      <c r="Y107" s="1959"/>
      <c r="Z107" s="1895"/>
    </row>
    <row r="108" spans="1:26" x14ac:dyDescent="0.2">
      <c r="A108" s="1959"/>
      <c r="D108" s="1895"/>
      <c r="E108" s="1895"/>
      <c r="F108" s="1895"/>
      <c r="G108" s="1895"/>
      <c r="H108" s="1895"/>
      <c r="I108" s="1895"/>
      <c r="J108" s="1895"/>
      <c r="K108" s="1895"/>
      <c r="L108" s="1895"/>
      <c r="M108" s="1895"/>
      <c r="N108" s="1895"/>
      <c r="O108" s="1959"/>
      <c r="P108" s="1959"/>
      <c r="Q108" s="1959"/>
      <c r="R108" s="1959"/>
      <c r="S108" s="1959"/>
      <c r="T108" s="1959"/>
      <c r="U108" s="1959"/>
      <c r="V108" s="1959"/>
      <c r="W108" s="1959"/>
      <c r="X108" s="1959"/>
      <c r="Y108" s="1959"/>
      <c r="Z108" s="1895"/>
    </row>
    <row r="109" spans="1:26" x14ac:dyDescent="0.2">
      <c r="A109" s="1959"/>
      <c r="D109" s="1895"/>
      <c r="E109" s="1895"/>
      <c r="F109" s="1895"/>
      <c r="G109" s="1895"/>
      <c r="H109" s="1895"/>
      <c r="I109" s="1895"/>
      <c r="J109" s="1895"/>
      <c r="K109" s="1895"/>
      <c r="L109" s="1895"/>
      <c r="M109" s="1895"/>
      <c r="N109" s="1895"/>
      <c r="O109" s="1959"/>
      <c r="P109" s="1959"/>
      <c r="Q109" s="1959"/>
      <c r="R109" s="1959"/>
      <c r="S109" s="1959"/>
      <c r="T109" s="1959"/>
      <c r="U109" s="1959"/>
      <c r="V109" s="1959"/>
      <c r="W109" s="1959"/>
      <c r="X109" s="1959"/>
      <c r="Y109" s="1959"/>
      <c r="Z109" s="1895"/>
    </row>
    <row r="110" spans="1:26" x14ac:dyDescent="0.2">
      <c r="A110" s="1959"/>
      <c r="D110" s="1895"/>
      <c r="E110" s="1895"/>
      <c r="F110" s="1895"/>
      <c r="G110" s="1895"/>
      <c r="H110" s="1895"/>
      <c r="I110" s="1895"/>
      <c r="J110" s="1895"/>
      <c r="K110" s="1895"/>
      <c r="L110" s="1895"/>
      <c r="M110" s="1895"/>
      <c r="N110" s="1895"/>
      <c r="O110" s="1959"/>
      <c r="P110" s="1959"/>
      <c r="Q110" s="1959"/>
      <c r="R110" s="1959"/>
      <c r="S110" s="1959"/>
      <c r="T110" s="1959"/>
      <c r="U110" s="1959"/>
      <c r="V110" s="1959"/>
      <c r="W110" s="1959"/>
      <c r="X110" s="1959"/>
      <c r="Y110" s="1959"/>
      <c r="Z110" s="1895"/>
    </row>
    <row r="111" spans="1:26" x14ac:dyDescent="0.2">
      <c r="A111" s="1959"/>
      <c r="D111" s="1895"/>
      <c r="E111" s="1895"/>
      <c r="F111" s="1895"/>
      <c r="G111" s="1895"/>
      <c r="H111" s="1895"/>
      <c r="I111" s="1895"/>
      <c r="J111" s="1895"/>
      <c r="K111" s="1895"/>
      <c r="L111" s="1895"/>
      <c r="M111" s="1895"/>
      <c r="N111" s="1895"/>
      <c r="O111" s="1959"/>
      <c r="P111" s="1959"/>
      <c r="Q111" s="1959"/>
      <c r="R111" s="1959"/>
      <c r="S111" s="1959"/>
      <c r="T111" s="1959"/>
      <c r="U111" s="1959"/>
      <c r="V111" s="1959"/>
      <c r="W111" s="1959"/>
      <c r="X111" s="1959"/>
      <c r="Y111" s="1959"/>
      <c r="Z111" s="1895"/>
    </row>
    <row r="112" spans="1:26" x14ac:dyDescent="0.2">
      <c r="A112" s="1959"/>
      <c r="D112" s="1895"/>
      <c r="E112" s="1895"/>
      <c r="F112" s="1895"/>
      <c r="G112" s="1895"/>
      <c r="H112" s="1895"/>
      <c r="I112" s="1895"/>
      <c r="J112" s="1895"/>
      <c r="K112" s="1895"/>
      <c r="L112" s="1895"/>
      <c r="M112" s="1895"/>
      <c r="N112" s="1895"/>
      <c r="O112" s="1959"/>
      <c r="P112" s="1959"/>
      <c r="Q112" s="1959"/>
      <c r="R112" s="1959"/>
      <c r="S112" s="1959"/>
      <c r="T112" s="1959"/>
      <c r="U112" s="1959"/>
      <c r="V112" s="1959"/>
      <c r="W112" s="1959"/>
      <c r="X112" s="1959"/>
      <c r="Y112" s="1959"/>
      <c r="Z112" s="1895"/>
    </row>
    <row r="113" spans="1:26" x14ac:dyDescent="0.2">
      <c r="A113" s="1959"/>
      <c r="D113" s="1895"/>
      <c r="E113" s="1895"/>
      <c r="F113" s="1895"/>
      <c r="G113" s="1895"/>
      <c r="H113" s="1895"/>
      <c r="I113" s="1895"/>
      <c r="J113" s="1895"/>
      <c r="K113" s="1895"/>
      <c r="L113" s="1895"/>
      <c r="M113" s="1895"/>
      <c r="N113" s="1895"/>
      <c r="O113" s="1959"/>
      <c r="P113" s="1959"/>
      <c r="Q113" s="1959"/>
      <c r="R113" s="1959"/>
      <c r="S113" s="1959"/>
      <c r="T113" s="1959"/>
      <c r="U113" s="1959"/>
      <c r="V113" s="1959"/>
      <c r="W113" s="1959"/>
      <c r="X113" s="1959"/>
      <c r="Y113" s="1959"/>
      <c r="Z113" s="1895"/>
    </row>
    <row r="114" spans="1:26" x14ac:dyDescent="0.2">
      <c r="A114" s="1959"/>
      <c r="D114" s="1895"/>
      <c r="E114" s="1895"/>
      <c r="F114" s="1895"/>
      <c r="G114" s="1895"/>
      <c r="H114" s="1895"/>
      <c r="I114" s="1895"/>
      <c r="J114" s="1895"/>
      <c r="K114" s="1895"/>
      <c r="L114" s="1895"/>
      <c r="M114" s="1895"/>
      <c r="N114" s="1895"/>
      <c r="O114" s="1959"/>
      <c r="P114" s="1959"/>
      <c r="Q114" s="1959"/>
      <c r="R114" s="1959"/>
      <c r="S114" s="1959"/>
      <c r="T114" s="1959"/>
      <c r="U114" s="1959"/>
      <c r="V114" s="1959"/>
      <c r="W114" s="1959"/>
      <c r="X114" s="1959"/>
      <c r="Y114" s="1959"/>
      <c r="Z114" s="1895"/>
    </row>
    <row r="115" spans="1:26" x14ac:dyDescent="0.2">
      <c r="A115" s="1959"/>
      <c r="D115" s="1895"/>
      <c r="E115" s="1895"/>
      <c r="F115" s="1895"/>
      <c r="G115" s="1895"/>
      <c r="H115" s="1895"/>
      <c r="I115" s="1895"/>
      <c r="J115" s="1895"/>
      <c r="K115" s="1895"/>
      <c r="L115" s="1895"/>
      <c r="M115" s="1895"/>
      <c r="N115" s="1895"/>
      <c r="O115" s="1959"/>
      <c r="P115" s="1959"/>
      <c r="Q115" s="1959"/>
      <c r="R115" s="1959"/>
      <c r="S115" s="1959"/>
      <c r="T115" s="1959"/>
      <c r="U115" s="1959"/>
      <c r="V115" s="1959"/>
      <c r="W115" s="1959"/>
      <c r="X115" s="1959"/>
      <c r="Y115" s="1959"/>
      <c r="Z115" s="1895"/>
    </row>
    <row r="116" spans="1:26" x14ac:dyDescent="0.2">
      <c r="A116" s="1959"/>
      <c r="D116" s="1895"/>
      <c r="E116" s="1895"/>
      <c r="F116" s="1895"/>
      <c r="G116" s="1895"/>
      <c r="H116" s="1895"/>
      <c r="I116" s="1895"/>
      <c r="J116" s="1895"/>
      <c r="K116" s="1895"/>
      <c r="L116" s="1895"/>
      <c r="M116" s="1895"/>
      <c r="N116" s="1895"/>
      <c r="O116" s="1959"/>
      <c r="P116" s="1959"/>
      <c r="Q116" s="1959"/>
      <c r="R116" s="1959"/>
      <c r="S116" s="1959"/>
      <c r="T116" s="1959"/>
      <c r="U116" s="1959"/>
      <c r="V116" s="1959"/>
      <c r="W116" s="1959"/>
      <c r="X116" s="1959"/>
      <c r="Y116" s="1959"/>
      <c r="Z116" s="1895"/>
    </row>
    <row r="117" spans="1:26" x14ac:dyDescent="0.2">
      <c r="A117" s="1959"/>
      <c r="D117" s="1895"/>
      <c r="E117" s="1895"/>
      <c r="F117" s="1895"/>
      <c r="G117" s="1895"/>
      <c r="H117" s="1895"/>
      <c r="I117" s="1895"/>
      <c r="J117" s="1895"/>
      <c r="K117" s="1895"/>
      <c r="L117" s="1895"/>
      <c r="M117" s="1895"/>
      <c r="N117" s="1895"/>
      <c r="O117" s="1959"/>
      <c r="P117" s="1959"/>
      <c r="Q117" s="1959"/>
      <c r="R117" s="1959"/>
      <c r="S117" s="1959"/>
      <c r="T117" s="1959"/>
      <c r="U117" s="1959"/>
      <c r="V117" s="1959"/>
      <c r="W117" s="1959"/>
      <c r="X117" s="1959"/>
      <c r="Y117" s="1959"/>
      <c r="Z117" s="1895"/>
    </row>
    <row r="118" spans="1:26" x14ac:dyDescent="0.2">
      <c r="A118" s="1959"/>
      <c r="D118" s="1895"/>
      <c r="E118" s="1895"/>
      <c r="F118" s="1895"/>
      <c r="G118" s="1895"/>
      <c r="H118" s="1895"/>
      <c r="I118" s="1895"/>
      <c r="J118" s="1895"/>
      <c r="K118" s="1895"/>
      <c r="L118" s="1895"/>
      <c r="M118" s="1895"/>
      <c r="N118" s="1895"/>
      <c r="O118" s="1959"/>
      <c r="P118" s="1959"/>
      <c r="Q118" s="1959"/>
      <c r="R118" s="1959"/>
      <c r="S118" s="1959"/>
      <c r="T118" s="1959"/>
      <c r="U118" s="1959"/>
      <c r="V118" s="1959"/>
      <c r="W118" s="1959"/>
      <c r="X118" s="1959"/>
      <c r="Y118" s="1959"/>
      <c r="Z118" s="1895"/>
    </row>
    <row r="119" spans="1:26" x14ac:dyDescent="0.2">
      <c r="A119" s="1959"/>
      <c r="D119" s="1895"/>
      <c r="E119" s="1895"/>
      <c r="F119" s="1895"/>
      <c r="G119" s="1895"/>
      <c r="H119" s="1895"/>
      <c r="I119" s="1895"/>
      <c r="J119" s="1895"/>
      <c r="K119" s="1895"/>
      <c r="L119" s="1895"/>
      <c r="M119" s="1895"/>
      <c r="N119" s="1895"/>
      <c r="O119" s="1959"/>
      <c r="P119" s="1959"/>
      <c r="Q119" s="1959"/>
      <c r="R119" s="1959"/>
      <c r="S119" s="1959"/>
      <c r="T119" s="1959"/>
      <c r="U119" s="1959"/>
      <c r="V119" s="1959"/>
      <c r="W119" s="1959"/>
      <c r="X119" s="1959"/>
      <c r="Y119" s="1959"/>
      <c r="Z119" s="1895"/>
    </row>
    <row r="120" spans="1:26" x14ac:dyDescent="0.2">
      <c r="A120" s="1959"/>
      <c r="D120" s="1895"/>
      <c r="E120" s="1895"/>
      <c r="F120" s="1895"/>
      <c r="G120" s="1895"/>
      <c r="H120" s="1895"/>
      <c r="I120" s="1895"/>
      <c r="J120" s="1895"/>
      <c r="K120" s="1895"/>
      <c r="L120" s="1895"/>
      <c r="M120" s="1895"/>
      <c r="N120" s="1895"/>
      <c r="O120" s="1959"/>
      <c r="P120" s="1959"/>
      <c r="Q120" s="1959"/>
      <c r="R120" s="1959"/>
      <c r="S120" s="1959"/>
      <c r="T120" s="1959"/>
      <c r="U120" s="1959"/>
      <c r="V120" s="1959"/>
      <c r="W120" s="1959"/>
      <c r="X120" s="1959"/>
      <c r="Y120" s="1959"/>
      <c r="Z120" s="1895"/>
    </row>
    <row r="121" spans="1:26" x14ac:dyDescent="0.2">
      <c r="A121" s="1959"/>
      <c r="D121" s="1895"/>
      <c r="E121" s="1895"/>
      <c r="F121" s="1895"/>
      <c r="G121" s="1895"/>
      <c r="H121" s="1895"/>
      <c r="I121" s="1895"/>
      <c r="J121" s="1895"/>
      <c r="K121" s="1895"/>
      <c r="L121" s="1895"/>
      <c r="M121" s="1895"/>
      <c r="N121" s="1895"/>
      <c r="O121" s="1959"/>
      <c r="P121" s="1959"/>
      <c r="Q121" s="1959"/>
      <c r="R121" s="1959"/>
      <c r="S121" s="1959"/>
      <c r="T121" s="1959"/>
      <c r="U121" s="1959"/>
      <c r="V121" s="1959"/>
      <c r="W121" s="1959"/>
      <c r="X121" s="1959"/>
      <c r="Y121" s="1959"/>
      <c r="Z121" s="1895"/>
    </row>
    <row r="122" spans="1:26" x14ac:dyDescent="0.2">
      <c r="A122" s="1959"/>
      <c r="D122" s="1895"/>
      <c r="E122" s="1895"/>
      <c r="F122" s="1895"/>
      <c r="G122" s="1895"/>
      <c r="H122" s="1895"/>
      <c r="I122" s="1895"/>
      <c r="J122" s="1895"/>
      <c r="K122" s="1895"/>
      <c r="L122" s="1895"/>
      <c r="M122" s="1895"/>
      <c r="N122" s="1895"/>
      <c r="O122" s="1959"/>
      <c r="P122" s="1959"/>
      <c r="Q122" s="1959"/>
      <c r="R122" s="1959"/>
      <c r="S122" s="1959"/>
      <c r="T122" s="1959"/>
      <c r="U122" s="1959"/>
      <c r="V122" s="1959"/>
      <c r="W122" s="1959"/>
      <c r="X122" s="1959"/>
      <c r="Y122" s="1959"/>
      <c r="Z122" s="1895"/>
    </row>
    <row r="123" spans="1:26" x14ac:dyDescent="0.2">
      <c r="A123" s="1959"/>
      <c r="D123" s="1895"/>
      <c r="E123" s="1895"/>
      <c r="F123" s="1895"/>
      <c r="G123" s="1895"/>
      <c r="H123" s="1895"/>
      <c r="I123" s="1895"/>
      <c r="J123" s="1895"/>
      <c r="K123" s="1895"/>
      <c r="L123" s="1895"/>
      <c r="M123" s="1895"/>
      <c r="N123" s="1895"/>
      <c r="O123" s="1959"/>
      <c r="P123" s="1959"/>
      <c r="Q123" s="1959"/>
      <c r="R123" s="1959"/>
      <c r="S123" s="1959"/>
      <c r="T123" s="1959"/>
      <c r="U123" s="1959"/>
      <c r="V123" s="1959"/>
      <c r="W123" s="1959"/>
      <c r="X123" s="1959"/>
      <c r="Y123" s="1959"/>
      <c r="Z123" s="1895"/>
    </row>
    <row r="124" spans="1:26" x14ac:dyDescent="0.2">
      <c r="A124" s="1959"/>
      <c r="D124" s="1895"/>
      <c r="E124" s="1895"/>
      <c r="F124" s="1895"/>
      <c r="G124" s="1895"/>
      <c r="H124" s="1895"/>
      <c r="I124" s="1895"/>
      <c r="J124" s="1895"/>
      <c r="K124" s="1895"/>
      <c r="L124" s="1895"/>
      <c r="M124" s="1895"/>
      <c r="N124" s="1895"/>
      <c r="O124" s="1959"/>
      <c r="P124" s="1959"/>
      <c r="Q124" s="1959"/>
      <c r="R124" s="1959"/>
      <c r="S124" s="1959"/>
      <c r="T124" s="1959"/>
      <c r="U124" s="1959"/>
      <c r="V124" s="1959"/>
      <c r="W124" s="1959"/>
      <c r="X124" s="1959"/>
      <c r="Y124" s="1959"/>
      <c r="Z124" s="1895"/>
    </row>
    <row r="125" spans="1:26" x14ac:dyDescent="0.2">
      <c r="A125" s="1959"/>
      <c r="D125" s="1895"/>
      <c r="E125" s="1895"/>
      <c r="F125" s="1895"/>
      <c r="G125" s="1895"/>
      <c r="H125" s="1895"/>
      <c r="I125" s="1895"/>
      <c r="J125" s="1895"/>
      <c r="K125" s="1895"/>
      <c r="L125" s="1895"/>
      <c r="M125" s="1895"/>
      <c r="N125" s="1895"/>
      <c r="O125" s="1959"/>
      <c r="P125" s="1959"/>
      <c r="Q125" s="1959"/>
      <c r="R125" s="1959"/>
      <c r="S125" s="1959"/>
      <c r="T125" s="1959"/>
      <c r="U125" s="1959"/>
      <c r="V125" s="1959"/>
      <c r="W125" s="1959"/>
      <c r="X125" s="1959"/>
      <c r="Y125" s="1959"/>
      <c r="Z125" s="1895"/>
    </row>
    <row r="126" spans="1:26" x14ac:dyDescent="0.2">
      <c r="A126" s="1959"/>
      <c r="D126" s="1895"/>
      <c r="E126" s="1895"/>
      <c r="F126" s="1895"/>
      <c r="G126" s="1895"/>
      <c r="H126" s="1895"/>
      <c r="I126" s="1895"/>
      <c r="J126" s="1895"/>
      <c r="K126" s="1895"/>
      <c r="L126" s="1895"/>
      <c r="M126" s="1895"/>
      <c r="N126" s="1895"/>
      <c r="O126" s="1959"/>
      <c r="P126" s="1959"/>
      <c r="Q126" s="1959"/>
      <c r="R126" s="1959"/>
      <c r="S126" s="1959"/>
      <c r="T126" s="1959"/>
      <c r="U126" s="1959"/>
      <c r="V126" s="1959"/>
      <c r="W126" s="1959"/>
      <c r="X126" s="1959"/>
      <c r="Y126" s="1959"/>
      <c r="Z126" s="1895"/>
    </row>
    <row r="127" spans="1:26" x14ac:dyDescent="0.2">
      <c r="A127" s="1959"/>
      <c r="D127" s="1895"/>
      <c r="E127" s="1895"/>
      <c r="F127" s="1895"/>
      <c r="G127" s="1895"/>
      <c r="H127" s="1895"/>
      <c r="I127" s="1895"/>
      <c r="J127" s="1895"/>
      <c r="K127" s="1895"/>
      <c r="L127" s="1895"/>
      <c r="M127" s="1895"/>
      <c r="N127" s="1895"/>
      <c r="O127" s="1959"/>
      <c r="P127" s="1959"/>
      <c r="Q127" s="1959"/>
      <c r="R127" s="1959"/>
      <c r="S127" s="1959"/>
      <c r="T127" s="1959"/>
      <c r="U127" s="1959"/>
      <c r="V127" s="1959"/>
      <c r="W127" s="1959"/>
      <c r="X127" s="1959"/>
      <c r="Y127" s="1959"/>
      <c r="Z127" s="1895"/>
    </row>
    <row r="128" spans="1:26" x14ac:dyDescent="0.2">
      <c r="A128" s="1959"/>
      <c r="D128" s="1895"/>
      <c r="E128" s="1895"/>
      <c r="F128" s="1895"/>
      <c r="G128" s="1895"/>
      <c r="H128" s="1895"/>
      <c r="I128" s="1895"/>
      <c r="J128" s="1895"/>
      <c r="K128" s="1895"/>
      <c r="L128" s="1895"/>
      <c r="M128" s="1895"/>
      <c r="N128" s="1895"/>
      <c r="O128" s="1959"/>
      <c r="P128" s="1959"/>
      <c r="Q128" s="1959"/>
      <c r="R128" s="1959"/>
      <c r="S128" s="1959"/>
      <c r="T128" s="1959"/>
      <c r="U128" s="1959"/>
      <c r="V128" s="1959"/>
      <c r="W128" s="1959"/>
      <c r="X128" s="1959"/>
      <c r="Y128" s="1959"/>
      <c r="Z128" s="1895"/>
    </row>
    <row r="129" spans="1:26" x14ac:dyDescent="0.2">
      <c r="A129" s="1959"/>
      <c r="D129" s="1895"/>
      <c r="E129" s="1895"/>
      <c r="F129" s="1895"/>
      <c r="G129" s="1895"/>
      <c r="H129" s="1895"/>
      <c r="I129" s="1895"/>
      <c r="J129" s="1895"/>
      <c r="K129" s="1895"/>
      <c r="L129" s="1895"/>
      <c r="M129" s="1895"/>
      <c r="N129" s="1895"/>
      <c r="O129" s="1959"/>
      <c r="P129" s="1959"/>
      <c r="Q129" s="1959"/>
      <c r="R129" s="1959"/>
      <c r="S129" s="1959"/>
      <c r="T129" s="1959"/>
      <c r="U129" s="1959"/>
      <c r="V129" s="1959"/>
      <c r="W129" s="1959"/>
      <c r="X129" s="1959"/>
      <c r="Y129" s="1959"/>
      <c r="Z129" s="1895"/>
    </row>
    <row r="130" spans="1:26" x14ac:dyDescent="0.2">
      <c r="A130" s="1959"/>
      <c r="D130" s="1895"/>
      <c r="E130" s="1895"/>
      <c r="F130" s="1895"/>
      <c r="G130" s="1895"/>
      <c r="H130" s="1895"/>
      <c r="I130" s="1895"/>
      <c r="J130" s="1895"/>
      <c r="K130" s="1895"/>
      <c r="L130" s="1895"/>
      <c r="M130" s="1895"/>
      <c r="N130" s="1895"/>
      <c r="O130" s="1959"/>
      <c r="P130" s="1959"/>
      <c r="Q130" s="1959"/>
      <c r="R130" s="1959"/>
      <c r="S130" s="1959"/>
      <c r="T130" s="1959"/>
      <c r="U130" s="1959"/>
      <c r="V130" s="1959"/>
      <c r="W130" s="1959"/>
      <c r="X130" s="1959"/>
      <c r="Y130" s="1959"/>
      <c r="Z130" s="1895"/>
    </row>
    <row r="131" spans="1:26" x14ac:dyDescent="0.2">
      <c r="A131" s="1959"/>
      <c r="D131" s="1895"/>
      <c r="E131" s="1895"/>
      <c r="F131" s="1895"/>
      <c r="G131" s="1895"/>
      <c r="H131" s="1895"/>
      <c r="I131" s="1895"/>
      <c r="J131" s="1895"/>
      <c r="K131" s="1895"/>
      <c r="L131" s="1895"/>
      <c r="M131" s="1895"/>
      <c r="N131" s="1895"/>
      <c r="O131" s="1959"/>
      <c r="P131" s="1959"/>
      <c r="Q131" s="1959"/>
      <c r="R131" s="1959"/>
      <c r="S131" s="1959"/>
      <c r="T131" s="1959"/>
      <c r="U131" s="1959"/>
      <c r="V131" s="1959"/>
      <c r="W131" s="1959"/>
      <c r="X131" s="1959"/>
      <c r="Y131" s="1959"/>
      <c r="Z131" s="1895"/>
    </row>
    <row r="132" spans="1:26" x14ac:dyDescent="0.2">
      <c r="A132" s="1959"/>
      <c r="D132" s="1895"/>
      <c r="E132" s="1895"/>
      <c r="F132" s="1895"/>
      <c r="G132" s="1895"/>
      <c r="H132" s="1895"/>
      <c r="I132" s="1895"/>
      <c r="J132" s="1895"/>
      <c r="K132" s="1895"/>
      <c r="L132" s="1895"/>
      <c r="M132" s="1895"/>
      <c r="N132" s="1895"/>
      <c r="O132" s="1959"/>
      <c r="P132" s="1959"/>
      <c r="Q132" s="1959"/>
      <c r="R132" s="1959"/>
      <c r="S132" s="1959"/>
      <c r="T132" s="1959"/>
      <c r="U132" s="1959"/>
      <c r="V132" s="1959"/>
      <c r="W132" s="1959"/>
      <c r="X132" s="1959"/>
      <c r="Y132" s="1959"/>
      <c r="Z132" s="1895"/>
    </row>
    <row r="133" spans="1:26" x14ac:dyDescent="0.2">
      <c r="A133" s="1959"/>
      <c r="D133" s="1895"/>
      <c r="E133" s="1895"/>
      <c r="F133" s="1895"/>
      <c r="G133" s="1895"/>
      <c r="H133" s="1895"/>
      <c r="I133" s="1895"/>
      <c r="J133" s="1895"/>
      <c r="K133" s="1895"/>
      <c r="L133" s="1895"/>
      <c r="M133" s="1895"/>
      <c r="N133" s="1895"/>
      <c r="O133" s="1959"/>
      <c r="P133" s="1959"/>
      <c r="Q133" s="1959"/>
      <c r="R133" s="1959"/>
      <c r="S133" s="1959"/>
      <c r="T133" s="1959"/>
      <c r="U133" s="1959"/>
      <c r="V133" s="1959"/>
      <c r="W133" s="1959"/>
      <c r="X133" s="1959"/>
      <c r="Y133" s="1959"/>
      <c r="Z133" s="1895"/>
    </row>
    <row r="134" spans="1:26" x14ac:dyDescent="0.2">
      <c r="A134" s="1959"/>
      <c r="D134" s="1895"/>
      <c r="E134" s="1895"/>
      <c r="F134" s="1895"/>
      <c r="G134" s="1895"/>
      <c r="H134" s="1895"/>
      <c r="I134" s="1895"/>
      <c r="J134" s="1895"/>
      <c r="K134" s="1895"/>
      <c r="L134" s="1895"/>
      <c r="M134" s="1895"/>
      <c r="N134" s="1895"/>
      <c r="O134" s="1959"/>
      <c r="P134" s="1959"/>
      <c r="Q134" s="1959"/>
      <c r="R134" s="1959"/>
      <c r="S134" s="1959"/>
      <c r="T134" s="1959"/>
      <c r="U134" s="1959"/>
      <c r="V134" s="1959"/>
      <c r="W134" s="1959"/>
      <c r="X134" s="1959"/>
      <c r="Y134" s="1959"/>
      <c r="Z134" s="1895"/>
    </row>
    <row r="135" spans="1:26" x14ac:dyDescent="0.2">
      <c r="A135" s="1959"/>
      <c r="D135" s="1895"/>
      <c r="E135" s="1895"/>
      <c r="F135" s="1895"/>
      <c r="G135" s="1895"/>
      <c r="H135" s="1895"/>
      <c r="I135" s="1895"/>
      <c r="J135" s="1895"/>
      <c r="K135" s="1895"/>
      <c r="L135" s="1895"/>
      <c r="M135" s="1895"/>
      <c r="N135" s="1895"/>
      <c r="O135" s="1959"/>
      <c r="P135" s="1959"/>
      <c r="Q135" s="1959"/>
      <c r="R135" s="1959"/>
      <c r="S135" s="1959"/>
      <c r="T135" s="1959"/>
      <c r="U135" s="1959"/>
      <c r="V135" s="1959"/>
      <c r="W135" s="1959"/>
      <c r="X135" s="1959"/>
      <c r="Y135" s="1959"/>
      <c r="Z135" s="1895"/>
    </row>
    <row r="136" spans="1:26" x14ac:dyDescent="0.2">
      <c r="A136" s="1959"/>
      <c r="D136" s="1895"/>
      <c r="E136" s="1895"/>
      <c r="F136" s="1895"/>
      <c r="G136" s="1895"/>
      <c r="H136" s="1895"/>
      <c r="I136" s="1895"/>
      <c r="J136" s="1895"/>
      <c r="K136" s="1895"/>
      <c r="L136" s="1895"/>
      <c r="M136" s="1895"/>
      <c r="N136" s="1895"/>
      <c r="O136" s="1959"/>
      <c r="P136" s="1959"/>
      <c r="Q136" s="1959"/>
      <c r="R136" s="1959"/>
      <c r="S136" s="1959"/>
      <c r="T136" s="1959"/>
      <c r="U136" s="1959"/>
      <c r="V136" s="1959"/>
      <c r="W136" s="1959"/>
      <c r="X136" s="1959"/>
      <c r="Y136" s="1959"/>
      <c r="Z136" s="1895"/>
    </row>
    <row r="137" spans="1:26" x14ac:dyDescent="0.2">
      <c r="A137" s="1961"/>
      <c r="D137" s="1895"/>
      <c r="E137" s="1895"/>
      <c r="F137" s="1895"/>
      <c r="G137" s="1895"/>
      <c r="H137" s="1895"/>
      <c r="I137" s="1895"/>
      <c r="J137" s="1895"/>
      <c r="K137" s="1895"/>
      <c r="L137" s="1895"/>
      <c r="M137" s="1895"/>
      <c r="N137" s="1895"/>
      <c r="O137" s="1959"/>
      <c r="P137" s="1959"/>
      <c r="Q137" s="1959"/>
      <c r="R137" s="1959"/>
      <c r="S137" s="1959"/>
      <c r="T137" s="1959"/>
      <c r="U137" s="1959"/>
      <c r="V137" s="1959"/>
      <c r="W137" s="1959"/>
      <c r="X137" s="1959"/>
      <c r="Y137" s="1959"/>
      <c r="Z137" s="1895"/>
    </row>
    <row r="138" spans="1:26" x14ac:dyDescent="0.2">
      <c r="A138" s="1961"/>
      <c r="D138" s="1895"/>
      <c r="E138" s="1895"/>
      <c r="F138" s="1895"/>
      <c r="G138" s="1895"/>
      <c r="H138" s="1895"/>
      <c r="I138" s="1895"/>
      <c r="J138" s="1895"/>
      <c r="K138" s="1895"/>
      <c r="L138" s="1895"/>
      <c r="M138" s="1895"/>
      <c r="N138" s="1895"/>
      <c r="O138" s="1959"/>
      <c r="P138" s="1959"/>
      <c r="Q138" s="1959"/>
      <c r="R138" s="1959"/>
      <c r="S138" s="1959"/>
      <c r="T138" s="1959"/>
      <c r="U138" s="1959"/>
      <c r="V138" s="1959"/>
      <c r="W138" s="1959"/>
      <c r="X138" s="1959"/>
      <c r="Y138" s="1959"/>
      <c r="Z138" s="1895"/>
    </row>
    <row r="139" spans="1:26" x14ac:dyDescent="0.2">
      <c r="A139" s="1959"/>
      <c r="D139" s="1895"/>
      <c r="E139" s="1895"/>
      <c r="F139" s="1895"/>
      <c r="G139" s="1895"/>
      <c r="H139" s="1895"/>
      <c r="I139" s="1895"/>
      <c r="J139" s="1895"/>
      <c r="K139" s="1895"/>
      <c r="L139" s="1895"/>
      <c r="M139" s="1895"/>
      <c r="N139" s="1895"/>
      <c r="O139" s="1959"/>
      <c r="P139" s="1959"/>
      <c r="Q139" s="1959"/>
      <c r="R139" s="1959"/>
      <c r="S139" s="1959"/>
      <c r="T139" s="1959"/>
      <c r="U139" s="1959"/>
      <c r="V139" s="1959"/>
      <c r="W139" s="1959"/>
      <c r="X139" s="1959"/>
      <c r="Y139" s="1959"/>
      <c r="Z139" s="1895"/>
    </row>
    <row r="140" spans="1:26" x14ac:dyDescent="0.2">
      <c r="A140" s="1959"/>
      <c r="D140" s="1895"/>
      <c r="E140" s="1895"/>
      <c r="F140" s="1895"/>
      <c r="G140" s="1895"/>
      <c r="H140" s="1895"/>
      <c r="I140" s="1895"/>
      <c r="J140" s="1895"/>
      <c r="K140" s="1895"/>
      <c r="L140" s="1895"/>
      <c r="M140" s="1895"/>
      <c r="N140" s="1895"/>
      <c r="O140" s="1959"/>
      <c r="P140" s="1959"/>
      <c r="Q140" s="1959"/>
      <c r="R140" s="1959"/>
      <c r="S140" s="1959"/>
      <c r="T140" s="1959"/>
      <c r="U140" s="1959"/>
      <c r="V140" s="1959"/>
      <c r="W140" s="1959"/>
      <c r="X140" s="1959"/>
      <c r="Y140" s="1959"/>
      <c r="Z140" s="1895"/>
    </row>
    <row r="141" spans="1:26" x14ac:dyDescent="0.2">
      <c r="Y141" s="1894"/>
      <c r="Z141" s="1895"/>
    </row>
    <row r="142" spans="1:26" x14ac:dyDescent="0.2">
      <c r="Y142" s="1894"/>
      <c r="Z142" s="1895"/>
    </row>
    <row r="143" spans="1:26" x14ac:dyDescent="0.2">
      <c r="Y143" s="1894"/>
      <c r="Z143" s="1895"/>
    </row>
    <row r="144" spans="1:26" x14ac:dyDescent="0.2">
      <c r="Y144" s="1894"/>
      <c r="Z144" s="1895"/>
    </row>
    <row r="145" spans="25:26" x14ac:dyDescent="0.2">
      <c r="Y145" s="1894"/>
      <c r="Z145" s="1895"/>
    </row>
    <row r="146" spans="25:26" x14ac:dyDescent="0.2">
      <c r="Y146" s="1894"/>
      <c r="Z146" s="1895"/>
    </row>
    <row r="147" spans="25:26" x14ac:dyDescent="0.2">
      <c r="Y147" s="1894"/>
      <c r="Z147" s="1895"/>
    </row>
    <row r="148" spans="25:26" x14ac:dyDescent="0.2">
      <c r="Y148" s="1894"/>
      <c r="Z148" s="1895"/>
    </row>
    <row r="149" spans="25:26" x14ac:dyDescent="0.2">
      <c r="Y149" s="1894"/>
      <c r="Z149" s="1895"/>
    </row>
    <row r="150" spans="25:26" x14ac:dyDescent="0.2">
      <c r="Y150" s="1894"/>
      <c r="Z150" s="1895"/>
    </row>
    <row r="151" spans="25:26" x14ac:dyDescent="0.2">
      <c r="Y151" s="1894"/>
      <c r="Z151" s="1895"/>
    </row>
    <row r="152" spans="25:26" x14ac:dyDescent="0.2">
      <c r="Y152" s="1894"/>
      <c r="Z152" s="1895"/>
    </row>
    <row r="153" spans="25:26" x14ac:dyDescent="0.2">
      <c r="Y153" s="1894"/>
      <c r="Z153" s="1895"/>
    </row>
    <row r="154" spans="25:26" x14ac:dyDescent="0.2">
      <c r="Y154" s="1894"/>
      <c r="Z154" s="1895"/>
    </row>
    <row r="155" spans="25:26" x14ac:dyDescent="0.2">
      <c r="Y155" s="1894"/>
      <c r="Z155" s="1895"/>
    </row>
    <row r="156" spans="25:26" x14ac:dyDescent="0.2">
      <c r="Y156" s="1894"/>
      <c r="Z156" s="1895"/>
    </row>
    <row r="157" spans="25:26" x14ac:dyDescent="0.2">
      <c r="Y157" s="1894"/>
      <c r="Z157" s="1895"/>
    </row>
    <row r="158" spans="25:26" x14ac:dyDescent="0.2">
      <c r="Y158" s="1894"/>
      <c r="Z158" s="1895"/>
    </row>
    <row r="159" spans="25:26" x14ac:dyDescent="0.2">
      <c r="Y159" s="1894"/>
      <c r="Z159" s="1895"/>
    </row>
    <row r="160" spans="25:26" x14ac:dyDescent="0.2">
      <c r="Y160" s="1894"/>
      <c r="Z160" s="1895"/>
    </row>
    <row r="161" spans="25:26" x14ac:dyDescent="0.2">
      <c r="Y161" s="1894"/>
      <c r="Z161" s="1895"/>
    </row>
    <row r="162" spans="25:26" x14ac:dyDescent="0.2">
      <c r="Y162" s="1894"/>
      <c r="Z162" s="1895"/>
    </row>
    <row r="163" spans="25:26" x14ac:dyDescent="0.2">
      <c r="Y163" s="1894"/>
      <c r="Z163" s="1895"/>
    </row>
    <row r="164" spans="25:26" x14ac:dyDescent="0.2">
      <c r="Y164" s="1894"/>
      <c r="Z164" s="1895"/>
    </row>
    <row r="165" spans="25:26" x14ac:dyDescent="0.2">
      <c r="Y165" s="1894"/>
      <c r="Z165" s="1895"/>
    </row>
    <row r="166" spans="25:26" x14ac:dyDescent="0.2">
      <c r="Y166" s="1894"/>
      <c r="Z166" s="1895"/>
    </row>
    <row r="167" spans="25:26" x14ac:dyDescent="0.2">
      <c r="Y167" s="1894"/>
      <c r="Z167" s="1895"/>
    </row>
    <row r="168" spans="25:26" x14ac:dyDescent="0.2">
      <c r="Y168" s="1894"/>
      <c r="Z168" s="1895"/>
    </row>
    <row r="169" spans="25:26" x14ac:dyDescent="0.2">
      <c r="Y169" s="1894"/>
      <c r="Z169" s="1895"/>
    </row>
    <row r="170" spans="25:26" x14ac:dyDescent="0.2">
      <c r="Y170" s="1894"/>
      <c r="Z170" s="1895"/>
    </row>
    <row r="171" spans="25:26" x14ac:dyDescent="0.2">
      <c r="Y171" s="1894"/>
      <c r="Z171" s="1895"/>
    </row>
    <row r="172" spans="25:26" x14ac:dyDescent="0.2">
      <c r="Y172" s="1894"/>
      <c r="Z172" s="1895"/>
    </row>
    <row r="173" spans="25:26" x14ac:dyDescent="0.2">
      <c r="Y173" s="1894"/>
      <c r="Z173" s="1895"/>
    </row>
    <row r="174" spans="25:26" x14ac:dyDescent="0.2">
      <c r="Y174" s="1894"/>
      <c r="Z174" s="1895"/>
    </row>
    <row r="175" spans="25:26" x14ac:dyDescent="0.2">
      <c r="Y175" s="1894"/>
      <c r="Z175" s="1895"/>
    </row>
    <row r="176" spans="25:26" x14ac:dyDescent="0.2">
      <c r="Y176" s="1894"/>
      <c r="Z176" s="1895"/>
    </row>
    <row r="177" spans="25:26" x14ac:dyDescent="0.2">
      <c r="Y177" s="1894"/>
      <c r="Z177" s="1895"/>
    </row>
  </sheetData>
  <mergeCells count="3">
    <mergeCell ref="D3:N3"/>
    <mergeCell ref="R31:S31"/>
    <mergeCell ref="G72:H72"/>
  </mergeCells>
  <printOptions horizontalCentered="1"/>
  <pageMargins left="0.7" right="0.7" top="0.5" bottom="0" header="0.3" footer="0.3"/>
  <pageSetup scale="76" orientation="portrait" horizontalDpi="4294967293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3:AJ178"/>
  <sheetViews>
    <sheetView showGridLines="0" view="pageBreakPreview" topLeftCell="A40" zoomScale="90" zoomScaleSheetLayoutView="90" workbookViewId="0">
      <selection activeCell="T63" sqref="T63"/>
    </sheetView>
  </sheetViews>
  <sheetFormatPr defaultColWidth="16.28515625" defaultRowHeight="13.5" x14ac:dyDescent="0.2"/>
  <cols>
    <col min="1" max="1" width="1.28515625" style="1894" customWidth="1"/>
    <col min="2" max="2" width="15.42578125" style="1895" hidden="1" customWidth="1"/>
    <col min="3" max="3" width="18.7109375" style="1895" hidden="1" customWidth="1"/>
    <col min="4" max="4" width="5.7109375" style="1894" customWidth="1"/>
    <col min="5" max="5" width="1.7109375" style="1894" customWidth="1"/>
    <col min="6" max="6" width="15.7109375" style="1894" customWidth="1"/>
    <col min="7" max="7" width="1.5703125" style="1894" customWidth="1"/>
    <col min="8" max="9" width="16.7109375" style="1894" customWidth="1"/>
    <col min="10" max="10" width="1.7109375" style="1894" customWidth="1"/>
    <col min="11" max="13" width="7.7109375" style="1894" customWidth="1"/>
    <col min="14" max="14" width="27.7109375" style="1894" bestFit="1" customWidth="1"/>
    <col min="15" max="15" width="5.7109375" style="1894" customWidth="1"/>
    <col min="16" max="16" width="1.7109375" style="1894" customWidth="1"/>
    <col min="17" max="17" width="13.7109375" style="1894" bestFit="1" customWidth="1"/>
    <col min="18" max="18" width="1.42578125" style="1894" customWidth="1"/>
    <col min="19" max="19" width="8.28515625" style="1894" bestFit="1" customWidth="1"/>
    <col min="20" max="20" width="6.28515625" style="1894" bestFit="1" customWidth="1"/>
    <col min="21" max="21" width="1.7109375" style="1894" customWidth="1"/>
    <col min="22" max="22" width="6.7109375" style="1894" customWidth="1"/>
    <col min="23" max="23" width="9.7109375" style="1894" customWidth="1"/>
    <col min="24" max="24" width="8.7109375" style="1894" customWidth="1"/>
    <col min="25" max="25" width="16.28515625" style="1895" customWidth="1"/>
    <col min="26" max="26" width="5.7109375" style="1894" customWidth="1"/>
    <col min="27" max="27" width="1.7109375" style="1894" customWidth="1"/>
    <col min="28" max="28" width="18" style="1894" customWidth="1"/>
    <col min="29" max="29" width="1.42578125" style="1894" customWidth="1"/>
    <col min="30" max="30" width="10.7109375" style="1894" customWidth="1"/>
    <col min="31" max="31" width="7.7109375" style="1894" customWidth="1"/>
    <col min="32" max="32" width="11.42578125" style="1894" customWidth="1"/>
    <col min="33" max="33" width="1.7109375" style="1894" customWidth="1"/>
    <col min="34" max="34" width="6.7109375" style="1894" customWidth="1"/>
    <col min="35" max="35" width="7.7109375" style="1894" customWidth="1"/>
    <col min="36" max="36" width="10" style="1894" customWidth="1"/>
    <col min="37" max="37" width="17.28515625" style="1895" customWidth="1"/>
    <col min="38" max="245" width="9.28515625" style="1895" customWidth="1"/>
    <col min="246" max="246" width="6.7109375" style="1895" customWidth="1"/>
    <col min="247" max="247" width="1.7109375" style="1895" customWidth="1"/>
    <col min="248" max="248" width="23.7109375" style="1895" customWidth="1"/>
    <col min="249" max="249" width="1.28515625" style="1895" customWidth="1"/>
    <col min="250" max="251" width="8.7109375" style="1895" customWidth="1"/>
    <col min="252" max="252" width="12.28515625" style="1895" customWidth="1"/>
    <col min="253" max="253" width="15.7109375" style="1895" customWidth="1"/>
    <col min="254" max="255" width="1.7109375" style="1895" customWidth="1"/>
    <col min="256" max="16384" width="16.28515625" style="1895"/>
  </cols>
  <sheetData>
    <row r="3" spans="1:26" ht="15.75" x14ac:dyDescent="0.2">
      <c r="D3" s="3238" t="s">
        <v>531</v>
      </c>
      <c r="E3" s="3238"/>
      <c r="F3" s="3238"/>
      <c r="G3" s="3238"/>
      <c r="H3" s="3238"/>
      <c r="I3" s="3238"/>
      <c r="J3" s="3238"/>
      <c r="K3" s="3238"/>
      <c r="L3" s="3238"/>
      <c r="M3" s="3238"/>
      <c r="N3" s="3238"/>
      <c r="Q3" s="1894" t="s">
        <v>532</v>
      </c>
    </row>
    <row r="4" spans="1:26" x14ac:dyDescent="0.2">
      <c r="Q4" s="1894" t="s">
        <v>533</v>
      </c>
    </row>
    <row r="5" spans="1:26" x14ac:dyDescent="0.2">
      <c r="A5" s="1896"/>
      <c r="B5" s="1896"/>
      <c r="D5" s="1897" t="s">
        <v>454</v>
      </c>
      <c r="E5" s="1897"/>
      <c r="F5" s="1897"/>
      <c r="G5" s="1897" t="s">
        <v>308</v>
      </c>
      <c r="H5" s="1898" t="s">
        <v>1405</v>
      </c>
      <c r="I5" s="1896"/>
      <c r="J5" s="1896"/>
      <c r="K5" s="1896"/>
      <c r="L5" s="1896"/>
      <c r="M5" s="1896"/>
      <c r="N5" s="1896"/>
      <c r="O5" s="1899"/>
      <c r="P5" s="1899"/>
      <c r="Q5" s="1894" t="s">
        <v>534</v>
      </c>
      <c r="R5" s="1897"/>
      <c r="S5" s="1899"/>
      <c r="T5" s="1896"/>
      <c r="U5" s="1896"/>
      <c r="V5" s="1896"/>
      <c r="W5" s="1900"/>
      <c r="X5" s="1899"/>
      <c r="Y5" s="1899"/>
      <c r="Z5" s="1895"/>
    </row>
    <row r="6" spans="1:26" x14ac:dyDescent="0.2">
      <c r="A6" s="1901"/>
      <c r="B6" s="1896"/>
      <c r="D6" s="1897" t="s">
        <v>455</v>
      </c>
      <c r="E6" s="1897"/>
      <c r="F6" s="1897"/>
      <c r="G6" s="1897" t="s">
        <v>308</v>
      </c>
      <c r="H6" s="1898" t="s">
        <v>27</v>
      </c>
      <c r="I6" s="1896"/>
      <c r="J6" s="1896"/>
      <c r="K6" s="1896"/>
      <c r="M6" s="1902"/>
      <c r="N6" s="1903" t="s">
        <v>457</v>
      </c>
      <c r="O6" s="1899"/>
      <c r="P6" s="1899"/>
      <c r="Q6" s="1899"/>
      <c r="R6" s="1897"/>
      <c r="S6" s="1899"/>
      <c r="T6" s="1896"/>
      <c r="U6" s="1896"/>
      <c r="V6" s="1896"/>
      <c r="X6" s="1902"/>
      <c r="Y6" s="1902"/>
      <c r="Z6" s="1895"/>
    </row>
    <row r="7" spans="1:26" ht="14.25" thickBot="1" x14ac:dyDescent="0.25">
      <c r="A7" s="1901"/>
      <c r="B7" s="1896"/>
      <c r="D7" s="1896"/>
      <c r="E7" s="1896"/>
      <c r="F7" s="1896"/>
      <c r="G7" s="1896"/>
      <c r="H7" s="1896"/>
      <c r="I7" s="1896"/>
      <c r="J7" s="1896"/>
      <c r="K7" s="1896"/>
      <c r="L7" s="1896"/>
      <c r="M7" s="1896"/>
      <c r="N7" s="1896"/>
      <c r="O7" s="1896"/>
      <c r="P7" s="1896"/>
      <c r="Q7" s="1896"/>
      <c r="R7" s="1896"/>
      <c r="S7" s="1896"/>
      <c r="T7" s="1896"/>
      <c r="U7" s="1896"/>
      <c r="V7" s="1896"/>
      <c r="W7" s="1900"/>
      <c r="X7" s="1896"/>
      <c r="Y7" s="1904"/>
      <c r="Z7" s="1895"/>
    </row>
    <row r="8" spans="1:26" x14ac:dyDescent="0.2">
      <c r="A8" s="1901"/>
      <c r="B8" s="1896"/>
      <c r="D8" s="1905"/>
      <c r="E8" s="1906"/>
      <c r="F8" s="1907"/>
      <c r="G8" s="1907"/>
      <c r="H8" s="1907"/>
      <c r="I8" s="1907"/>
      <c r="J8" s="1907"/>
      <c r="K8" s="1906"/>
      <c r="L8" s="1906"/>
      <c r="M8" s="1906"/>
      <c r="N8" s="1908"/>
      <c r="O8" s="1909"/>
      <c r="P8" s="1896"/>
      <c r="Q8" s="1896"/>
      <c r="R8" s="1896"/>
      <c r="S8" s="1896"/>
      <c r="T8" s="1896"/>
      <c r="U8" s="1896"/>
      <c r="V8" s="1896"/>
      <c r="W8" s="1900"/>
      <c r="X8" s="1896"/>
      <c r="Y8" s="1896"/>
      <c r="Z8" s="1895"/>
    </row>
    <row r="9" spans="1:26" x14ac:dyDescent="0.2">
      <c r="A9" s="1896"/>
      <c r="B9" s="1896"/>
      <c r="D9" s="1910" t="s">
        <v>12</v>
      </c>
      <c r="E9" s="1911"/>
      <c r="F9" s="1912" t="s">
        <v>363</v>
      </c>
      <c r="G9" s="1912"/>
      <c r="H9" s="1912"/>
      <c r="I9" s="1912"/>
      <c r="J9" s="1912"/>
      <c r="K9" s="1913" t="s">
        <v>364</v>
      </c>
      <c r="L9" s="1913" t="s">
        <v>365</v>
      </c>
      <c r="M9" s="1913" t="s">
        <v>458</v>
      </c>
      <c r="N9" s="1914" t="s">
        <v>95</v>
      </c>
      <c r="O9" s="1915"/>
      <c r="P9" s="1899"/>
      <c r="Q9" s="1916"/>
      <c r="R9" s="1916"/>
      <c r="S9" s="1916"/>
      <c r="T9" s="1916"/>
      <c r="U9" s="1916"/>
      <c r="V9" s="1917"/>
      <c r="W9" s="1917"/>
      <c r="X9" s="1917"/>
      <c r="Y9" s="1917"/>
      <c r="Z9" s="1895"/>
    </row>
    <row r="10" spans="1:26" ht="14.25" thickBot="1" x14ac:dyDescent="0.25">
      <c r="A10" s="1896"/>
      <c r="B10" s="1896"/>
      <c r="D10" s="1918"/>
      <c r="E10" s="1919"/>
      <c r="F10" s="1920"/>
      <c r="G10" s="1920"/>
      <c r="H10" s="1920"/>
      <c r="I10" s="1920"/>
      <c r="J10" s="1920"/>
      <c r="K10" s="1919"/>
      <c r="L10" s="1919"/>
      <c r="M10" s="1919"/>
      <c r="N10" s="1921"/>
      <c r="O10" s="1909"/>
      <c r="P10" s="1896"/>
      <c r="Q10" s="1896"/>
      <c r="R10" s="1896"/>
      <c r="S10" s="1896"/>
      <c r="T10" s="1896"/>
      <c r="U10" s="1896"/>
      <c r="V10" s="1896"/>
      <c r="W10" s="1900"/>
      <c r="X10" s="1896"/>
      <c r="Y10" s="1896"/>
      <c r="Z10" s="1895"/>
    </row>
    <row r="11" spans="1:26" x14ac:dyDescent="0.2">
      <c r="A11" s="1922"/>
      <c r="D11" s="1923"/>
      <c r="E11" s="1924"/>
      <c r="F11" s="1909"/>
      <c r="G11" s="1909"/>
      <c r="H11" s="1909"/>
      <c r="I11" s="1909"/>
      <c r="J11" s="1909"/>
      <c r="K11" s="1924"/>
      <c r="L11" s="1925"/>
      <c r="M11" s="1924"/>
      <c r="N11" s="1926"/>
      <c r="O11" s="1909"/>
      <c r="P11" s="1896"/>
      <c r="Q11" s="1896"/>
      <c r="R11" s="1896"/>
      <c r="S11" s="1896"/>
      <c r="T11" s="1896"/>
      <c r="U11" s="1896"/>
      <c r="V11" s="1896"/>
      <c r="W11" s="1900"/>
      <c r="X11" s="1896"/>
      <c r="Y11" s="1896"/>
      <c r="Z11" s="1895"/>
    </row>
    <row r="12" spans="1:26" x14ac:dyDescent="0.2">
      <c r="A12" s="1922"/>
      <c r="D12" s="1927" t="s">
        <v>459</v>
      </c>
      <c r="E12" s="1911"/>
      <c r="F12" s="1928" t="s">
        <v>460</v>
      </c>
      <c r="G12" s="1928"/>
      <c r="H12" s="1909"/>
      <c r="I12" s="1909"/>
      <c r="J12" s="1909"/>
      <c r="K12" s="1924"/>
      <c r="L12" s="1925"/>
      <c r="M12" s="1924"/>
      <c r="N12" s="1926"/>
      <c r="O12" s="1928"/>
      <c r="P12" s="1899"/>
      <c r="Q12" s="1899"/>
      <c r="R12" s="1899"/>
      <c r="S12" s="1896"/>
      <c r="T12" s="1896"/>
      <c r="U12" s="1896"/>
      <c r="V12" s="1896"/>
      <c r="W12" s="1896"/>
      <c r="X12" s="1896"/>
      <c r="Y12" s="1896"/>
      <c r="Z12" s="1895"/>
    </row>
    <row r="13" spans="1:26" x14ac:dyDescent="0.2">
      <c r="A13" s="1922"/>
      <c r="D13" s="1929">
        <v>1</v>
      </c>
      <c r="E13" s="1911"/>
      <c r="F13" s="1909" t="s">
        <v>535</v>
      </c>
      <c r="G13" s="1928"/>
      <c r="H13" s="1909"/>
      <c r="I13" s="1909"/>
      <c r="J13" s="1909"/>
      <c r="K13" s="1924"/>
      <c r="L13" s="1925"/>
      <c r="M13" s="1924"/>
      <c r="N13" s="1926"/>
      <c r="O13" s="1928"/>
      <c r="P13" s="1899"/>
      <c r="Q13" s="1899"/>
      <c r="R13" s="1899"/>
      <c r="S13" s="1896"/>
      <c r="T13" s="1896"/>
      <c r="U13" s="1896"/>
      <c r="V13" s="1896"/>
      <c r="W13" s="1896"/>
      <c r="X13" s="1896"/>
      <c r="Y13" s="1896"/>
      <c r="Z13" s="1895"/>
    </row>
    <row r="14" spans="1:26" x14ac:dyDescent="0.2">
      <c r="A14" s="1922"/>
      <c r="D14" s="1927"/>
      <c r="E14" s="1911"/>
      <c r="F14" s="1909" t="s">
        <v>536</v>
      </c>
      <c r="G14" s="1928"/>
      <c r="H14" s="1909"/>
      <c r="I14" s="1909"/>
      <c r="J14" s="1909"/>
      <c r="K14" s="1924"/>
      <c r="L14" s="1925"/>
      <c r="M14" s="1924"/>
      <c r="N14" s="1926"/>
      <c r="O14" s="1928"/>
      <c r="P14" s="1899"/>
      <c r="Q14" s="1899"/>
      <c r="R14" s="1899"/>
      <c r="S14" s="1896"/>
      <c r="T14" s="1896"/>
      <c r="U14" s="1896"/>
      <c r="V14" s="1896"/>
      <c r="W14" s="1896"/>
      <c r="X14" s="1896"/>
      <c r="Y14" s="1896"/>
      <c r="Z14" s="1895"/>
    </row>
    <row r="15" spans="1:26" x14ac:dyDescent="0.2">
      <c r="A15" s="1922"/>
      <c r="D15" s="1930">
        <v>2</v>
      </c>
      <c r="E15" s="1924"/>
      <c r="F15" s="1909" t="s">
        <v>537</v>
      </c>
      <c r="G15" s="1909"/>
      <c r="H15" s="1909"/>
      <c r="I15" s="1909"/>
      <c r="J15" s="1909"/>
      <c r="K15" s="1924"/>
      <c r="L15" s="1925"/>
      <c r="M15" s="1924"/>
      <c r="N15" s="1926"/>
      <c r="O15" s="1909"/>
      <c r="P15" s="1896"/>
      <c r="Q15" s="1896"/>
      <c r="R15" s="1896"/>
      <c r="S15" s="1896"/>
      <c r="T15" s="1896"/>
      <c r="U15" s="1896"/>
      <c r="V15" s="1931"/>
      <c r="W15" s="1900"/>
      <c r="X15" s="1931"/>
      <c r="Y15" s="1896"/>
      <c r="Z15" s="1895"/>
    </row>
    <row r="16" spans="1:26" x14ac:dyDescent="0.2">
      <c r="A16" s="1922"/>
      <c r="D16" s="1930"/>
      <c r="E16" s="1924"/>
      <c r="F16" s="1909" t="s">
        <v>536</v>
      </c>
      <c r="G16" s="1909"/>
      <c r="H16" s="1909"/>
      <c r="I16" s="1909"/>
      <c r="J16" s="1909"/>
      <c r="K16" s="1924"/>
      <c r="L16" s="1925"/>
      <c r="M16" s="1924"/>
      <c r="N16" s="1926"/>
      <c r="O16" s="1909"/>
      <c r="P16" s="1896"/>
      <c r="Q16" s="1896"/>
      <c r="R16" s="1896"/>
      <c r="S16" s="1896"/>
      <c r="T16" s="1896"/>
      <c r="U16" s="1896"/>
      <c r="V16" s="1931"/>
      <c r="W16" s="1900"/>
      <c r="X16" s="1931"/>
      <c r="Y16" s="1896"/>
      <c r="Z16" s="1895"/>
    </row>
    <row r="17" spans="1:28" x14ac:dyDescent="0.2">
      <c r="A17" s="1932"/>
      <c r="B17" s="1933" t="e">
        <f>#REF!</f>
        <v>#REF!</v>
      </c>
      <c r="C17" s="1934" t="e">
        <f>#REF!</f>
        <v>#REF!</v>
      </c>
      <c r="D17" s="1930">
        <f>D15+1</f>
        <v>3</v>
      </c>
      <c r="E17" s="1924"/>
      <c r="F17" s="1935" t="s">
        <v>356</v>
      </c>
      <c r="G17" s="1935"/>
      <c r="H17" s="1935"/>
      <c r="I17" s="1935"/>
      <c r="J17" s="1935"/>
      <c r="K17" s="1936" t="s">
        <v>463</v>
      </c>
      <c r="L17" s="1937">
        <f>VLOOKUP(F17,ID!$B$3:$I$20,3,FALSE)</f>
        <v>8</v>
      </c>
      <c r="M17" s="1936" t="s">
        <v>464</v>
      </c>
      <c r="N17" s="1926"/>
      <c r="O17" s="1909"/>
      <c r="P17" s="1896"/>
      <c r="Q17" s="1938"/>
      <c r="R17" s="1896"/>
      <c r="S17" s="1896"/>
      <c r="T17" s="1896"/>
      <c r="U17" s="1896"/>
      <c r="V17" s="1931"/>
      <c r="W17" s="1939"/>
      <c r="X17" s="1931"/>
      <c r="Y17" s="1896"/>
      <c r="Z17" s="1895"/>
    </row>
    <row r="18" spans="1:28" x14ac:dyDescent="0.2">
      <c r="A18" s="1932"/>
      <c r="D18" s="1930">
        <f>D17+1</f>
        <v>4</v>
      </c>
      <c r="E18" s="1924"/>
      <c r="F18" s="1909" t="s">
        <v>465</v>
      </c>
      <c r="G18" s="1909"/>
      <c r="H18" s="1909"/>
      <c r="I18" s="1909"/>
      <c r="J18" s="1909"/>
      <c r="K18" s="1940" t="s">
        <v>538</v>
      </c>
      <c r="L18" s="1925">
        <v>0.3</v>
      </c>
      <c r="M18" s="1940" t="s">
        <v>8</v>
      </c>
      <c r="N18" s="1926"/>
      <c r="O18" s="1909"/>
      <c r="P18" s="1896"/>
      <c r="Q18" s="1938"/>
      <c r="R18" s="1896"/>
      <c r="S18" s="1896"/>
      <c r="T18" s="1896"/>
      <c r="U18" s="1896"/>
      <c r="V18" s="1931"/>
      <c r="W18" s="1939"/>
      <c r="X18" s="1931"/>
      <c r="Y18" s="1896"/>
      <c r="Z18" s="1895"/>
    </row>
    <row r="19" spans="1:28" x14ac:dyDescent="0.2">
      <c r="A19" s="1932"/>
      <c r="D19" s="1930">
        <v>5</v>
      </c>
      <c r="E19" s="1924"/>
      <c r="F19" s="1909" t="s">
        <v>539</v>
      </c>
      <c r="G19" s="1909"/>
      <c r="H19" s="1909"/>
      <c r="I19" s="1909"/>
      <c r="J19" s="1909"/>
      <c r="K19" s="1940"/>
      <c r="L19" s="1941"/>
      <c r="M19" s="1940"/>
      <c r="N19" s="1926"/>
      <c r="O19" s="1909"/>
      <c r="P19" s="1896"/>
      <c r="Q19" s="1896"/>
      <c r="R19" s="1896"/>
      <c r="S19" s="1896"/>
      <c r="T19" s="1896"/>
      <c r="U19" s="1896"/>
      <c r="V19" s="1896"/>
      <c r="W19" s="1900"/>
      <c r="X19" s="1896"/>
      <c r="Y19" s="1896"/>
      <c r="Z19" s="1895"/>
    </row>
    <row r="20" spans="1:28" x14ac:dyDescent="0.2">
      <c r="B20" s="1894"/>
      <c r="D20" s="1930"/>
      <c r="E20" s="1924"/>
      <c r="F20" s="1909"/>
      <c r="G20" s="1909"/>
      <c r="H20" s="1909"/>
      <c r="I20" s="1909"/>
      <c r="J20" s="1909"/>
      <c r="K20" s="1924"/>
      <c r="L20" s="1942"/>
      <c r="M20" s="1940"/>
      <c r="N20" s="1926"/>
      <c r="O20" s="1909"/>
      <c r="P20" s="1896"/>
      <c r="Q20" s="1899"/>
      <c r="R20" s="1899"/>
      <c r="S20" s="1899"/>
      <c r="T20" s="1896"/>
      <c r="U20" s="1896"/>
      <c r="V20" s="1896"/>
      <c r="W20" s="1900"/>
      <c r="X20" s="1896"/>
      <c r="Y20" s="1896"/>
      <c r="Z20" s="1895"/>
    </row>
    <row r="21" spans="1:28" x14ac:dyDescent="0.2">
      <c r="A21" s="1943"/>
      <c r="B21" s="1896"/>
      <c r="D21" s="1927" t="s">
        <v>467</v>
      </c>
      <c r="E21" s="1911"/>
      <c r="F21" s="1928" t="s">
        <v>468</v>
      </c>
      <c r="G21" s="1928"/>
      <c r="H21" s="1909"/>
      <c r="I21" s="1909"/>
      <c r="J21" s="1909"/>
      <c r="K21" s="1924"/>
      <c r="L21" s="1942"/>
      <c r="M21" s="1940"/>
      <c r="N21" s="1926"/>
      <c r="O21" s="1909"/>
      <c r="P21" s="1896"/>
      <c r="Q21" s="1896"/>
      <c r="R21" s="1896"/>
      <c r="S21" s="1896"/>
      <c r="T21" s="1896"/>
      <c r="U21" s="1896"/>
      <c r="V21" s="1931"/>
      <c r="W21" s="1944"/>
      <c r="X21" s="1931"/>
      <c r="Y21" s="1896"/>
      <c r="Z21" s="1895"/>
    </row>
    <row r="22" spans="1:28" x14ac:dyDescent="0.2">
      <c r="A22" s="1945"/>
      <c r="B22" s="1896"/>
      <c r="D22" s="1930">
        <v>1</v>
      </c>
      <c r="E22" s="1924"/>
      <c r="F22" s="1909" t="s">
        <v>540</v>
      </c>
      <c r="G22" s="1909"/>
      <c r="H22" s="1909"/>
      <c r="I22" s="1909"/>
      <c r="J22" s="1909"/>
      <c r="K22" s="1924"/>
      <c r="L22" s="1941"/>
      <c r="M22" s="1940"/>
      <c r="N22" s="1926"/>
      <c r="O22" s="1909"/>
      <c r="P22" s="1896"/>
      <c r="Q22" s="1896"/>
      <c r="R22" s="1896"/>
      <c r="S22" s="1899"/>
      <c r="T22" s="1896"/>
      <c r="U22" s="1896"/>
      <c r="V22" s="1931"/>
      <c r="W22" s="1944"/>
      <c r="X22" s="1931"/>
      <c r="Y22" s="1896"/>
      <c r="Z22" s="1895"/>
      <c r="AB22" s="1894">
        <f>W22*7</f>
        <v>0</v>
      </c>
    </row>
    <row r="23" spans="1:28" x14ac:dyDescent="0.2">
      <c r="A23" s="1945"/>
      <c r="B23" s="1896"/>
      <c r="D23" s="1930">
        <f>D22+1</f>
        <v>2</v>
      </c>
      <c r="E23" s="1924"/>
      <c r="F23" s="1909" t="s">
        <v>541</v>
      </c>
      <c r="G23" s="1909"/>
      <c r="H23" s="1909"/>
      <c r="I23" s="1909"/>
      <c r="J23" s="1909"/>
      <c r="K23" s="1924"/>
      <c r="L23" s="1941"/>
      <c r="M23" s="1940"/>
      <c r="N23" s="1926"/>
      <c r="O23" s="1909"/>
      <c r="P23" s="1896"/>
      <c r="Q23" s="1896"/>
      <c r="R23" s="1896"/>
      <c r="S23" s="1896"/>
      <c r="T23" s="1896"/>
      <c r="U23" s="1896"/>
      <c r="V23" s="1896"/>
      <c r="W23" s="1900"/>
      <c r="X23" s="1896"/>
      <c r="Y23" s="1896"/>
      <c r="Z23" s="1895"/>
    </row>
    <row r="24" spans="1:28" x14ac:dyDescent="0.2">
      <c r="A24" s="1945"/>
      <c r="B24" s="1896"/>
      <c r="D24" s="1930">
        <f>D23+1</f>
        <v>3</v>
      </c>
      <c r="E24" s="1924"/>
      <c r="F24" s="1909" t="s">
        <v>542</v>
      </c>
      <c r="G24" s="1909"/>
      <c r="H24" s="1909"/>
      <c r="I24" s="1909"/>
      <c r="J24" s="1909"/>
      <c r="K24" s="1924"/>
      <c r="L24" s="1941"/>
      <c r="M24" s="1940"/>
      <c r="N24" s="1926"/>
      <c r="O24" s="1915"/>
      <c r="P24" s="1899"/>
      <c r="Q24" s="1899"/>
      <c r="R24" s="1899"/>
      <c r="S24" s="1896"/>
      <c r="T24" s="1896"/>
      <c r="U24" s="1896"/>
      <c r="V24" s="1896"/>
      <c r="W24" s="1900"/>
      <c r="X24" s="1896"/>
      <c r="Y24" s="1896"/>
      <c r="Z24" s="1895"/>
    </row>
    <row r="25" spans="1:28" x14ac:dyDescent="0.2">
      <c r="A25" s="1945"/>
      <c r="B25" s="1896"/>
      <c r="D25" s="1930">
        <f>D24+1</f>
        <v>4</v>
      </c>
      <c r="E25" s="1924"/>
      <c r="F25" s="1909" t="s">
        <v>543</v>
      </c>
      <c r="G25" s="1909"/>
      <c r="H25" s="1909"/>
      <c r="I25" s="1909"/>
      <c r="J25" s="1909"/>
      <c r="K25" s="1924"/>
      <c r="L25" s="1946"/>
      <c r="M25" s="1940"/>
      <c r="N25" s="1926"/>
      <c r="O25" s="1909"/>
      <c r="P25" s="1896"/>
      <c r="Q25" s="1896"/>
      <c r="R25" s="1896"/>
      <c r="S25" s="1896"/>
      <c r="T25" s="1896"/>
      <c r="U25" s="1896"/>
      <c r="V25" s="1896"/>
      <c r="W25" s="1900"/>
      <c r="X25" s="1896"/>
      <c r="Y25" s="1896"/>
      <c r="Z25" s="1895"/>
    </row>
    <row r="26" spans="1:28" x14ac:dyDescent="0.2">
      <c r="A26" s="1943"/>
      <c r="B26" s="1896"/>
      <c r="D26" s="1930">
        <f>D25+1</f>
        <v>5</v>
      </c>
      <c r="E26" s="1924"/>
      <c r="F26" s="1909" t="s">
        <v>544</v>
      </c>
      <c r="G26" s="1909"/>
      <c r="H26" s="1909"/>
      <c r="I26" s="1909"/>
      <c r="J26" s="1909"/>
      <c r="K26" s="1940"/>
      <c r="L26" s="1946"/>
      <c r="M26" s="1940"/>
      <c r="N26" s="1926"/>
      <c r="O26" s="1909"/>
      <c r="P26" s="1896"/>
      <c r="Q26" s="1896"/>
      <c r="R26" s="1896"/>
      <c r="S26" s="1896"/>
      <c r="T26" s="1896"/>
      <c r="U26" s="1896"/>
      <c r="V26" s="1896"/>
      <c r="W26" s="1900"/>
      <c r="X26" s="1896"/>
      <c r="Y26" s="1896"/>
      <c r="Z26" s="1895"/>
    </row>
    <row r="27" spans="1:28" x14ac:dyDescent="0.2">
      <c r="A27" s="1943"/>
      <c r="B27" s="1896"/>
      <c r="D27" s="1930">
        <f>D26+1</f>
        <v>6</v>
      </c>
      <c r="E27" s="1924"/>
      <c r="F27" s="1909" t="s">
        <v>545</v>
      </c>
      <c r="G27" s="1909"/>
      <c r="H27" s="1909"/>
      <c r="I27" s="1909"/>
      <c r="J27" s="1909"/>
      <c r="K27" s="1940"/>
      <c r="L27" s="1946"/>
      <c r="M27" s="1940"/>
      <c r="N27" s="1926"/>
      <c r="O27" s="1909"/>
      <c r="P27" s="1896"/>
      <c r="Q27" s="1896"/>
      <c r="R27" s="1896"/>
      <c r="S27" s="1896"/>
      <c r="T27" s="1896"/>
      <c r="U27" s="1896"/>
      <c r="V27" s="1896"/>
      <c r="W27" s="1900"/>
      <c r="X27" s="1896"/>
      <c r="Y27" s="1896"/>
      <c r="Z27" s="1895"/>
    </row>
    <row r="28" spans="1:28" x14ac:dyDescent="0.2">
      <c r="A28" s="1943"/>
      <c r="B28" s="1896"/>
      <c r="D28" s="1923"/>
      <c r="E28" s="1924"/>
      <c r="F28" s="1909" t="s">
        <v>546</v>
      </c>
      <c r="G28" s="1909"/>
      <c r="H28" s="1909"/>
      <c r="I28" s="1909"/>
      <c r="J28" s="1909"/>
      <c r="K28" s="1940"/>
      <c r="L28" s="1946"/>
      <c r="M28" s="1940"/>
      <c r="N28" s="1926"/>
      <c r="O28" s="1909"/>
      <c r="P28" s="1896"/>
      <c r="Q28" s="1896"/>
      <c r="R28" s="1896"/>
      <c r="S28" s="1896"/>
      <c r="T28" s="1896"/>
      <c r="U28" s="1896"/>
      <c r="V28" s="1896"/>
      <c r="W28" s="1900"/>
      <c r="X28" s="1896"/>
      <c r="Y28" s="1896"/>
      <c r="Z28" s="1895"/>
    </row>
    <row r="29" spans="1:28" x14ac:dyDescent="0.2">
      <c r="A29" s="1947"/>
      <c r="B29" s="1896"/>
      <c r="D29" s="1923"/>
      <c r="E29" s="1924"/>
      <c r="F29" s="1909"/>
      <c r="G29" s="1909"/>
      <c r="H29" s="1909"/>
      <c r="I29" s="1909"/>
      <c r="J29" s="1909"/>
      <c r="K29" s="1924"/>
      <c r="L29" s="1946"/>
      <c r="M29" s="1940"/>
      <c r="N29" s="1926"/>
      <c r="O29" s="1915"/>
      <c r="P29" s="1899"/>
      <c r="Q29" s="1899"/>
      <c r="R29" s="1899"/>
      <c r="S29" s="1896"/>
      <c r="T29" s="1896"/>
      <c r="U29" s="1896"/>
      <c r="V29" s="1896"/>
      <c r="W29" s="1900"/>
      <c r="X29" s="1896"/>
      <c r="Y29" s="1896"/>
      <c r="Z29" s="1895"/>
    </row>
    <row r="30" spans="1:28" x14ac:dyDescent="0.2">
      <c r="A30" s="1947"/>
      <c r="B30" s="1896"/>
      <c r="D30" s="1910" t="s">
        <v>471</v>
      </c>
      <c r="E30" s="1911"/>
      <c r="F30" s="1928" t="s">
        <v>472</v>
      </c>
      <c r="G30" s="1928"/>
      <c r="H30" s="1909"/>
      <c r="I30" s="1909"/>
      <c r="J30" s="1909"/>
      <c r="K30" s="1924"/>
      <c r="L30" s="1946"/>
      <c r="M30" s="1940"/>
      <c r="N30" s="1926"/>
      <c r="O30" s="1909"/>
      <c r="P30" s="1896"/>
      <c r="Q30" s="1896"/>
      <c r="R30" s="1896"/>
      <c r="S30" s="1896"/>
      <c r="T30" s="1896"/>
      <c r="U30" s="1896"/>
      <c r="V30" s="1896"/>
      <c r="W30" s="1900"/>
      <c r="X30" s="1896"/>
      <c r="Y30" s="1896"/>
      <c r="Z30" s="1895"/>
    </row>
    <row r="31" spans="1:28" x14ac:dyDescent="0.2">
      <c r="A31" s="1947"/>
      <c r="B31" s="1896"/>
      <c r="D31" s="1948" t="s">
        <v>473</v>
      </c>
      <c r="E31" s="1911"/>
      <c r="F31" s="1928" t="s">
        <v>54</v>
      </c>
      <c r="G31" s="1928"/>
      <c r="H31" s="1909"/>
      <c r="I31" s="1909"/>
      <c r="J31" s="1909"/>
      <c r="K31" s="1924"/>
      <c r="L31" s="1946"/>
      <c r="M31" s="1940"/>
      <c r="N31" s="1926"/>
      <c r="O31" s="1909"/>
      <c r="P31" s="1896"/>
      <c r="T31" s="1896"/>
      <c r="U31" s="1896"/>
      <c r="V31" s="1896"/>
      <c r="W31" s="1900"/>
      <c r="X31" s="1896"/>
      <c r="Y31" s="1896"/>
      <c r="Z31" s="1895"/>
    </row>
    <row r="32" spans="1:28" x14ac:dyDescent="0.2">
      <c r="A32" s="1949"/>
      <c r="B32" s="1896"/>
      <c r="D32" s="1923"/>
      <c r="E32" s="1924"/>
      <c r="F32" s="1909" t="s">
        <v>1350</v>
      </c>
      <c r="G32" s="1909"/>
      <c r="H32" s="1909"/>
      <c r="I32" s="1909"/>
      <c r="J32" s="1909"/>
      <c r="K32" s="1940" t="s">
        <v>547</v>
      </c>
      <c r="L32" s="1950">
        <f>22/7*0.15*0.15</f>
        <v>7.0714285714285716E-2</v>
      </c>
      <c r="M32" s="1940" t="s">
        <v>130</v>
      </c>
      <c r="N32" s="1926"/>
      <c r="O32" s="1909"/>
      <c r="P32" s="1896"/>
      <c r="Q32" s="1951"/>
      <c r="R32" s="3239"/>
      <c r="S32" s="3240"/>
      <c r="T32" s="1896"/>
      <c r="U32" s="1896"/>
      <c r="V32" s="1896"/>
      <c r="W32" s="1900"/>
      <c r="X32" s="1896"/>
      <c r="Y32" s="1896"/>
      <c r="Z32" s="1895"/>
    </row>
    <row r="33" spans="1:26" x14ac:dyDescent="0.2">
      <c r="A33" s="1949"/>
      <c r="B33" s="1896"/>
      <c r="D33" s="1923"/>
      <c r="E33" s="1924"/>
      <c r="F33" s="1909"/>
      <c r="G33" s="1909"/>
      <c r="H33" s="1909"/>
      <c r="I33" s="1909"/>
      <c r="J33" s="1909"/>
      <c r="K33" s="1924"/>
      <c r="L33" s="1925"/>
      <c r="M33" s="1940"/>
      <c r="N33" s="1926"/>
      <c r="O33" s="1909"/>
      <c r="P33" s="1896"/>
      <c r="T33" s="1896"/>
      <c r="U33" s="1896"/>
      <c r="V33" s="1896"/>
      <c r="W33" s="1900"/>
      <c r="X33" s="1896"/>
      <c r="Y33" s="1896"/>
      <c r="Z33" s="1895"/>
    </row>
    <row r="34" spans="1:26" x14ac:dyDescent="0.2">
      <c r="A34" s="1949"/>
      <c r="B34" s="1896"/>
      <c r="D34" s="1948" t="s">
        <v>474</v>
      </c>
      <c r="E34" s="1911"/>
      <c r="F34" s="1928" t="s">
        <v>475</v>
      </c>
      <c r="G34" s="1928"/>
      <c r="H34" s="1909"/>
      <c r="I34" s="1909"/>
      <c r="J34" s="1909"/>
      <c r="K34" s="1924"/>
      <c r="L34" s="1925"/>
      <c r="M34" s="1940"/>
      <c r="N34" s="1926"/>
      <c r="O34" s="1909"/>
      <c r="P34" s="1896"/>
      <c r="Q34" s="1896"/>
      <c r="R34" s="1896"/>
      <c r="S34" s="1896"/>
      <c r="T34" s="1896"/>
      <c r="U34" s="1896"/>
      <c r="V34" s="1896"/>
      <c r="W34" s="1896"/>
      <c r="X34" s="1896"/>
      <c r="Y34" s="1896"/>
      <c r="Z34" s="1895"/>
    </row>
    <row r="35" spans="1:26" x14ac:dyDescent="0.2">
      <c r="A35" s="1949"/>
      <c r="B35" s="1896"/>
      <c r="D35" s="1923" t="s">
        <v>476</v>
      </c>
      <c r="E35" s="1924"/>
      <c r="F35" s="1952" t="s">
        <v>548</v>
      </c>
      <c r="G35" s="1952"/>
      <c r="H35" s="1909"/>
      <c r="I35" s="1909"/>
      <c r="J35" s="1909"/>
      <c r="K35" s="1940"/>
      <c r="L35" s="1925"/>
      <c r="M35" s="1940"/>
      <c r="N35" s="1926"/>
      <c r="O35" s="1909"/>
      <c r="P35" s="1896"/>
      <c r="Q35" s="1896"/>
      <c r="R35" s="1896"/>
      <c r="S35" s="1896"/>
      <c r="T35" s="1896"/>
      <c r="U35" s="1896"/>
      <c r="V35" s="1896"/>
      <c r="W35" s="1896"/>
      <c r="X35" s="1896"/>
      <c r="Y35" s="1896"/>
      <c r="Z35" s="1895"/>
    </row>
    <row r="36" spans="1:26" x14ac:dyDescent="0.2">
      <c r="A36" s="1949"/>
      <c r="B36" s="1896"/>
      <c r="D36" s="1923"/>
      <c r="E36" s="1924"/>
      <c r="F36" s="1909" t="s">
        <v>549</v>
      </c>
      <c r="G36" s="1952"/>
      <c r="H36" s="1909"/>
      <c r="I36" s="1909"/>
      <c r="J36" s="1909"/>
      <c r="K36" s="1940" t="s">
        <v>343</v>
      </c>
      <c r="L36" s="1925">
        <v>18</v>
      </c>
      <c r="M36" s="1940" t="s">
        <v>487</v>
      </c>
      <c r="N36" s="1926" t="s">
        <v>550</v>
      </c>
      <c r="O36" s="1909"/>
      <c r="P36" s="1896"/>
      <c r="Q36" s="1896">
        <v>125</v>
      </c>
      <c r="R36" s="1896"/>
      <c r="S36" s="1896" t="s">
        <v>551</v>
      </c>
      <c r="T36" s="1896"/>
      <c r="U36" s="1896"/>
      <c r="V36" s="1896"/>
      <c r="W36" s="1896"/>
      <c r="X36" s="1896"/>
      <c r="Y36" s="1896"/>
      <c r="Z36" s="1895"/>
    </row>
    <row r="37" spans="1:26" x14ac:dyDescent="0.2">
      <c r="A37" s="1949"/>
      <c r="B37" s="1896"/>
      <c r="D37" s="1923"/>
      <c r="E37" s="1924"/>
      <c r="F37" s="1909" t="s">
        <v>523</v>
      </c>
      <c r="G37" s="1952"/>
      <c r="H37" s="1909"/>
      <c r="I37" s="1909"/>
      <c r="J37" s="1909"/>
      <c r="K37" s="1940" t="s">
        <v>524</v>
      </c>
      <c r="L37" s="1925">
        <v>0.75</v>
      </c>
      <c r="M37" s="1940"/>
      <c r="N37" s="1926" t="s">
        <v>552</v>
      </c>
      <c r="O37" s="1909"/>
      <c r="P37" s="1896"/>
      <c r="Q37" s="1896">
        <f>Q36/7</f>
        <v>17.857142857142858</v>
      </c>
      <c r="R37" s="1896"/>
      <c r="S37" s="1896"/>
      <c r="T37" s="1896"/>
      <c r="U37" s="1896"/>
      <c r="V37" s="1896"/>
      <c r="W37" s="1896"/>
      <c r="X37" s="1896"/>
      <c r="Y37" s="1896"/>
      <c r="Z37" s="1895"/>
    </row>
    <row r="38" spans="1:26" x14ac:dyDescent="0.2">
      <c r="A38" s="1949"/>
      <c r="B38" s="1896"/>
      <c r="D38" s="1923"/>
      <c r="E38" s="1924"/>
      <c r="F38" s="1909"/>
      <c r="G38" s="1952"/>
      <c r="H38" s="1909"/>
      <c r="I38" s="1909"/>
      <c r="J38" s="1909"/>
      <c r="K38" s="1940"/>
      <c r="L38" s="1925"/>
      <c r="M38" s="1940"/>
      <c r="N38" s="1926"/>
      <c r="O38" s="1909"/>
      <c r="P38" s="1896"/>
      <c r="Q38" s="1896"/>
      <c r="R38" s="1896"/>
      <c r="S38" s="1896"/>
      <c r="T38" s="1896"/>
      <c r="U38" s="1896"/>
      <c r="V38" s="1896"/>
      <c r="W38" s="1896"/>
      <c r="X38" s="1896"/>
      <c r="Y38" s="1896"/>
      <c r="Z38" s="1895"/>
    </row>
    <row r="39" spans="1:26" x14ac:dyDescent="0.2">
      <c r="A39" s="1949"/>
      <c r="B39" s="1896"/>
      <c r="D39" s="1923"/>
      <c r="E39" s="1924"/>
      <c r="F39" s="1909" t="s">
        <v>553</v>
      </c>
      <c r="G39" s="1952"/>
      <c r="H39" s="1909"/>
      <c r="I39" s="1909"/>
      <c r="J39" s="1909"/>
      <c r="K39" s="1940"/>
      <c r="L39" s="1925"/>
      <c r="M39" s="1940"/>
      <c r="N39" s="1926"/>
      <c r="O39" s="1909"/>
      <c r="P39" s="1896"/>
      <c r="Q39" s="1896"/>
      <c r="R39" s="1896"/>
      <c r="S39" s="1896"/>
      <c r="T39" s="1896"/>
      <c r="U39" s="1896"/>
      <c r="V39" s="1896"/>
      <c r="W39" s="1896"/>
      <c r="X39" s="1896"/>
      <c r="Y39" s="1896"/>
      <c r="Z39" s="1895"/>
    </row>
    <row r="40" spans="1:26" x14ac:dyDescent="0.2">
      <c r="A40" s="1949"/>
      <c r="B40" s="1896"/>
      <c r="D40" s="1923"/>
      <c r="E40" s="1924"/>
      <c r="F40" s="1953" t="s">
        <v>554</v>
      </c>
      <c r="G40" s="1952"/>
      <c r="H40" s="1909"/>
      <c r="I40" s="1909"/>
      <c r="J40" s="1909"/>
      <c r="K40" s="1940" t="s">
        <v>480</v>
      </c>
      <c r="L40" s="1925">
        <v>15</v>
      </c>
      <c r="M40" s="1940" t="s">
        <v>481</v>
      </c>
      <c r="N40" s="1926" t="s">
        <v>482</v>
      </c>
      <c r="O40" s="1909"/>
      <c r="P40" s="1896"/>
      <c r="Q40" s="1938">
        <f>[65]Analisa!H83</f>
        <v>485800</v>
      </c>
      <c r="R40" s="1896"/>
      <c r="S40" s="1896"/>
      <c r="T40" s="1896"/>
      <c r="U40" s="1896"/>
      <c r="V40" s="1896"/>
      <c r="W40" s="1896"/>
      <c r="X40" s="1896"/>
      <c r="Y40" s="1896"/>
      <c r="Z40" s="1895"/>
    </row>
    <row r="41" spans="1:26" x14ac:dyDescent="0.2">
      <c r="A41" s="1949"/>
      <c r="B41" s="1896"/>
      <c r="D41" s="1923"/>
      <c r="E41" s="1924"/>
      <c r="F41" s="1953" t="s">
        <v>555</v>
      </c>
      <c r="G41" s="1952"/>
      <c r="H41" s="1909"/>
      <c r="I41" s="1909"/>
      <c r="J41" s="1909"/>
      <c r="K41" s="1940" t="s">
        <v>556</v>
      </c>
      <c r="L41" s="1925">
        <v>17.5</v>
      </c>
      <c r="M41" s="1940" t="s">
        <v>481</v>
      </c>
      <c r="N41" s="1926" t="s">
        <v>482</v>
      </c>
      <c r="O41" s="1909"/>
      <c r="P41" s="1896"/>
      <c r="Q41" s="1896"/>
      <c r="R41" s="1896"/>
      <c r="S41" s="1896"/>
      <c r="T41" s="1896"/>
      <c r="U41" s="1896"/>
      <c r="V41" s="1896"/>
      <c r="W41" s="1896"/>
      <c r="X41" s="1896"/>
      <c r="Y41" s="1896"/>
      <c r="Z41" s="1895"/>
    </row>
    <row r="42" spans="1:26" x14ac:dyDescent="0.2">
      <c r="A42" s="1949"/>
      <c r="B42" s="1896"/>
      <c r="D42" s="1923"/>
      <c r="E42" s="1924"/>
      <c r="F42" s="1953" t="s">
        <v>557</v>
      </c>
      <c r="G42" s="1952"/>
      <c r="H42" s="1909"/>
      <c r="I42" s="1909"/>
      <c r="J42" s="1909"/>
      <c r="K42" s="1940" t="s">
        <v>558</v>
      </c>
      <c r="L42" s="1925">
        <v>8</v>
      </c>
      <c r="M42" s="1940" t="s">
        <v>481</v>
      </c>
      <c r="N42" s="1926" t="s">
        <v>482</v>
      </c>
      <c r="O42" s="1909"/>
      <c r="P42" s="1896"/>
      <c r="Q42" s="1896"/>
      <c r="R42" s="1896"/>
      <c r="S42" s="1896"/>
      <c r="T42" s="1896"/>
      <c r="U42" s="1896"/>
      <c r="V42" s="1896"/>
      <c r="W42" s="1896"/>
      <c r="X42" s="1896"/>
      <c r="Y42" s="1896"/>
      <c r="Z42" s="1895"/>
    </row>
    <row r="43" spans="1:26" x14ac:dyDescent="0.2">
      <c r="A43" s="1949"/>
      <c r="B43" s="1896"/>
      <c r="D43" s="1923"/>
      <c r="E43" s="1924"/>
      <c r="F43" s="1909"/>
      <c r="G43" s="1952"/>
      <c r="H43" s="1909"/>
      <c r="I43" s="1909"/>
      <c r="J43" s="1909"/>
      <c r="K43" s="1954" t="s">
        <v>483</v>
      </c>
      <c r="L43" s="1955">
        <f>SUM(L40:L42)</f>
        <v>40.5</v>
      </c>
      <c r="M43" s="1956" t="s">
        <v>481</v>
      </c>
      <c r="N43" s="1926"/>
      <c r="O43" s="1909"/>
      <c r="P43" s="1896"/>
      <c r="Q43" s="1896"/>
      <c r="R43" s="1896"/>
      <c r="S43" s="1896"/>
      <c r="T43" s="1896"/>
      <c r="U43" s="1896"/>
      <c r="V43" s="1896"/>
      <c r="W43" s="1896"/>
      <c r="X43" s="1896"/>
      <c r="Y43" s="1896"/>
      <c r="Z43" s="1895"/>
    </row>
    <row r="44" spans="1:26" x14ac:dyDescent="0.2">
      <c r="A44" s="1949"/>
      <c r="B44" s="1896"/>
      <c r="D44" s="1923"/>
      <c r="E44" s="1924"/>
      <c r="F44" s="1909"/>
      <c r="G44" s="1952"/>
      <c r="H44" s="1909"/>
      <c r="I44" s="1909"/>
      <c r="J44" s="1909"/>
      <c r="K44" s="1940"/>
      <c r="L44" s="1925"/>
      <c r="M44" s="1940"/>
      <c r="N44" s="1926"/>
      <c r="O44" s="1909"/>
      <c r="P44" s="1896"/>
      <c r="Q44" s="1896">
        <v>15</v>
      </c>
      <c r="R44" s="1896"/>
      <c r="S44" s="1896"/>
      <c r="T44" s="1896"/>
      <c r="U44" s="1896"/>
      <c r="V44" s="1896"/>
      <c r="W44" s="1896"/>
      <c r="X44" s="1896"/>
      <c r="Y44" s="1896"/>
      <c r="Z44" s="1895"/>
    </row>
    <row r="45" spans="1:26" x14ac:dyDescent="0.2">
      <c r="A45" s="1949"/>
      <c r="B45" s="1896"/>
      <c r="D45" s="1923"/>
      <c r="E45" s="1924"/>
      <c r="F45" s="1909" t="s">
        <v>484</v>
      </c>
      <c r="G45" s="1952"/>
      <c r="H45" s="1952" t="s">
        <v>559</v>
      </c>
      <c r="I45" s="1909"/>
      <c r="J45" s="1909"/>
      <c r="K45" s="1940" t="s">
        <v>486</v>
      </c>
      <c r="L45" s="1925">
        <f>L36*L37*L41/L43</f>
        <v>5.833333333333333</v>
      </c>
      <c r="M45" s="1940" t="s">
        <v>487</v>
      </c>
      <c r="N45" s="1926"/>
      <c r="O45" s="1909"/>
      <c r="P45" s="1896"/>
      <c r="Q45" s="1896">
        <f>1/Q44</f>
        <v>6.6666666666666666E-2</v>
      </c>
      <c r="R45" s="1896"/>
      <c r="S45" s="1896"/>
      <c r="T45" s="1896"/>
      <c r="U45" s="1896"/>
      <c r="V45" s="1896"/>
      <c r="W45" s="1896"/>
      <c r="X45" s="1896"/>
      <c r="Y45" s="1896"/>
      <c r="Z45" s="1895"/>
    </row>
    <row r="46" spans="1:26" x14ac:dyDescent="0.2">
      <c r="A46" s="1949"/>
      <c r="B46" s="1896"/>
      <c r="D46" s="1923"/>
      <c r="E46" s="1924"/>
      <c r="F46" s="1909"/>
      <c r="G46" s="1952"/>
      <c r="H46" s="1909" t="s">
        <v>527</v>
      </c>
      <c r="I46" s="1909"/>
      <c r="J46" s="1909"/>
      <c r="K46" s="1940"/>
      <c r="L46" s="1925"/>
      <c r="M46" s="1940"/>
      <c r="N46" s="1926"/>
      <c r="O46" s="1909"/>
      <c r="P46" s="1896"/>
      <c r="Q46" s="1896"/>
      <c r="R46" s="1896"/>
      <c r="S46" s="1896"/>
      <c r="T46" s="1896"/>
      <c r="U46" s="1896"/>
      <c r="V46" s="1896"/>
      <c r="W46" s="1896"/>
      <c r="X46" s="1896"/>
      <c r="Y46" s="1896"/>
      <c r="Z46" s="1895"/>
    </row>
    <row r="47" spans="1:26" x14ac:dyDescent="0.2">
      <c r="A47" s="1949"/>
      <c r="B47" s="1896"/>
      <c r="D47" s="1923"/>
      <c r="E47" s="1924"/>
      <c r="F47" s="1928" t="s">
        <v>528</v>
      </c>
      <c r="G47" s="1928"/>
      <c r="H47" s="1928" t="s">
        <v>529</v>
      </c>
      <c r="I47" s="1909"/>
      <c r="J47" s="1909"/>
      <c r="K47" s="1940"/>
      <c r="L47" s="1957">
        <f>1/L45</f>
        <v>0.17142857142857143</v>
      </c>
      <c r="M47" s="1940" t="s">
        <v>464</v>
      </c>
      <c r="N47" s="1926"/>
      <c r="O47" s="1909"/>
      <c r="P47" s="1896"/>
      <c r="Q47" s="1958"/>
      <c r="R47" s="1896"/>
      <c r="S47" s="1896"/>
      <c r="T47" s="1896"/>
      <c r="U47" s="1896"/>
      <c r="V47" s="1896"/>
      <c r="W47" s="1896"/>
      <c r="X47" s="1896"/>
      <c r="Y47" s="1896"/>
      <c r="Z47" s="1895"/>
    </row>
    <row r="48" spans="1:26" x14ac:dyDescent="0.2">
      <c r="A48" s="1949"/>
      <c r="B48" s="1896"/>
      <c r="D48" s="1923"/>
      <c r="E48" s="1924"/>
      <c r="F48" s="1909"/>
      <c r="G48" s="1952"/>
      <c r="H48" s="1909"/>
      <c r="I48" s="1909"/>
      <c r="J48" s="1909"/>
      <c r="K48" s="1940"/>
      <c r="L48" s="1925"/>
      <c r="M48" s="1924"/>
      <c r="N48" s="1926"/>
      <c r="O48" s="1909"/>
      <c r="P48" s="1896"/>
      <c r="Q48" s="1896"/>
      <c r="R48" s="1896"/>
      <c r="S48" s="1896"/>
      <c r="T48" s="1896"/>
      <c r="U48" s="1896"/>
      <c r="V48" s="1896"/>
      <c r="W48" s="1896"/>
      <c r="X48" s="1896"/>
      <c r="Y48" s="1896"/>
      <c r="Z48" s="1895"/>
    </row>
    <row r="49" spans="1:26" x14ac:dyDescent="0.2">
      <c r="A49" s="1959"/>
      <c r="D49" s="1923" t="s">
        <v>489</v>
      </c>
      <c r="E49" s="1924"/>
      <c r="F49" s="1952" t="s">
        <v>490</v>
      </c>
      <c r="G49" s="1952"/>
      <c r="H49" s="1909"/>
      <c r="I49" s="1909"/>
      <c r="J49" s="1909"/>
      <c r="K49" s="1924"/>
      <c r="L49" s="1924"/>
      <c r="M49" s="1924"/>
      <c r="N49" s="1926"/>
      <c r="O49" s="1909"/>
      <c r="P49" s="1896"/>
      <c r="Q49" s="1899"/>
      <c r="R49" s="1899"/>
      <c r="S49" s="1896"/>
      <c r="T49" s="1896"/>
      <c r="U49" s="1896"/>
      <c r="V49" s="1896"/>
      <c r="W49" s="1944"/>
      <c r="X49" s="1896"/>
      <c r="Y49" s="1896"/>
      <c r="Z49" s="1895"/>
    </row>
    <row r="50" spans="1:26" x14ac:dyDescent="0.2">
      <c r="A50" s="1959"/>
      <c r="D50" s="1923"/>
      <c r="E50" s="1924"/>
      <c r="F50" s="1909" t="s">
        <v>491</v>
      </c>
      <c r="G50" s="1909"/>
      <c r="H50" s="1909"/>
      <c r="I50" s="1909"/>
      <c r="J50" s="1909"/>
      <c r="K50" s="1924"/>
      <c r="L50" s="1924"/>
      <c r="M50" s="1924"/>
      <c r="N50" s="1960" t="s">
        <v>492</v>
      </c>
      <c r="O50" s="1909"/>
      <c r="P50" s="1896"/>
      <c r="Q50" s="1899"/>
      <c r="R50" s="1899"/>
      <c r="S50" s="1896"/>
      <c r="T50" s="1896"/>
      <c r="U50" s="1896"/>
      <c r="V50" s="1896"/>
      <c r="W50" s="1944"/>
      <c r="X50" s="1896"/>
      <c r="Y50" s="1896"/>
      <c r="Z50" s="1895"/>
    </row>
    <row r="51" spans="1:26" x14ac:dyDescent="0.2">
      <c r="A51" s="1959"/>
      <c r="D51" s="1923"/>
      <c r="E51" s="1924"/>
      <c r="F51" s="1953" t="s">
        <v>560</v>
      </c>
      <c r="G51" s="1909"/>
      <c r="H51" s="1909"/>
      <c r="I51" s="1909"/>
      <c r="J51" s="1909"/>
      <c r="K51" s="1924"/>
      <c r="L51" s="1924"/>
      <c r="M51" s="1924"/>
      <c r="N51" s="1926"/>
      <c r="O51" s="1909"/>
      <c r="P51" s="1896"/>
      <c r="Q51" s="1899"/>
      <c r="R51" s="1899"/>
      <c r="S51" s="1896"/>
      <c r="T51" s="1896"/>
      <c r="U51" s="1896"/>
      <c r="V51" s="1896"/>
      <c r="W51" s="1944"/>
      <c r="X51" s="1896"/>
      <c r="Y51" s="1896"/>
      <c r="Z51" s="1895"/>
    </row>
    <row r="52" spans="1:26" x14ac:dyDescent="0.2">
      <c r="A52" s="1959"/>
      <c r="D52" s="1923"/>
      <c r="E52" s="1924"/>
      <c r="F52" s="1953" t="s">
        <v>561</v>
      </c>
      <c r="G52" s="1909"/>
      <c r="H52" s="1909"/>
      <c r="I52" s="1909"/>
      <c r="J52" s="1909"/>
      <c r="K52" s="1924"/>
      <c r="L52" s="1924"/>
      <c r="M52" s="1924"/>
      <c r="N52" s="1926"/>
      <c r="O52" s="1909"/>
      <c r="P52" s="1896"/>
      <c r="Q52" s="1899"/>
      <c r="R52" s="1899"/>
      <c r="S52" s="1896"/>
      <c r="T52" s="1896"/>
      <c r="U52" s="1896"/>
      <c r="V52" s="1896"/>
      <c r="W52" s="1944"/>
      <c r="X52" s="1896"/>
      <c r="Y52" s="1896"/>
      <c r="Z52" s="1895"/>
    </row>
    <row r="53" spans="1:26" x14ac:dyDescent="0.2">
      <c r="A53" s="1961"/>
      <c r="D53" s="1923"/>
      <c r="E53" s="1924"/>
      <c r="F53" s="1909"/>
      <c r="G53" s="1909"/>
      <c r="H53" s="1909"/>
      <c r="I53" s="1909"/>
      <c r="J53" s="1909"/>
      <c r="K53" s="1924"/>
      <c r="L53" s="1924"/>
      <c r="M53" s="1924"/>
      <c r="N53" s="1926"/>
      <c r="O53" s="1909"/>
      <c r="P53" s="1896"/>
      <c r="Q53" s="1899"/>
      <c r="R53" s="1899"/>
      <c r="S53" s="1896"/>
      <c r="T53" s="1896"/>
      <c r="U53" s="1896"/>
      <c r="V53" s="1896"/>
      <c r="W53" s="1944"/>
      <c r="X53" s="1896"/>
      <c r="Y53" s="1896"/>
      <c r="Z53" s="1895"/>
    </row>
    <row r="54" spans="1:26" x14ac:dyDescent="0.2">
      <c r="A54" s="1961"/>
      <c r="D54" s="1948" t="s">
        <v>494</v>
      </c>
      <c r="E54" s="1911"/>
      <c r="F54" s="1928" t="s">
        <v>42</v>
      </c>
      <c r="G54" s="1928"/>
      <c r="H54" s="1909"/>
      <c r="I54" s="1909"/>
      <c r="J54" s="1909"/>
      <c r="K54" s="1924"/>
      <c r="L54" s="1924"/>
      <c r="M54" s="1924"/>
      <c r="N54" s="1926"/>
      <c r="O54" s="1909"/>
      <c r="P54" s="1896"/>
      <c r="Q54" s="1899"/>
      <c r="R54" s="1899"/>
      <c r="S54" s="1896"/>
      <c r="T54" s="1896"/>
      <c r="U54" s="1896"/>
      <c r="V54" s="1896"/>
      <c r="W54" s="1944"/>
      <c r="X54" s="1896"/>
      <c r="Y54" s="1896"/>
      <c r="Z54" s="1895"/>
    </row>
    <row r="55" spans="1:26" x14ac:dyDescent="0.2">
      <c r="A55" s="1959"/>
      <c r="D55" s="1923"/>
      <c r="E55" s="1924"/>
      <c r="F55" s="1909" t="s">
        <v>562</v>
      </c>
      <c r="G55" s="1909"/>
      <c r="H55" s="1909"/>
      <c r="I55" s="1909"/>
      <c r="J55" s="1909"/>
      <c r="K55" s="1940" t="s">
        <v>486</v>
      </c>
      <c r="L55" s="1925">
        <f>+L45</f>
        <v>5.833333333333333</v>
      </c>
      <c r="M55" s="1940" t="s">
        <v>496</v>
      </c>
      <c r="N55" s="1926"/>
      <c r="O55" s="1909"/>
      <c r="P55" s="1896"/>
      <c r="Q55" s="1896"/>
      <c r="R55" s="1896"/>
      <c r="S55" s="1896"/>
      <c r="T55" s="1896"/>
      <c r="U55" s="1896"/>
      <c r="V55" s="1896"/>
      <c r="W55" s="1900"/>
      <c r="X55" s="1896"/>
      <c r="Y55" s="1896"/>
      <c r="Z55" s="1895"/>
    </row>
    <row r="56" spans="1:26" x14ac:dyDescent="0.2">
      <c r="A56" s="1959"/>
      <c r="D56" s="1923"/>
      <c r="E56" s="1924"/>
      <c r="F56" s="1909" t="s">
        <v>497</v>
      </c>
      <c r="G56" s="1909"/>
      <c r="H56" s="1909"/>
      <c r="I56" s="1909"/>
      <c r="J56" s="1909"/>
      <c r="K56" s="1940" t="s">
        <v>498</v>
      </c>
      <c r="L56" s="1925">
        <f>L17*L55</f>
        <v>46.666666666666664</v>
      </c>
      <c r="M56" s="1940" t="s">
        <v>563</v>
      </c>
      <c r="N56" s="1926"/>
      <c r="O56" s="1896"/>
      <c r="P56" s="1896"/>
      <c r="Q56" s="1896"/>
      <c r="R56" s="1896"/>
      <c r="S56" s="1896"/>
      <c r="T56" s="1896"/>
      <c r="U56" s="1896"/>
      <c r="V56" s="1896"/>
      <c r="W56" s="1896"/>
      <c r="X56" s="1896"/>
      <c r="Y56" s="1896"/>
      <c r="Z56" s="1895"/>
    </row>
    <row r="57" spans="1:26" x14ac:dyDescent="0.2">
      <c r="A57" s="1959"/>
      <c r="D57" s="1923"/>
      <c r="E57" s="1924"/>
      <c r="F57" s="1909" t="s">
        <v>499</v>
      </c>
      <c r="G57" s="1909"/>
      <c r="H57" s="1909"/>
      <c r="I57" s="1909"/>
      <c r="J57" s="1909"/>
      <c r="K57" s="1924"/>
      <c r="L57" s="1925"/>
      <c r="M57" s="1924"/>
      <c r="N57" s="1926"/>
      <c r="O57" s="1959"/>
      <c r="P57" s="1959"/>
      <c r="Q57" s="1959"/>
      <c r="R57" s="1959"/>
      <c r="S57" s="1959"/>
      <c r="T57" s="1959"/>
      <c r="U57" s="1959"/>
      <c r="V57" s="1959"/>
      <c r="W57" s="1959"/>
      <c r="X57" s="1959"/>
      <c r="Y57" s="1959"/>
      <c r="Z57" s="1895"/>
    </row>
    <row r="58" spans="1:26" x14ac:dyDescent="0.2">
      <c r="A58" s="1959"/>
      <c r="D58" s="1923"/>
      <c r="E58" s="1924"/>
      <c r="F58" s="1909"/>
      <c r="G58" s="1909"/>
      <c r="H58" s="1953" t="s">
        <v>564</v>
      </c>
      <c r="I58" s="1909"/>
      <c r="J58" s="1909"/>
      <c r="K58" s="1940" t="s">
        <v>150</v>
      </c>
      <c r="L58" s="1962">
        <v>4</v>
      </c>
      <c r="M58" s="1940" t="s">
        <v>501</v>
      </c>
      <c r="N58" s="1926"/>
      <c r="O58" s="1959"/>
      <c r="P58" s="1959"/>
      <c r="Q58" s="1959"/>
      <c r="R58" s="1959"/>
      <c r="S58" s="1959"/>
      <c r="T58" s="1959"/>
      <c r="U58" s="1959"/>
      <c r="V58" s="1959"/>
      <c r="W58" s="1959"/>
      <c r="X58" s="1959"/>
      <c r="Y58" s="1959"/>
      <c r="Z58" s="1895"/>
    </row>
    <row r="59" spans="1:26" x14ac:dyDescent="0.2">
      <c r="A59" s="1959"/>
      <c r="D59" s="1923"/>
      <c r="E59" s="1924"/>
      <c r="F59" s="1909"/>
      <c r="G59" s="1909"/>
      <c r="H59" s="1953" t="s">
        <v>565</v>
      </c>
      <c r="I59" s="1909"/>
      <c r="J59" s="1909"/>
      <c r="K59" s="1940" t="s">
        <v>152</v>
      </c>
      <c r="L59" s="1962">
        <v>1</v>
      </c>
      <c r="M59" s="1940" t="s">
        <v>501</v>
      </c>
      <c r="N59" s="1926"/>
      <c r="O59" s="1959"/>
      <c r="P59" s="1959"/>
      <c r="Q59" s="1959"/>
      <c r="R59" s="1959"/>
      <c r="S59" s="1959"/>
      <c r="T59" s="1959"/>
      <c r="U59" s="1959"/>
      <c r="V59" s="1959"/>
      <c r="W59" s="1959"/>
      <c r="X59" s="1959"/>
      <c r="Y59" s="1959"/>
      <c r="Z59" s="1895"/>
    </row>
    <row r="60" spans="1:26" x14ac:dyDescent="0.2">
      <c r="A60" s="1959"/>
      <c r="D60" s="1923"/>
      <c r="E60" s="1924"/>
      <c r="F60" s="1909"/>
      <c r="G60" s="1909"/>
      <c r="H60" s="1909" t="s">
        <v>503</v>
      </c>
      <c r="I60" s="1909"/>
      <c r="J60" s="1909"/>
      <c r="K60" s="1940" t="s">
        <v>310</v>
      </c>
      <c r="L60" s="1962">
        <v>0.4</v>
      </c>
      <c r="M60" s="1940" t="s">
        <v>501</v>
      </c>
      <c r="N60" s="1926"/>
      <c r="O60" s="1959"/>
      <c r="P60" s="1959"/>
      <c r="Q60" s="1959"/>
      <c r="R60" s="1959"/>
      <c r="S60" s="1959"/>
      <c r="T60" s="1959"/>
      <c r="U60" s="1959"/>
      <c r="V60" s="1959"/>
      <c r="W60" s="1959"/>
      <c r="X60" s="1959"/>
      <c r="Y60" s="1959"/>
      <c r="Z60" s="1895"/>
    </row>
    <row r="61" spans="1:26" x14ac:dyDescent="0.2">
      <c r="A61" s="1959"/>
      <c r="D61" s="1923"/>
      <c r="E61" s="1924"/>
      <c r="F61" s="1909"/>
      <c r="G61" s="1909"/>
      <c r="H61" s="1909"/>
      <c r="I61" s="1909"/>
      <c r="J61" s="1909"/>
      <c r="K61" s="1924"/>
      <c r="L61" s="1925"/>
      <c r="M61" s="1924"/>
      <c r="N61" s="1926"/>
      <c r="O61" s="1959"/>
      <c r="P61" s="1959"/>
      <c r="Q61" s="1959"/>
      <c r="R61" s="1959"/>
      <c r="S61" s="1959"/>
      <c r="T61" s="1959"/>
      <c r="U61" s="1959"/>
      <c r="V61" s="1959"/>
      <c r="W61" s="1959"/>
      <c r="X61" s="1959"/>
      <c r="Y61" s="1959"/>
      <c r="Z61" s="1895"/>
    </row>
    <row r="62" spans="1:26" x14ac:dyDescent="0.2">
      <c r="A62" s="1959"/>
      <c r="D62" s="1923"/>
      <c r="E62" s="1924"/>
      <c r="F62" s="1928" t="s">
        <v>504</v>
      </c>
      <c r="G62" s="1928"/>
      <c r="H62" s="1909"/>
      <c r="I62" s="1909"/>
      <c r="J62" s="1909"/>
      <c r="K62" s="1924"/>
      <c r="L62" s="1925"/>
      <c r="M62" s="1924"/>
      <c r="N62" s="1926"/>
      <c r="O62" s="1959"/>
      <c r="P62" s="1959"/>
      <c r="Q62" s="1959"/>
      <c r="R62" s="1959"/>
      <c r="S62" s="1959"/>
      <c r="T62" s="1959"/>
      <c r="U62" s="1959"/>
      <c r="V62" s="1959"/>
      <c r="W62" s="1959"/>
      <c r="X62" s="1959"/>
      <c r="Y62" s="1959"/>
      <c r="Z62" s="1895"/>
    </row>
    <row r="63" spans="1:26" x14ac:dyDescent="0.2">
      <c r="A63" s="1959"/>
      <c r="D63" s="1923"/>
      <c r="E63" s="1924"/>
      <c r="F63" s="1909"/>
      <c r="G63" s="1909"/>
      <c r="H63" s="1928" t="s">
        <v>500</v>
      </c>
      <c r="I63" s="1953" t="s">
        <v>505</v>
      </c>
      <c r="J63" s="1909"/>
      <c r="K63" s="1940"/>
      <c r="L63" s="1957">
        <f>(L17*L58)/L56</f>
        <v>0.68571428571428572</v>
      </c>
      <c r="M63" s="1940" t="s">
        <v>247</v>
      </c>
      <c r="N63" s="1926"/>
      <c r="O63" s="1959"/>
      <c r="P63" s="1959"/>
      <c r="Q63" s="1896"/>
      <c r="R63" s="1959"/>
      <c r="S63" s="1959"/>
      <c r="T63" s="1963"/>
      <c r="U63" s="1959"/>
      <c r="V63" s="1959"/>
      <c r="W63" s="1959"/>
      <c r="X63" s="1959"/>
      <c r="Y63" s="1959"/>
      <c r="Z63" s="1895"/>
    </row>
    <row r="64" spans="1:26" x14ac:dyDescent="0.2">
      <c r="A64" s="1959"/>
      <c r="D64" s="1923"/>
      <c r="E64" s="1924"/>
      <c r="F64" s="1909"/>
      <c r="G64" s="1909"/>
      <c r="H64" s="1964" t="s">
        <v>502</v>
      </c>
      <c r="I64" s="1953" t="s">
        <v>506</v>
      </c>
      <c r="J64" s="1909"/>
      <c r="K64" s="1940"/>
      <c r="L64" s="1957">
        <f>(L17*L59)/L56</f>
        <v>0.17142857142857143</v>
      </c>
      <c r="M64" s="1940" t="s">
        <v>247</v>
      </c>
      <c r="N64" s="1926"/>
      <c r="O64" s="1959"/>
      <c r="P64" s="1959"/>
      <c r="Q64" s="1896"/>
      <c r="R64" s="1959"/>
      <c r="S64" s="1959"/>
      <c r="T64" s="1959"/>
      <c r="U64" s="1959"/>
      <c r="V64" s="1959"/>
      <c r="W64" s="1959"/>
      <c r="X64" s="1959"/>
      <c r="Y64" s="1959"/>
      <c r="Z64" s="1895"/>
    </row>
    <row r="65" spans="1:26" x14ac:dyDescent="0.2">
      <c r="A65" s="1959"/>
      <c r="D65" s="1923"/>
      <c r="E65" s="1924"/>
      <c r="F65" s="1909"/>
      <c r="G65" s="1909"/>
      <c r="H65" s="1928" t="s">
        <v>503</v>
      </c>
      <c r="I65" s="1953" t="s">
        <v>507</v>
      </c>
      <c r="J65" s="1909"/>
      <c r="K65" s="1940"/>
      <c r="L65" s="1957">
        <f>(L17*L60)/L56</f>
        <v>6.8571428571428575E-2</v>
      </c>
      <c r="M65" s="1940" t="s">
        <v>247</v>
      </c>
      <c r="N65" s="1926"/>
      <c r="O65" s="1959"/>
      <c r="P65" s="1959"/>
      <c r="Q65" s="1896"/>
      <c r="R65" s="1959"/>
      <c r="S65" s="1959"/>
      <c r="T65" s="1959"/>
      <c r="U65" s="1959"/>
      <c r="V65" s="1959"/>
      <c r="W65" s="1959"/>
      <c r="X65" s="1959"/>
      <c r="Y65" s="1959"/>
      <c r="Z65" s="1895"/>
    </row>
    <row r="66" spans="1:26" x14ac:dyDescent="0.2">
      <c r="A66" s="1959"/>
      <c r="D66" s="1923"/>
      <c r="E66" s="1924"/>
      <c r="F66" s="1909"/>
      <c r="G66" s="1909"/>
      <c r="H66" s="1909"/>
      <c r="I66" s="1909"/>
      <c r="J66" s="1909"/>
      <c r="K66" s="1924"/>
      <c r="L66" s="1925"/>
      <c r="M66" s="1924"/>
      <c r="N66" s="1926"/>
      <c r="O66" s="1959"/>
      <c r="P66" s="1959"/>
      <c r="Q66" s="1959"/>
      <c r="R66" s="1959"/>
      <c r="S66" s="1959"/>
      <c r="T66" s="1959"/>
      <c r="U66" s="1959"/>
      <c r="V66" s="1959"/>
      <c r="W66" s="1959"/>
      <c r="X66" s="1959"/>
      <c r="Y66" s="1959"/>
      <c r="Z66" s="1895"/>
    </row>
    <row r="67" spans="1:26" x14ac:dyDescent="0.2">
      <c r="A67" s="1959"/>
      <c r="D67" s="1910" t="s">
        <v>508</v>
      </c>
      <c r="E67" s="1911"/>
      <c r="F67" s="1928" t="s">
        <v>509</v>
      </c>
      <c r="G67" s="1928"/>
      <c r="H67" s="1909"/>
      <c r="I67" s="1909"/>
      <c r="J67" s="1909"/>
      <c r="K67" s="1924"/>
      <c r="L67" s="1925"/>
      <c r="M67" s="1924"/>
      <c r="N67" s="1926"/>
      <c r="O67" s="1959"/>
      <c r="P67" s="1959"/>
      <c r="Q67" s="1959"/>
      <c r="R67" s="1959"/>
      <c r="S67" s="1959"/>
      <c r="T67" s="1959"/>
      <c r="U67" s="1959"/>
      <c r="V67" s="1959"/>
      <c r="W67" s="1959"/>
      <c r="X67" s="1959"/>
      <c r="Y67" s="1959"/>
      <c r="Z67" s="1895"/>
    </row>
    <row r="68" spans="1:26" x14ac:dyDescent="0.2">
      <c r="A68" s="1959"/>
      <c r="D68" s="1923"/>
      <c r="E68" s="1924"/>
      <c r="F68" s="1909" t="s">
        <v>510</v>
      </c>
      <c r="G68" s="1909"/>
      <c r="H68" s="1909"/>
      <c r="I68" s="1909"/>
      <c r="J68" s="1909"/>
      <c r="K68" s="1924"/>
      <c r="L68" s="1925"/>
      <c r="M68" s="1924"/>
      <c r="N68" s="1926"/>
      <c r="O68" s="1959"/>
      <c r="P68" s="1959"/>
      <c r="Q68" s="1959"/>
      <c r="R68" s="1959"/>
      <c r="S68" s="1959"/>
      <c r="T68" s="1959"/>
      <c r="U68" s="1959"/>
      <c r="V68" s="1959"/>
      <c r="W68" s="1959"/>
      <c r="X68" s="1959"/>
      <c r="Y68" s="1959"/>
      <c r="Z68" s="1895"/>
    </row>
    <row r="69" spans="1:26" x14ac:dyDescent="0.2">
      <c r="A69" s="1959"/>
      <c r="D69" s="1923"/>
      <c r="E69" s="1924"/>
      <c r="F69" s="1909"/>
      <c r="G69" s="1909"/>
      <c r="H69" s="1909"/>
      <c r="I69" s="1909"/>
      <c r="J69" s="1909"/>
      <c r="K69" s="1924"/>
      <c r="L69" s="1925"/>
      <c r="M69" s="1924"/>
      <c r="N69" s="1926"/>
      <c r="O69" s="1959"/>
      <c r="P69" s="1959"/>
      <c r="Q69" s="1959"/>
      <c r="R69" s="1959"/>
      <c r="S69" s="1959"/>
      <c r="T69" s="1959"/>
      <c r="U69" s="1959"/>
      <c r="V69" s="1959"/>
      <c r="W69" s="1959"/>
      <c r="X69" s="1959"/>
      <c r="Y69" s="1959"/>
      <c r="Z69" s="1895"/>
    </row>
    <row r="70" spans="1:26" x14ac:dyDescent="0.2">
      <c r="A70" s="1959"/>
      <c r="D70" s="1910" t="s">
        <v>511</v>
      </c>
      <c r="E70" s="1911"/>
      <c r="F70" s="1928" t="s">
        <v>512</v>
      </c>
      <c r="G70" s="1928"/>
      <c r="H70" s="1909"/>
      <c r="I70" s="1909"/>
      <c r="J70" s="1909"/>
      <c r="K70" s="1924"/>
      <c r="L70" s="1925"/>
      <c r="M70" s="1924"/>
      <c r="N70" s="1926"/>
      <c r="O70" s="1959"/>
      <c r="P70" s="1959"/>
      <c r="Q70" s="1959"/>
      <c r="R70" s="1959"/>
      <c r="S70" s="1959"/>
      <c r="T70" s="1959"/>
      <c r="U70" s="1959"/>
      <c r="V70" s="1959"/>
      <c r="W70" s="1959"/>
      <c r="X70" s="1959"/>
      <c r="Y70" s="1959"/>
      <c r="Z70" s="1895"/>
    </row>
    <row r="71" spans="1:26" x14ac:dyDescent="0.2">
      <c r="A71" s="1959"/>
      <c r="D71" s="1923"/>
      <c r="E71" s="1924"/>
      <c r="F71" s="1909"/>
      <c r="G71" s="1909"/>
      <c r="H71" s="1909"/>
      <c r="I71" s="1909"/>
      <c r="J71" s="1909"/>
      <c r="K71" s="1924"/>
      <c r="L71" s="1925"/>
      <c r="M71" s="1924"/>
      <c r="N71" s="1926"/>
      <c r="O71" s="1959"/>
      <c r="P71" s="1959"/>
      <c r="Q71" s="1959"/>
      <c r="R71" s="1959"/>
      <c r="S71" s="1959"/>
      <c r="T71" s="1959"/>
      <c r="U71" s="1959"/>
      <c r="V71" s="1959"/>
      <c r="W71" s="1959"/>
      <c r="X71" s="1959"/>
      <c r="Y71" s="1959"/>
      <c r="Z71" s="1895"/>
    </row>
    <row r="72" spans="1:26" x14ac:dyDescent="0.2">
      <c r="A72" s="1959"/>
      <c r="D72" s="1923"/>
      <c r="E72" s="1924"/>
      <c r="F72" s="1965"/>
      <c r="G72" s="1966"/>
      <c r="H72" s="1966"/>
      <c r="I72" s="1967"/>
      <c r="J72" s="1909"/>
      <c r="K72" s="1924"/>
      <c r="L72" s="1925"/>
      <c r="M72" s="1924"/>
      <c r="N72" s="1926"/>
      <c r="O72" s="1959"/>
      <c r="P72" s="1959"/>
      <c r="Q72" s="1959"/>
      <c r="R72" s="1959"/>
      <c r="S72" s="1959"/>
      <c r="T72" s="1959"/>
      <c r="U72" s="1959"/>
      <c r="V72" s="1959"/>
      <c r="W72" s="1959"/>
      <c r="X72" s="1959"/>
      <c r="Y72" s="1959"/>
      <c r="Z72" s="1895"/>
    </row>
    <row r="73" spans="1:26" x14ac:dyDescent="0.2">
      <c r="A73" s="1959"/>
      <c r="D73" s="1923"/>
      <c r="E73" s="1924"/>
      <c r="F73" s="1968"/>
      <c r="G73" s="3241"/>
      <c r="H73" s="3242"/>
      <c r="I73" s="1969"/>
      <c r="J73" s="1909"/>
      <c r="K73" s="1924"/>
      <c r="L73" s="1925"/>
      <c r="M73" s="1924"/>
      <c r="N73" s="1926"/>
      <c r="O73" s="1959"/>
      <c r="P73" s="1959"/>
      <c r="Q73" s="1959"/>
      <c r="R73" s="1959"/>
      <c r="S73" s="1959"/>
      <c r="T73" s="1959"/>
      <c r="U73" s="1959"/>
      <c r="V73" s="1959"/>
      <c r="W73" s="1959"/>
      <c r="X73" s="1959"/>
      <c r="Y73" s="1959"/>
      <c r="Z73" s="1895"/>
    </row>
    <row r="74" spans="1:26" x14ac:dyDescent="0.2">
      <c r="A74" s="1959"/>
      <c r="D74" s="1923"/>
      <c r="E74" s="1924"/>
      <c r="F74" s="1970"/>
      <c r="G74" s="1971"/>
      <c r="H74" s="1971"/>
      <c r="I74" s="1972"/>
      <c r="J74" s="1909"/>
      <c r="K74" s="1924"/>
      <c r="L74" s="1925"/>
      <c r="M74" s="1924"/>
      <c r="N74" s="1926"/>
      <c r="O74" s="1959"/>
      <c r="P74" s="1959"/>
      <c r="Q74" s="1959"/>
      <c r="R74" s="1959"/>
      <c r="S74" s="1959"/>
      <c r="T74" s="1959"/>
      <c r="U74" s="1959"/>
      <c r="V74" s="1959"/>
      <c r="W74" s="1959"/>
      <c r="X74" s="1959"/>
      <c r="Y74" s="1959"/>
      <c r="Z74" s="1895"/>
    </row>
    <row r="75" spans="1:26" ht="14.25" thickBot="1" x14ac:dyDescent="0.25">
      <c r="A75" s="1959"/>
      <c r="D75" s="1918"/>
      <c r="E75" s="1919"/>
      <c r="F75" s="1920"/>
      <c r="G75" s="1920"/>
      <c r="H75" s="1920"/>
      <c r="I75" s="1920"/>
      <c r="J75" s="1920"/>
      <c r="K75" s="1919"/>
      <c r="L75" s="1919"/>
      <c r="M75" s="1919"/>
      <c r="N75" s="1973"/>
      <c r="O75" s="1959"/>
      <c r="P75" s="1959"/>
      <c r="Q75" s="1959"/>
      <c r="R75" s="1959"/>
      <c r="S75" s="1959"/>
      <c r="T75" s="1959"/>
      <c r="U75" s="1959"/>
      <c r="V75" s="1959"/>
      <c r="W75" s="1959"/>
      <c r="X75" s="1959"/>
      <c r="Y75" s="1959"/>
      <c r="Z75" s="1895"/>
    </row>
    <row r="76" spans="1:26" x14ac:dyDescent="0.2">
      <c r="A76" s="1959"/>
      <c r="D76" s="1895"/>
      <c r="E76" s="1895"/>
      <c r="F76" s="1895"/>
      <c r="G76" s="1895"/>
      <c r="H76" s="1895"/>
      <c r="I76" s="1895"/>
      <c r="J76" s="1895"/>
      <c r="K76" s="1895"/>
      <c r="L76" s="1895"/>
      <c r="M76" s="1895"/>
      <c r="N76" s="1895"/>
      <c r="O76" s="1959"/>
      <c r="P76" s="1959"/>
      <c r="Q76" s="1959"/>
      <c r="R76" s="1959"/>
      <c r="S76" s="1959"/>
      <c r="T76" s="1959"/>
      <c r="U76" s="1959"/>
      <c r="V76" s="1959"/>
      <c r="W76" s="1959"/>
      <c r="X76" s="1959"/>
      <c r="Y76" s="1959"/>
      <c r="Z76" s="1895"/>
    </row>
    <row r="77" spans="1:26" x14ac:dyDescent="0.2">
      <c r="A77" s="1959"/>
      <c r="D77" s="1895"/>
      <c r="E77" s="1895"/>
      <c r="F77" s="1895"/>
      <c r="G77" s="1895"/>
      <c r="H77" s="1895"/>
      <c r="I77" s="1895"/>
      <c r="J77" s="1895"/>
      <c r="K77" s="1895"/>
      <c r="L77" s="1895"/>
      <c r="M77" s="1895"/>
      <c r="N77" s="1895"/>
      <c r="O77" s="1959"/>
      <c r="P77" s="1959"/>
      <c r="Q77" s="1959"/>
      <c r="R77" s="1959"/>
      <c r="S77" s="1959"/>
      <c r="T77" s="1959"/>
      <c r="U77" s="1959"/>
      <c r="V77" s="1959"/>
      <c r="W77" s="1959"/>
      <c r="X77" s="1959"/>
      <c r="Y77" s="1959"/>
      <c r="Z77" s="1895"/>
    </row>
    <row r="78" spans="1:26" x14ac:dyDescent="0.2">
      <c r="A78" s="1959"/>
      <c r="D78" s="1895"/>
      <c r="E78" s="1895"/>
      <c r="F78" s="1895"/>
      <c r="G78" s="1895"/>
      <c r="H78" s="1895"/>
      <c r="I78" s="1895"/>
      <c r="J78" s="1895"/>
      <c r="K78" s="1895"/>
      <c r="L78" s="1895"/>
      <c r="M78" s="1895"/>
      <c r="N78" s="1895"/>
      <c r="O78" s="1959"/>
      <c r="P78" s="1959"/>
      <c r="Q78" s="1959"/>
      <c r="R78" s="1959"/>
      <c r="S78" s="1959"/>
      <c r="T78" s="1959"/>
      <c r="U78" s="1959"/>
      <c r="V78" s="1959"/>
      <c r="W78" s="1959"/>
      <c r="X78" s="1959"/>
      <c r="Y78" s="1959"/>
      <c r="Z78" s="1895"/>
    </row>
    <row r="79" spans="1:26" x14ac:dyDescent="0.2">
      <c r="A79" s="1959"/>
      <c r="D79" s="1895"/>
      <c r="E79" s="1895"/>
      <c r="F79" s="1895"/>
      <c r="G79" s="1895"/>
      <c r="H79" s="1895"/>
      <c r="I79" s="1895"/>
      <c r="J79" s="1895"/>
      <c r="K79" s="1895"/>
      <c r="L79" s="1895"/>
      <c r="M79" s="1895"/>
      <c r="N79" s="1895"/>
      <c r="O79" s="1959"/>
      <c r="P79" s="1959"/>
      <c r="Q79" s="1959"/>
      <c r="R79" s="1959"/>
      <c r="S79" s="1959"/>
      <c r="T79" s="1959"/>
      <c r="U79" s="1959"/>
      <c r="V79" s="1959"/>
      <c r="W79" s="1959"/>
      <c r="X79" s="1959"/>
      <c r="Y79" s="1959"/>
      <c r="Z79" s="1895"/>
    </row>
    <row r="80" spans="1:26" x14ac:dyDescent="0.2">
      <c r="A80" s="1959"/>
      <c r="D80" s="1895"/>
      <c r="E80" s="1895"/>
      <c r="F80" s="1895"/>
      <c r="G80" s="1895"/>
      <c r="H80" s="1895"/>
      <c r="I80" s="1895"/>
      <c r="J80" s="1895"/>
      <c r="K80" s="1895"/>
      <c r="L80" s="1895"/>
      <c r="M80" s="1895"/>
      <c r="N80" s="1895"/>
      <c r="O80" s="1959"/>
      <c r="P80" s="1959"/>
      <c r="Q80" s="1959"/>
      <c r="R80" s="1959"/>
      <c r="S80" s="1959"/>
      <c r="T80" s="1959"/>
      <c r="U80" s="1959"/>
      <c r="V80" s="1959"/>
      <c r="W80" s="1959"/>
      <c r="X80" s="1959"/>
      <c r="Y80" s="1959"/>
      <c r="Z80" s="1895"/>
    </row>
    <row r="81" spans="1:26" x14ac:dyDescent="0.2">
      <c r="A81" s="1959"/>
      <c r="D81" s="1895"/>
      <c r="E81" s="1895"/>
      <c r="F81" s="1895"/>
      <c r="G81" s="1895"/>
      <c r="H81" s="1895"/>
      <c r="I81" s="1895"/>
      <c r="J81" s="1895"/>
      <c r="K81" s="1895"/>
      <c r="L81" s="1895"/>
      <c r="M81" s="1895"/>
      <c r="N81" s="1895"/>
      <c r="O81" s="1959"/>
      <c r="P81" s="1959"/>
      <c r="Q81" s="1959"/>
      <c r="R81" s="1959"/>
      <c r="S81" s="1959"/>
      <c r="T81" s="1959"/>
      <c r="U81" s="1959"/>
      <c r="V81" s="1959"/>
      <c r="W81" s="1959"/>
      <c r="X81" s="1959"/>
      <c r="Y81" s="1959"/>
      <c r="Z81" s="1895"/>
    </row>
    <row r="82" spans="1:26" x14ac:dyDescent="0.2">
      <c r="A82" s="1959"/>
      <c r="D82" s="1895"/>
      <c r="E82" s="1895"/>
      <c r="F82" s="1895"/>
      <c r="G82" s="1895"/>
      <c r="H82" s="1895"/>
      <c r="I82" s="1895"/>
      <c r="J82" s="1895"/>
      <c r="K82" s="1895"/>
      <c r="L82" s="1895"/>
      <c r="M82" s="1895"/>
      <c r="N82" s="1895"/>
      <c r="O82" s="1959"/>
      <c r="P82" s="1959"/>
      <c r="Q82" s="1959"/>
      <c r="R82" s="1959"/>
      <c r="S82" s="1959"/>
      <c r="T82" s="1959"/>
      <c r="U82" s="1959"/>
      <c r="V82" s="1959"/>
      <c r="W82" s="1959"/>
      <c r="X82" s="1959"/>
      <c r="Y82" s="1959"/>
      <c r="Z82" s="1895"/>
    </row>
    <row r="83" spans="1:26" x14ac:dyDescent="0.2">
      <c r="A83" s="1959"/>
      <c r="D83" s="1895"/>
      <c r="E83" s="1895"/>
      <c r="F83" s="1895"/>
      <c r="G83" s="1895"/>
      <c r="H83" s="1895"/>
      <c r="I83" s="1895"/>
      <c r="J83" s="1895"/>
      <c r="K83" s="1895"/>
      <c r="L83" s="1895"/>
      <c r="M83" s="1895"/>
      <c r="N83" s="1895"/>
      <c r="O83" s="1959"/>
      <c r="P83" s="1959"/>
      <c r="Q83" s="1959"/>
      <c r="R83" s="1959"/>
      <c r="S83" s="1959"/>
      <c r="T83" s="1959"/>
      <c r="U83" s="1959"/>
      <c r="V83" s="1959"/>
      <c r="W83" s="1959"/>
      <c r="X83" s="1959"/>
      <c r="Y83" s="1959"/>
      <c r="Z83" s="1895"/>
    </row>
    <row r="84" spans="1:26" x14ac:dyDescent="0.2">
      <c r="A84" s="1959"/>
      <c r="D84" s="1895"/>
      <c r="E84" s="1895"/>
      <c r="F84" s="1895"/>
      <c r="G84" s="1895"/>
      <c r="H84" s="1895"/>
      <c r="I84" s="1895"/>
      <c r="J84" s="1895"/>
      <c r="K84" s="1895"/>
      <c r="L84" s="1895"/>
      <c r="M84" s="1895"/>
      <c r="N84" s="1895"/>
      <c r="O84" s="1959"/>
      <c r="P84" s="1959"/>
      <c r="Q84" s="1959"/>
      <c r="R84" s="1959"/>
      <c r="S84" s="1959"/>
      <c r="T84" s="1959"/>
      <c r="U84" s="1959"/>
      <c r="V84" s="1959"/>
      <c r="W84" s="1959"/>
      <c r="X84" s="1959"/>
      <c r="Y84" s="1959"/>
      <c r="Z84" s="1895"/>
    </row>
    <row r="85" spans="1:26" x14ac:dyDescent="0.2">
      <c r="A85" s="1959"/>
      <c r="D85" s="1895"/>
      <c r="E85" s="1895"/>
      <c r="F85" s="1895"/>
      <c r="G85" s="1895"/>
      <c r="H85" s="1895"/>
      <c r="I85" s="1895"/>
      <c r="J85" s="1895"/>
      <c r="K85" s="1895"/>
      <c r="L85" s="1895"/>
      <c r="M85" s="1895"/>
      <c r="N85" s="1895"/>
      <c r="O85" s="1959"/>
      <c r="P85" s="1959"/>
      <c r="Q85" s="1959"/>
      <c r="R85" s="1959"/>
      <c r="S85" s="1959"/>
      <c r="T85" s="1959"/>
      <c r="U85" s="1959"/>
      <c r="V85" s="1959"/>
      <c r="W85" s="1959"/>
      <c r="X85" s="1959"/>
      <c r="Y85" s="1959"/>
      <c r="Z85" s="1895"/>
    </row>
    <row r="86" spans="1:26" x14ac:dyDescent="0.2">
      <c r="A86" s="1959"/>
      <c r="D86" s="1895"/>
      <c r="E86" s="1895"/>
      <c r="F86" s="1895"/>
      <c r="G86" s="1895"/>
      <c r="H86" s="1895"/>
      <c r="I86" s="1895"/>
      <c r="J86" s="1895"/>
      <c r="K86" s="1895"/>
      <c r="L86" s="1895"/>
      <c r="M86" s="1895"/>
      <c r="N86" s="1895"/>
      <c r="O86" s="1959"/>
      <c r="P86" s="1959"/>
      <c r="Q86" s="1959"/>
      <c r="R86" s="1959"/>
      <c r="S86" s="1959"/>
      <c r="T86" s="1959"/>
      <c r="U86" s="1959"/>
      <c r="V86" s="1959"/>
      <c r="W86" s="1959"/>
      <c r="X86" s="1959"/>
      <c r="Y86" s="1959"/>
      <c r="Z86" s="1895"/>
    </row>
    <row r="87" spans="1:26" x14ac:dyDescent="0.2">
      <c r="A87" s="1959"/>
      <c r="D87" s="1895"/>
      <c r="E87" s="1895"/>
      <c r="F87" s="1895"/>
      <c r="G87" s="1895"/>
      <c r="H87" s="1895"/>
      <c r="I87" s="1895"/>
      <c r="J87" s="1895"/>
      <c r="K87" s="1895"/>
      <c r="L87" s="1895"/>
      <c r="M87" s="1895"/>
      <c r="N87" s="1895"/>
      <c r="O87" s="1959"/>
      <c r="P87" s="1959"/>
      <c r="Q87" s="1959"/>
      <c r="R87" s="1959"/>
      <c r="S87" s="1959"/>
      <c r="T87" s="1959"/>
      <c r="U87" s="1959"/>
      <c r="V87" s="1959"/>
      <c r="W87" s="1959"/>
      <c r="X87" s="1959"/>
      <c r="Y87" s="1959"/>
      <c r="Z87" s="1895"/>
    </row>
    <row r="88" spans="1:26" x14ac:dyDescent="0.2">
      <c r="A88" s="1959"/>
      <c r="D88" s="1895"/>
      <c r="E88" s="1895"/>
      <c r="F88" s="1895"/>
      <c r="G88" s="1895"/>
      <c r="H88" s="1895"/>
      <c r="I88" s="1895"/>
      <c r="J88" s="1895"/>
      <c r="K88" s="1895"/>
      <c r="L88" s="1895"/>
      <c r="M88" s="1895"/>
      <c r="N88" s="1895"/>
      <c r="O88" s="1959"/>
      <c r="P88" s="1959"/>
      <c r="Q88" s="1959"/>
      <c r="R88" s="1959"/>
      <c r="S88" s="1959"/>
      <c r="T88" s="1959"/>
      <c r="U88" s="1959"/>
      <c r="V88" s="1959"/>
      <c r="W88" s="1959"/>
      <c r="X88" s="1959"/>
      <c r="Y88" s="1959"/>
      <c r="Z88" s="1895"/>
    </row>
    <row r="89" spans="1:26" x14ac:dyDescent="0.2">
      <c r="A89" s="1959"/>
      <c r="D89" s="1895"/>
      <c r="E89" s="1895"/>
      <c r="F89" s="1895"/>
      <c r="G89" s="1895"/>
      <c r="H89" s="1895"/>
      <c r="I89" s="1895"/>
      <c r="J89" s="1895"/>
      <c r="K89" s="1895"/>
      <c r="L89" s="1895"/>
      <c r="M89" s="1895"/>
      <c r="N89" s="1895"/>
      <c r="O89" s="1959"/>
      <c r="P89" s="1959"/>
      <c r="Q89" s="1959"/>
      <c r="R89" s="1959"/>
      <c r="S89" s="1959"/>
      <c r="T89" s="1959"/>
      <c r="U89" s="1959"/>
      <c r="V89" s="1959"/>
      <c r="W89" s="1959"/>
      <c r="X89" s="1959"/>
      <c r="Y89" s="1959"/>
      <c r="Z89" s="1895"/>
    </row>
    <row r="90" spans="1:26" x14ac:dyDescent="0.2">
      <c r="A90" s="1959"/>
      <c r="D90" s="1895"/>
      <c r="E90" s="1895"/>
      <c r="F90" s="1895"/>
      <c r="G90" s="1895"/>
      <c r="H90" s="1895"/>
      <c r="I90" s="1895"/>
      <c r="J90" s="1895"/>
      <c r="K90" s="1895"/>
      <c r="L90" s="1895"/>
      <c r="M90" s="1895"/>
      <c r="N90" s="1895"/>
      <c r="O90" s="1959"/>
      <c r="P90" s="1959"/>
      <c r="Q90" s="1959"/>
      <c r="R90" s="1959"/>
      <c r="S90" s="1959"/>
      <c r="T90" s="1959"/>
      <c r="U90" s="1959"/>
      <c r="V90" s="1959"/>
      <c r="W90" s="1959"/>
      <c r="X90" s="1959"/>
      <c r="Y90" s="1959"/>
      <c r="Z90" s="1895"/>
    </row>
    <row r="91" spans="1:26" x14ac:dyDescent="0.2">
      <c r="A91" s="1959"/>
      <c r="D91" s="1895"/>
      <c r="E91" s="1895"/>
      <c r="F91" s="1895"/>
      <c r="G91" s="1895"/>
      <c r="H91" s="1895"/>
      <c r="I91" s="1895"/>
      <c r="J91" s="1895"/>
      <c r="K91" s="1895"/>
      <c r="L91" s="1895"/>
      <c r="M91" s="1895"/>
      <c r="N91" s="1895"/>
      <c r="O91" s="1959"/>
      <c r="P91" s="1959"/>
      <c r="Q91" s="1959"/>
      <c r="R91" s="1959"/>
      <c r="S91" s="1959"/>
      <c r="T91" s="1959"/>
      <c r="U91" s="1959"/>
      <c r="V91" s="1959"/>
      <c r="W91" s="1959"/>
      <c r="X91" s="1959"/>
      <c r="Y91" s="1959"/>
      <c r="Z91" s="1895"/>
    </row>
    <row r="92" spans="1:26" x14ac:dyDescent="0.2">
      <c r="A92" s="1959"/>
      <c r="D92" s="1895"/>
      <c r="E92" s="1895"/>
      <c r="F92" s="1895"/>
      <c r="G92" s="1895"/>
      <c r="H92" s="1895"/>
      <c r="I92" s="1895"/>
      <c r="J92" s="1895"/>
      <c r="K92" s="1895"/>
      <c r="L92" s="1895"/>
      <c r="M92" s="1895"/>
      <c r="N92" s="1895"/>
      <c r="O92" s="1959"/>
      <c r="P92" s="1959"/>
      <c r="Q92" s="1959"/>
      <c r="R92" s="1959"/>
      <c r="S92" s="1959"/>
      <c r="T92" s="1959"/>
      <c r="U92" s="1959"/>
      <c r="V92" s="1959"/>
      <c r="W92" s="1959"/>
      <c r="X92" s="1959"/>
      <c r="Y92" s="1959"/>
      <c r="Z92" s="1895"/>
    </row>
    <row r="93" spans="1:26" x14ac:dyDescent="0.2">
      <c r="A93" s="1959"/>
      <c r="D93" s="1895"/>
      <c r="E93" s="1895"/>
      <c r="F93" s="1895"/>
      <c r="G93" s="1895"/>
      <c r="H93" s="1895"/>
      <c r="I93" s="1895"/>
      <c r="J93" s="1895"/>
      <c r="K93" s="1895"/>
      <c r="L93" s="1895"/>
      <c r="M93" s="1895"/>
      <c r="N93" s="1895"/>
      <c r="O93" s="1959"/>
      <c r="P93" s="1959"/>
      <c r="Q93" s="1959"/>
      <c r="R93" s="1959"/>
      <c r="S93" s="1959"/>
      <c r="T93" s="1959"/>
      <c r="U93" s="1959"/>
      <c r="V93" s="1959"/>
      <c r="W93" s="1959"/>
      <c r="X93" s="1959"/>
      <c r="Y93" s="1959"/>
      <c r="Z93" s="1895"/>
    </row>
    <row r="94" spans="1:26" x14ac:dyDescent="0.2">
      <c r="A94" s="1959"/>
      <c r="D94" s="1895"/>
      <c r="E94" s="1895"/>
      <c r="F94" s="1895"/>
      <c r="G94" s="1895"/>
      <c r="H94" s="1895"/>
      <c r="I94" s="1895"/>
      <c r="J94" s="1895"/>
      <c r="K94" s="1895"/>
      <c r="L94" s="1895"/>
      <c r="M94" s="1895"/>
      <c r="N94" s="1895"/>
      <c r="O94" s="1959"/>
      <c r="P94" s="1959"/>
      <c r="Q94" s="1959"/>
      <c r="R94" s="1959"/>
      <c r="S94" s="1959"/>
      <c r="T94" s="1959"/>
      <c r="U94" s="1959"/>
      <c r="V94" s="1959"/>
      <c r="W94" s="1959"/>
      <c r="X94" s="1959"/>
      <c r="Y94" s="1959"/>
      <c r="Z94" s="1895"/>
    </row>
    <row r="95" spans="1:26" x14ac:dyDescent="0.2">
      <c r="A95" s="1959"/>
      <c r="D95" s="1895"/>
      <c r="E95" s="1895"/>
      <c r="F95" s="1895"/>
      <c r="G95" s="1895"/>
      <c r="H95" s="1895"/>
      <c r="I95" s="1895"/>
      <c r="J95" s="1895"/>
      <c r="K95" s="1895"/>
      <c r="L95" s="1895"/>
      <c r="M95" s="1895"/>
      <c r="N95" s="1895"/>
      <c r="O95" s="1959"/>
      <c r="P95" s="1959"/>
      <c r="Q95" s="1959"/>
      <c r="R95" s="1959"/>
      <c r="S95" s="1959"/>
      <c r="T95" s="1959"/>
      <c r="U95" s="1959"/>
      <c r="V95" s="1959"/>
      <c r="W95" s="1959"/>
      <c r="X95" s="1959"/>
      <c r="Y95" s="1959"/>
      <c r="Z95" s="1895"/>
    </row>
    <row r="96" spans="1:26" x14ac:dyDescent="0.2">
      <c r="A96" s="1959"/>
      <c r="D96" s="1895"/>
      <c r="E96" s="1895"/>
      <c r="F96" s="1895"/>
      <c r="G96" s="1895"/>
      <c r="H96" s="1895"/>
      <c r="I96" s="1895"/>
      <c r="J96" s="1895"/>
      <c r="K96" s="1895"/>
      <c r="L96" s="1895"/>
      <c r="M96" s="1895"/>
      <c r="N96" s="1895"/>
      <c r="O96" s="1959"/>
      <c r="P96" s="1959"/>
      <c r="Q96" s="1959"/>
      <c r="R96" s="1959"/>
      <c r="S96" s="1959"/>
      <c r="T96" s="1959"/>
      <c r="U96" s="1959"/>
      <c r="V96" s="1959"/>
      <c r="W96" s="1959"/>
      <c r="X96" s="1959"/>
      <c r="Y96" s="1959"/>
      <c r="Z96" s="1895"/>
    </row>
    <row r="97" spans="1:26" x14ac:dyDescent="0.2">
      <c r="A97" s="1959"/>
      <c r="D97" s="1895"/>
      <c r="E97" s="1895"/>
      <c r="F97" s="1895"/>
      <c r="G97" s="1895"/>
      <c r="H97" s="1895"/>
      <c r="I97" s="1895"/>
      <c r="J97" s="1895"/>
      <c r="K97" s="1895"/>
      <c r="L97" s="1895"/>
      <c r="M97" s="1895"/>
      <c r="N97" s="1895"/>
      <c r="O97" s="1959"/>
      <c r="P97" s="1959"/>
      <c r="Q97" s="1959"/>
      <c r="R97" s="1959"/>
      <c r="S97" s="1959"/>
      <c r="T97" s="1959"/>
      <c r="U97" s="1959"/>
      <c r="V97" s="1959"/>
      <c r="W97" s="1959"/>
      <c r="X97" s="1959"/>
      <c r="Y97" s="1959"/>
      <c r="Z97" s="1895"/>
    </row>
    <row r="98" spans="1:26" x14ac:dyDescent="0.2">
      <c r="A98" s="1959"/>
      <c r="D98" s="1895"/>
      <c r="E98" s="1895"/>
      <c r="F98" s="1895"/>
      <c r="G98" s="1895"/>
      <c r="H98" s="1895"/>
      <c r="I98" s="1895"/>
      <c r="J98" s="1895"/>
      <c r="K98" s="1895"/>
      <c r="L98" s="1895"/>
      <c r="M98" s="1895"/>
      <c r="N98" s="1895"/>
      <c r="O98" s="1959"/>
      <c r="P98" s="1959"/>
      <c r="Q98" s="1959"/>
      <c r="R98" s="1959"/>
      <c r="S98" s="1959"/>
      <c r="T98" s="1959"/>
      <c r="U98" s="1959"/>
      <c r="V98" s="1959"/>
      <c r="W98" s="1959"/>
      <c r="X98" s="1959"/>
      <c r="Y98" s="1959"/>
      <c r="Z98" s="1895"/>
    </row>
    <row r="99" spans="1:26" x14ac:dyDescent="0.2">
      <c r="A99" s="1959"/>
      <c r="D99" s="1895"/>
      <c r="E99" s="1895"/>
      <c r="F99" s="1895"/>
      <c r="G99" s="1895"/>
      <c r="H99" s="1895"/>
      <c r="I99" s="1895"/>
      <c r="J99" s="1895"/>
      <c r="K99" s="1895"/>
      <c r="L99" s="1895"/>
      <c r="M99" s="1895"/>
      <c r="N99" s="1895"/>
      <c r="O99" s="1959"/>
      <c r="P99" s="1959"/>
      <c r="Q99" s="1959"/>
      <c r="R99" s="1959"/>
      <c r="S99" s="1959"/>
      <c r="T99" s="1959"/>
      <c r="U99" s="1959"/>
      <c r="V99" s="1959"/>
      <c r="W99" s="1959"/>
      <c r="X99" s="1959"/>
      <c r="Y99" s="1959"/>
      <c r="Z99" s="1895"/>
    </row>
    <row r="100" spans="1:26" x14ac:dyDescent="0.2">
      <c r="A100" s="1959"/>
      <c r="D100" s="1895"/>
      <c r="E100" s="1895"/>
      <c r="F100" s="1895"/>
      <c r="G100" s="1895"/>
      <c r="H100" s="1895"/>
      <c r="I100" s="1895"/>
      <c r="J100" s="1895"/>
      <c r="K100" s="1895"/>
      <c r="L100" s="1895"/>
      <c r="M100" s="1895"/>
      <c r="N100" s="1895"/>
      <c r="O100" s="1959"/>
      <c r="P100" s="1959"/>
      <c r="Q100" s="1959"/>
      <c r="R100" s="1959"/>
      <c r="S100" s="1959"/>
      <c r="T100" s="1959"/>
      <c r="U100" s="1959"/>
      <c r="V100" s="1959"/>
      <c r="W100" s="1959"/>
      <c r="X100" s="1959"/>
      <c r="Y100" s="1959"/>
      <c r="Z100" s="1895"/>
    </row>
    <row r="101" spans="1:26" x14ac:dyDescent="0.2">
      <c r="A101" s="1959"/>
      <c r="D101" s="1895"/>
      <c r="E101" s="1895"/>
      <c r="F101" s="1895"/>
      <c r="G101" s="1895"/>
      <c r="H101" s="1895"/>
      <c r="I101" s="1895"/>
      <c r="J101" s="1895"/>
      <c r="K101" s="1895"/>
      <c r="L101" s="1895"/>
      <c r="M101" s="1895"/>
      <c r="N101" s="1895"/>
      <c r="O101" s="1959"/>
      <c r="P101" s="1959"/>
      <c r="Q101" s="1959"/>
      <c r="R101" s="1959"/>
      <c r="S101" s="1959"/>
      <c r="T101" s="1959"/>
      <c r="U101" s="1959"/>
      <c r="V101" s="1959"/>
      <c r="W101" s="1959"/>
      <c r="X101" s="1959"/>
      <c r="Y101" s="1959"/>
      <c r="Z101" s="1895"/>
    </row>
    <row r="102" spans="1:26" x14ac:dyDescent="0.2">
      <c r="A102" s="1959"/>
      <c r="D102" s="1895"/>
      <c r="E102" s="1895"/>
      <c r="F102" s="1895"/>
      <c r="G102" s="1895"/>
      <c r="H102" s="1895"/>
      <c r="I102" s="1895"/>
      <c r="J102" s="1895"/>
      <c r="K102" s="1895"/>
      <c r="L102" s="1895"/>
      <c r="M102" s="1895"/>
      <c r="N102" s="1895"/>
      <c r="O102" s="1959"/>
      <c r="P102" s="1959"/>
      <c r="Q102" s="1959"/>
      <c r="R102" s="1959"/>
      <c r="S102" s="1959"/>
      <c r="T102" s="1959"/>
      <c r="U102" s="1959"/>
      <c r="V102" s="1959"/>
      <c r="W102" s="1959"/>
      <c r="X102" s="1959"/>
      <c r="Y102" s="1959"/>
      <c r="Z102" s="1895"/>
    </row>
    <row r="103" spans="1:26" x14ac:dyDescent="0.2">
      <c r="A103" s="1959"/>
      <c r="D103" s="1895"/>
      <c r="E103" s="1895"/>
      <c r="F103" s="1895"/>
      <c r="G103" s="1895"/>
      <c r="H103" s="1895"/>
      <c r="I103" s="1895"/>
      <c r="J103" s="1895"/>
      <c r="K103" s="1895"/>
      <c r="L103" s="1895"/>
      <c r="M103" s="1895"/>
      <c r="N103" s="1895"/>
      <c r="O103" s="1959"/>
      <c r="P103" s="1959"/>
      <c r="Q103" s="1959"/>
      <c r="R103" s="1959"/>
      <c r="S103" s="1959"/>
      <c r="T103" s="1959"/>
      <c r="U103" s="1959"/>
      <c r="V103" s="1959"/>
      <c r="W103" s="1959"/>
      <c r="X103" s="1959"/>
      <c r="Y103" s="1959"/>
      <c r="Z103" s="1895"/>
    </row>
    <row r="104" spans="1:26" x14ac:dyDescent="0.2">
      <c r="A104" s="1959"/>
      <c r="D104" s="1895"/>
      <c r="E104" s="1895"/>
      <c r="F104" s="1895"/>
      <c r="G104" s="1895"/>
      <c r="H104" s="1895"/>
      <c r="I104" s="1895"/>
      <c r="J104" s="1895"/>
      <c r="K104" s="1895"/>
      <c r="L104" s="1895"/>
      <c r="M104" s="1895"/>
      <c r="N104" s="1895"/>
      <c r="O104" s="1959"/>
      <c r="P104" s="1959"/>
      <c r="Q104" s="1959"/>
      <c r="R104" s="1959"/>
      <c r="S104" s="1959"/>
      <c r="T104" s="1959"/>
      <c r="U104" s="1959"/>
      <c r="V104" s="1959"/>
      <c r="W104" s="1959"/>
      <c r="X104" s="1959"/>
      <c r="Y104" s="1959"/>
      <c r="Z104" s="1895"/>
    </row>
    <row r="105" spans="1:26" x14ac:dyDescent="0.2">
      <c r="A105" s="1959"/>
      <c r="D105" s="1895"/>
      <c r="E105" s="1895"/>
      <c r="F105" s="1895"/>
      <c r="G105" s="1895"/>
      <c r="H105" s="1895"/>
      <c r="I105" s="1895"/>
      <c r="J105" s="1895"/>
      <c r="K105" s="1895"/>
      <c r="L105" s="1895"/>
      <c r="M105" s="1895"/>
      <c r="N105" s="1895"/>
      <c r="O105" s="1959"/>
      <c r="P105" s="1959"/>
      <c r="Q105" s="1959"/>
      <c r="R105" s="1959"/>
      <c r="S105" s="1959"/>
      <c r="T105" s="1959"/>
      <c r="U105" s="1959"/>
      <c r="V105" s="1959"/>
      <c r="W105" s="1959"/>
      <c r="X105" s="1959"/>
      <c r="Y105" s="1959"/>
      <c r="Z105" s="1895"/>
    </row>
    <row r="106" spans="1:26" x14ac:dyDescent="0.2">
      <c r="A106" s="1959"/>
      <c r="D106" s="1895"/>
      <c r="E106" s="1895"/>
      <c r="F106" s="1895"/>
      <c r="G106" s="1895"/>
      <c r="H106" s="1895"/>
      <c r="I106" s="1895"/>
      <c r="J106" s="1895"/>
      <c r="K106" s="1895"/>
      <c r="L106" s="1895"/>
      <c r="M106" s="1895"/>
      <c r="N106" s="1895"/>
      <c r="O106" s="1959"/>
      <c r="P106" s="1959"/>
      <c r="Q106" s="1959"/>
      <c r="R106" s="1959"/>
      <c r="S106" s="1959"/>
      <c r="T106" s="1959"/>
      <c r="U106" s="1959"/>
      <c r="V106" s="1959"/>
      <c r="W106" s="1959"/>
      <c r="X106" s="1959"/>
      <c r="Y106" s="1959"/>
      <c r="Z106" s="1895"/>
    </row>
    <row r="107" spans="1:26" x14ac:dyDescent="0.2">
      <c r="A107" s="1959"/>
      <c r="D107" s="1895"/>
      <c r="E107" s="1895"/>
      <c r="F107" s="1895"/>
      <c r="G107" s="1895"/>
      <c r="H107" s="1895"/>
      <c r="I107" s="1895"/>
      <c r="J107" s="1895"/>
      <c r="K107" s="1895"/>
      <c r="L107" s="1895"/>
      <c r="M107" s="1895"/>
      <c r="N107" s="1895"/>
      <c r="O107" s="1959"/>
      <c r="P107" s="1959"/>
      <c r="Q107" s="1959"/>
      <c r="R107" s="1959"/>
      <c r="S107" s="1959"/>
      <c r="T107" s="1959"/>
      <c r="U107" s="1959"/>
      <c r="V107" s="1959"/>
      <c r="W107" s="1959"/>
      <c r="X107" s="1959"/>
      <c r="Y107" s="1959"/>
      <c r="Z107" s="1895"/>
    </row>
    <row r="108" spans="1:26" x14ac:dyDescent="0.2">
      <c r="A108" s="1959"/>
      <c r="D108" s="1895"/>
      <c r="E108" s="1895"/>
      <c r="F108" s="1895"/>
      <c r="G108" s="1895"/>
      <c r="H108" s="1895"/>
      <c r="I108" s="1895"/>
      <c r="J108" s="1895"/>
      <c r="K108" s="1895"/>
      <c r="L108" s="1895"/>
      <c r="M108" s="1895"/>
      <c r="N108" s="1895"/>
      <c r="O108" s="1959"/>
      <c r="P108" s="1959"/>
      <c r="Q108" s="1959"/>
      <c r="R108" s="1959"/>
      <c r="S108" s="1959"/>
      <c r="T108" s="1959"/>
      <c r="U108" s="1959"/>
      <c r="V108" s="1959"/>
      <c r="W108" s="1959"/>
      <c r="X108" s="1959"/>
      <c r="Y108" s="1959"/>
      <c r="Z108" s="1895"/>
    </row>
    <row r="109" spans="1:26" x14ac:dyDescent="0.2">
      <c r="A109" s="1959"/>
      <c r="D109" s="1895"/>
      <c r="E109" s="1895"/>
      <c r="F109" s="1895"/>
      <c r="G109" s="1895"/>
      <c r="H109" s="1895"/>
      <c r="I109" s="1895"/>
      <c r="J109" s="1895"/>
      <c r="K109" s="1895"/>
      <c r="L109" s="1895"/>
      <c r="M109" s="1895"/>
      <c r="N109" s="1895"/>
      <c r="O109" s="1959"/>
      <c r="P109" s="1959"/>
      <c r="Q109" s="1959"/>
      <c r="R109" s="1959"/>
      <c r="S109" s="1959"/>
      <c r="T109" s="1959"/>
      <c r="U109" s="1959"/>
      <c r="V109" s="1959"/>
      <c r="W109" s="1959"/>
      <c r="X109" s="1959"/>
      <c r="Y109" s="1959"/>
      <c r="Z109" s="1895"/>
    </row>
    <row r="110" spans="1:26" x14ac:dyDescent="0.2">
      <c r="A110" s="1959"/>
      <c r="D110" s="1895"/>
      <c r="E110" s="1895"/>
      <c r="F110" s="1895"/>
      <c r="G110" s="1895"/>
      <c r="H110" s="1895"/>
      <c r="I110" s="1895"/>
      <c r="J110" s="1895"/>
      <c r="K110" s="1895"/>
      <c r="L110" s="1895"/>
      <c r="M110" s="1895"/>
      <c r="N110" s="1895"/>
      <c r="O110" s="1959"/>
      <c r="P110" s="1959"/>
      <c r="Q110" s="1959"/>
      <c r="R110" s="1959"/>
      <c r="S110" s="1959"/>
      <c r="T110" s="1959"/>
      <c r="U110" s="1959"/>
      <c r="V110" s="1959"/>
      <c r="W110" s="1959"/>
      <c r="X110" s="1959"/>
      <c r="Y110" s="1959"/>
      <c r="Z110" s="1895"/>
    </row>
    <row r="111" spans="1:26" x14ac:dyDescent="0.2">
      <c r="A111" s="1959"/>
      <c r="D111" s="1895"/>
      <c r="E111" s="1895"/>
      <c r="F111" s="1895"/>
      <c r="G111" s="1895"/>
      <c r="H111" s="1895"/>
      <c r="I111" s="1895"/>
      <c r="J111" s="1895"/>
      <c r="K111" s="1895"/>
      <c r="L111" s="1895"/>
      <c r="M111" s="1895"/>
      <c r="N111" s="1895"/>
      <c r="O111" s="1959"/>
      <c r="P111" s="1959"/>
      <c r="Q111" s="1959"/>
      <c r="R111" s="1959"/>
      <c r="S111" s="1959"/>
      <c r="T111" s="1959"/>
      <c r="U111" s="1959"/>
      <c r="V111" s="1959"/>
      <c r="W111" s="1959"/>
      <c r="X111" s="1959"/>
      <c r="Y111" s="1959"/>
      <c r="Z111" s="1895"/>
    </row>
    <row r="112" spans="1:26" x14ac:dyDescent="0.2">
      <c r="A112" s="1959"/>
      <c r="D112" s="1895"/>
      <c r="E112" s="1895"/>
      <c r="F112" s="1895"/>
      <c r="G112" s="1895"/>
      <c r="H112" s="1895"/>
      <c r="I112" s="1895"/>
      <c r="J112" s="1895"/>
      <c r="K112" s="1895"/>
      <c r="L112" s="1895"/>
      <c r="M112" s="1895"/>
      <c r="N112" s="1895"/>
      <c r="O112" s="1959"/>
      <c r="P112" s="1959"/>
      <c r="Q112" s="1959"/>
      <c r="R112" s="1959"/>
      <c r="S112" s="1959"/>
      <c r="T112" s="1959"/>
      <c r="U112" s="1959"/>
      <c r="V112" s="1959"/>
      <c r="W112" s="1959"/>
      <c r="X112" s="1959"/>
      <c r="Y112" s="1959"/>
      <c r="Z112" s="1895"/>
    </row>
    <row r="113" spans="1:26" x14ac:dyDescent="0.2">
      <c r="A113" s="1959"/>
      <c r="D113" s="1895"/>
      <c r="E113" s="1895"/>
      <c r="F113" s="1895"/>
      <c r="G113" s="1895"/>
      <c r="H113" s="1895"/>
      <c r="I113" s="1895"/>
      <c r="J113" s="1895"/>
      <c r="K113" s="1895"/>
      <c r="L113" s="1895"/>
      <c r="M113" s="1895"/>
      <c r="N113" s="1895"/>
      <c r="O113" s="1959"/>
      <c r="P113" s="1959"/>
      <c r="Q113" s="1959"/>
      <c r="R113" s="1959"/>
      <c r="S113" s="1959"/>
      <c r="T113" s="1959"/>
      <c r="U113" s="1959"/>
      <c r="V113" s="1959"/>
      <c r="W113" s="1959"/>
      <c r="X113" s="1959"/>
      <c r="Y113" s="1959"/>
      <c r="Z113" s="1895"/>
    </row>
    <row r="114" spans="1:26" x14ac:dyDescent="0.2">
      <c r="A114" s="1959"/>
      <c r="D114" s="1895"/>
      <c r="E114" s="1895"/>
      <c r="F114" s="1895"/>
      <c r="G114" s="1895"/>
      <c r="H114" s="1895"/>
      <c r="I114" s="1895"/>
      <c r="J114" s="1895"/>
      <c r="K114" s="1895"/>
      <c r="L114" s="1895"/>
      <c r="M114" s="1895"/>
      <c r="N114" s="1895"/>
      <c r="O114" s="1959"/>
      <c r="P114" s="1959"/>
      <c r="Q114" s="1959"/>
      <c r="R114" s="1959"/>
      <c r="S114" s="1959"/>
      <c r="T114" s="1959"/>
      <c r="U114" s="1959"/>
      <c r="V114" s="1959"/>
      <c r="W114" s="1959"/>
      <c r="X114" s="1959"/>
      <c r="Y114" s="1959"/>
      <c r="Z114" s="1895"/>
    </row>
    <row r="115" spans="1:26" x14ac:dyDescent="0.2">
      <c r="A115" s="1959"/>
      <c r="D115" s="1895"/>
      <c r="E115" s="1895"/>
      <c r="F115" s="1895"/>
      <c r="G115" s="1895"/>
      <c r="H115" s="1895"/>
      <c r="I115" s="1895"/>
      <c r="J115" s="1895"/>
      <c r="K115" s="1895"/>
      <c r="L115" s="1895"/>
      <c r="M115" s="1895"/>
      <c r="N115" s="1895"/>
      <c r="O115" s="1959"/>
      <c r="P115" s="1959"/>
      <c r="Q115" s="1959"/>
      <c r="R115" s="1959"/>
      <c r="S115" s="1959"/>
      <c r="T115" s="1959"/>
      <c r="U115" s="1959"/>
      <c r="V115" s="1959"/>
      <c r="W115" s="1959"/>
      <c r="X115" s="1959"/>
      <c r="Y115" s="1959"/>
      <c r="Z115" s="1895"/>
    </row>
    <row r="116" spans="1:26" x14ac:dyDescent="0.2">
      <c r="A116" s="1959"/>
      <c r="D116" s="1895"/>
      <c r="E116" s="1895"/>
      <c r="F116" s="1895"/>
      <c r="G116" s="1895"/>
      <c r="H116" s="1895"/>
      <c r="I116" s="1895"/>
      <c r="J116" s="1895"/>
      <c r="K116" s="1895"/>
      <c r="L116" s="1895"/>
      <c r="M116" s="1895"/>
      <c r="N116" s="1895"/>
      <c r="O116" s="1959"/>
      <c r="P116" s="1959"/>
      <c r="Q116" s="1959"/>
      <c r="R116" s="1959"/>
      <c r="S116" s="1959"/>
      <c r="T116" s="1959"/>
      <c r="U116" s="1959"/>
      <c r="V116" s="1959"/>
      <c r="W116" s="1959"/>
      <c r="X116" s="1959"/>
      <c r="Y116" s="1959"/>
      <c r="Z116" s="1895"/>
    </row>
    <row r="117" spans="1:26" x14ac:dyDescent="0.2">
      <c r="A117" s="1959"/>
      <c r="D117" s="1895"/>
      <c r="E117" s="1895"/>
      <c r="F117" s="1895"/>
      <c r="G117" s="1895"/>
      <c r="H117" s="1895"/>
      <c r="I117" s="1895"/>
      <c r="J117" s="1895"/>
      <c r="K117" s="1895"/>
      <c r="L117" s="1895"/>
      <c r="M117" s="1895"/>
      <c r="N117" s="1895"/>
      <c r="O117" s="1959"/>
      <c r="P117" s="1959"/>
      <c r="Q117" s="1959"/>
      <c r="R117" s="1959"/>
      <c r="S117" s="1959"/>
      <c r="T117" s="1959"/>
      <c r="U117" s="1959"/>
      <c r="V117" s="1959"/>
      <c r="W117" s="1959"/>
      <c r="X117" s="1959"/>
      <c r="Y117" s="1959"/>
      <c r="Z117" s="1895"/>
    </row>
    <row r="118" spans="1:26" x14ac:dyDescent="0.2">
      <c r="A118" s="1959"/>
      <c r="D118" s="1895"/>
      <c r="E118" s="1895"/>
      <c r="F118" s="1895"/>
      <c r="G118" s="1895"/>
      <c r="H118" s="1895"/>
      <c r="I118" s="1895"/>
      <c r="J118" s="1895"/>
      <c r="K118" s="1895"/>
      <c r="L118" s="1895"/>
      <c r="M118" s="1895"/>
      <c r="N118" s="1895"/>
      <c r="O118" s="1959"/>
      <c r="P118" s="1959"/>
      <c r="Q118" s="1959"/>
      <c r="R118" s="1959"/>
      <c r="S118" s="1959"/>
      <c r="T118" s="1959"/>
      <c r="U118" s="1959"/>
      <c r="V118" s="1959"/>
      <c r="W118" s="1959"/>
      <c r="X118" s="1959"/>
      <c r="Y118" s="1959"/>
      <c r="Z118" s="1895"/>
    </row>
    <row r="119" spans="1:26" x14ac:dyDescent="0.2">
      <c r="A119" s="1959"/>
      <c r="D119" s="1895"/>
      <c r="E119" s="1895"/>
      <c r="F119" s="1895"/>
      <c r="G119" s="1895"/>
      <c r="H119" s="1895"/>
      <c r="I119" s="1895"/>
      <c r="J119" s="1895"/>
      <c r="K119" s="1895"/>
      <c r="L119" s="1895"/>
      <c r="M119" s="1895"/>
      <c r="N119" s="1895"/>
      <c r="O119" s="1959"/>
      <c r="P119" s="1959"/>
      <c r="Q119" s="1959"/>
      <c r="R119" s="1959"/>
      <c r="S119" s="1959"/>
      <c r="T119" s="1959"/>
      <c r="U119" s="1959"/>
      <c r="V119" s="1959"/>
      <c r="W119" s="1959"/>
      <c r="X119" s="1959"/>
      <c r="Y119" s="1959"/>
      <c r="Z119" s="1895"/>
    </row>
    <row r="120" spans="1:26" x14ac:dyDescent="0.2">
      <c r="A120" s="1959"/>
      <c r="D120" s="1895"/>
      <c r="E120" s="1895"/>
      <c r="F120" s="1895"/>
      <c r="G120" s="1895"/>
      <c r="H120" s="1895"/>
      <c r="I120" s="1895"/>
      <c r="J120" s="1895"/>
      <c r="K120" s="1895"/>
      <c r="L120" s="1895"/>
      <c r="M120" s="1895"/>
      <c r="N120" s="1895"/>
      <c r="O120" s="1959"/>
      <c r="P120" s="1959"/>
      <c r="Q120" s="1959"/>
      <c r="R120" s="1959"/>
      <c r="S120" s="1959"/>
      <c r="T120" s="1959"/>
      <c r="U120" s="1959"/>
      <c r="V120" s="1959"/>
      <c r="W120" s="1959"/>
      <c r="X120" s="1959"/>
      <c r="Y120" s="1959"/>
      <c r="Z120" s="1895"/>
    </row>
    <row r="121" spans="1:26" x14ac:dyDescent="0.2">
      <c r="A121" s="1959"/>
      <c r="D121" s="1895"/>
      <c r="E121" s="1895"/>
      <c r="F121" s="1895"/>
      <c r="G121" s="1895"/>
      <c r="H121" s="1895"/>
      <c r="I121" s="1895"/>
      <c r="J121" s="1895"/>
      <c r="K121" s="1895"/>
      <c r="L121" s="1895"/>
      <c r="M121" s="1895"/>
      <c r="N121" s="1895"/>
      <c r="O121" s="1959"/>
      <c r="P121" s="1959"/>
      <c r="Q121" s="1959"/>
      <c r="R121" s="1959"/>
      <c r="S121" s="1959"/>
      <c r="T121" s="1959"/>
      <c r="U121" s="1959"/>
      <c r="V121" s="1959"/>
      <c r="W121" s="1959"/>
      <c r="X121" s="1959"/>
      <c r="Y121" s="1959"/>
      <c r="Z121" s="1895"/>
    </row>
    <row r="122" spans="1:26" x14ac:dyDescent="0.2">
      <c r="A122" s="1959"/>
      <c r="D122" s="1895"/>
      <c r="E122" s="1895"/>
      <c r="F122" s="1895"/>
      <c r="G122" s="1895"/>
      <c r="H122" s="1895"/>
      <c r="I122" s="1895"/>
      <c r="J122" s="1895"/>
      <c r="K122" s="1895"/>
      <c r="L122" s="1895"/>
      <c r="M122" s="1895"/>
      <c r="N122" s="1895"/>
      <c r="O122" s="1959"/>
      <c r="P122" s="1959"/>
      <c r="Q122" s="1959"/>
      <c r="R122" s="1959"/>
      <c r="S122" s="1959"/>
      <c r="T122" s="1959"/>
      <c r="U122" s="1959"/>
      <c r="V122" s="1959"/>
      <c r="W122" s="1959"/>
      <c r="X122" s="1959"/>
      <c r="Y122" s="1959"/>
      <c r="Z122" s="1895"/>
    </row>
    <row r="123" spans="1:26" x14ac:dyDescent="0.2">
      <c r="A123" s="1959"/>
      <c r="D123" s="1895"/>
      <c r="E123" s="1895"/>
      <c r="F123" s="1895"/>
      <c r="G123" s="1895"/>
      <c r="H123" s="1895"/>
      <c r="I123" s="1895"/>
      <c r="J123" s="1895"/>
      <c r="K123" s="1895"/>
      <c r="L123" s="1895"/>
      <c r="M123" s="1895"/>
      <c r="N123" s="1895"/>
      <c r="O123" s="1959"/>
      <c r="P123" s="1959"/>
      <c r="Q123" s="1959"/>
      <c r="R123" s="1959"/>
      <c r="S123" s="1959"/>
      <c r="T123" s="1959"/>
      <c r="U123" s="1959"/>
      <c r="V123" s="1959"/>
      <c r="W123" s="1959"/>
      <c r="X123" s="1959"/>
      <c r="Y123" s="1959"/>
      <c r="Z123" s="1895"/>
    </row>
    <row r="124" spans="1:26" x14ac:dyDescent="0.2">
      <c r="A124" s="1959"/>
      <c r="D124" s="1895"/>
      <c r="E124" s="1895"/>
      <c r="F124" s="1895"/>
      <c r="G124" s="1895"/>
      <c r="H124" s="1895"/>
      <c r="I124" s="1895"/>
      <c r="J124" s="1895"/>
      <c r="K124" s="1895"/>
      <c r="L124" s="1895"/>
      <c r="M124" s="1895"/>
      <c r="N124" s="1895"/>
      <c r="O124" s="1959"/>
      <c r="P124" s="1959"/>
      <c r="Q124" s="1959"/>
      <c r="R124" s="1959"/>
      <c r="S124" s="1959"/>
      <c r="T124" s="1959"/>
      <c r="U124" s="1959"/>
      <c r="V124" s="1959"/>
      <c r="W124" s="1959"/>
      <c r="X124" s="1959"/>
      <c r="Y124" s="1959"/>
      <c r="Z124" s="1895"/>
    </row>
    <row r="125" spans="1:26" x14ac:dyDescent="0.2">
      <c r="A125" s="1959"/>
      <c r="D125" s="1895"/>
      <c r="E125" s="1895"/>
      <c r="F125" s="1895"/>
      <c r="G125" s="1895"/>
      <c r="H125" s="1895"/>
      <c r="I125" s="1895"/>
      <c r="J125" s="1895"/>
      <c r="K125" s="1895"/>
      <c r="L125" s="1895"/>
      <c r="M125" s="1895"/>
      <c r="N125" s="1895"/>
      <c r="O125" s="1959"/>
      <c r="P125" s="1959"/>
      <c r="Q125" s="1959"/>
      <c r="R125" s="1959"/>
      <c r="S125" s="1959"/>
      <c r="T125" s="1959"/>
      <c r="U125" s="1959"/>
      <c r="V125" s="1959"/>
      <c r="W125" s="1959"/>
      <c r="X125" s="1959"/>
      <c r="Y125" s="1959"/>
      <c r="Z125" s="1895"/>
    </row>
    <row r="126" spans="1:26" x14ac:dyDescent="0.2">
      <c r="A126" s="1959"/>
      <c r="D126" s="1895"/>
      <c r="E126" s="1895"/>
      <c r="F126" s="1895"/>
      <c r="G126" s="1895"/>
      <c r="H126" s="1895"/>
      <c r="I126" s="1895"/>
      <c r="J126" s="1895"/>
      <c r="K126" s="1895"/>
      <c r="L126" s="1895"/>
      <c r="M126" s="1895"/>
      <c r="N126" s="1895"/>
      <c r="O126" s="1959"/>
      <c r="P126" s="1959"/>
      <c r="Q126" s="1959"/>
      <c r="R126" s="1959"/>
      <c r="S126" s="1959"/>
      <c r="T126" s="1959"/>
      <c r="U126" s="1959"/>
      <c r="V126" s="1959"/>
      <c r="W126" s="1959"/>
      <c r="X126" s="1959"/>
      <c r="Y126" s="1959"/>
      <c r="Z126" s="1895"/>
    </row>
    <row r="127" spans="1:26" x14ac:dyDescent="0.2">
      <c r="A127" s="1959"/>
      <c r="D127" s="1895"/>
      <c r="E127" s="1895"/>
      <c r="F127" s="1895"/>
      <c r="G127" s="1895"/>
      <c r="H127" s="1895"/>
      <c r="I127" s="1895"/>
      <c r="J127" s="1895"/>
      <c r="K127" s="1895"/>
      <c r="L127" s="1895"/>
      <c r="M127" s="1895"/>
      <c r="N127" s="1895"/>
      <c r="O127" s="1959"/>
      <c r="P127" s="1959"/>
      <c r="Q127" s="1959"/>
      <c r="R127" s="1959"/>
      <c r="S127" s="1959"/>
      <c r="T127" s="1959"/>
      <c r="U127" s="1959"/>
      <c r="V127" s="1959"/>
      <c r="W127" s="1959"/>
      <c r="X127" s="1959"/>
      <c r="Y127" s="1959"/>
      <c r="Z127" s="1895"/>
    </row>
    <row r="128" spans="1:26" x14ac:dyDescent="0.2">
      <c r="A128" s="1959"/>
      <c r="D128" s="1895"/>
      <c r="E128" s="1895"/>
      <c r="F128" s="1895"/>
      <c r="G128" s="1895"/>
      <c r="H128" s="1895"/>
      <c r="I128" s="1895"/>
      <c r="J128" s="1895"/>
      <c r="K128" s="1895"/>
      <c r="L128" s="1895"/>
      <c r="M128" s="1895"/>
      <c r="N128" s="1895"/>
      <c r="O128" s="1959"/>
      <c r="P128" s="1959"/>
      <c r="Q128" s="1959"/>
      <c r="R128" s="1959"/>
      <c r="S128" s="1959"/>
      <c r="T128" s="1959"/>
      <c r="U128" s="1959"/>
      <c r="V128" s="1959"/>
      <c r="W128" s="1959"/>
      <c r="X128" s="1959"/>
      <c r="Y128" s="1959"/>
      <c r="Z128" s="1895"/>
    </row>
    <row r="129" spans="1:26" x14ac:dyDescent="0.2">
      <c r="A129" s="1959"/>
      <c r="D129" s="1895"/>
      <c r="E129" s="1895"/>
      <c r="F129" s="1895"/>
      <c r="G129" s="1895"/>
      <c r="H129" s="1895"/>
      <c r="I129" s="1895"/>
      <c r="J129" s="1895"/>
      <c r="K129" s="1895"/>
      <c r="L129" s="1895"/>
      <c r="M129" s="1895"/>
      <c r="N129" s="1895"/>
      <c r="O129" s="1959"/>
      <c r="P129" s="1959"/>
      <c r="Q129" s="1959"/>
      <c r="R129" s="1959"/>
      <c r="S129" s="1959"/>
      <c r="T129" s="1959"/>
      <c r="U129" s="1959"/>
      <c r="V129" s="1959"/>
      <c r="W129" s="1959"/>
      <c r="X129" s="1959"/>
      <c r="Y129" s="1959"/>
      <c r="Z129" s="1895"/>
    </row>
    <row r="130" spans="1:26" x14ac:dyDescent="0.2">
      <c r="A130" s="1959"/>
      <c r="D130" s="1895"/>
      <c r="E130" s="1895"/>
      <c r="F130" s="1895"/>
      <c r="G130" s="1895"/>
      <c r="H130" s="1895"/>
      <c r="I130" s="1895"/>
      <c r="J130" s="1895"/>
      <c r="K130" s="1895"/>
      <c r="L130" s="1895"/>
      <c r="M130" s="1895"/>
      <c r="N130" s="1895"/>
      <c r="O130" s="1959"/>
      <c r="P130" s="1959"/>
      <c r="Q130" s="1959"/>
      <c r="R130" s="1959"/>
      <c r="S130" s="1959"/>
      <c r="T130" s="1959"/>
      <c r="U130" s="1959"/>
      <c r="V130" s="1959"/>
      <c r="W130" s="1959"/>
      <c r="X130" s="1959"/>
      <c r="Y130" s="1959"/>
      <c r="Z130" s="1895"/>
    </row>
    <row r="131" spans="1:26" x14ac:dyDescent="0.2">
      <c r="A131" s="1959"/>
      <c r="D131" s="1895"/>
      <c r="E131" s="1895"/>
      <c r="F131" s="1895"/>
      <c r="G131" s="1895"/>
      <c r="H131" s="1895"/>
      <c r="I131" s="1895"/>
      <c r="J131" s="1895"/>
      <c r="K131" s="1895"/>
      <c r="L131" s="1895"/>
      <c r="M131" s="1895"/>
      <c r="N131" s="1895"/>
      <c r="O131" s="1959"/>
      <c r="P131" s="1959"/>
      <c r="Q131" s="1959"/>
      <c r="R131" s="1959"/>
      <c r="S131" s="1959"/>
      <c r="T131" s="1959"/>
      <c r="U131" s="1959"/>
      <c r="V131" s="1959"/>
      <c r="W131" s="1959"/>
      <c r="X131" s="1959"/>
      <c r="Y131" s="1959"/>
      <c r="Z131" s="1895"/>
    </row>
    <row r="132" spans="1:26" x14ac:dyDescent="0.2">
      <c r="A132" s="1959"/>
      <c r="D132" s="1895"/>
      <c r="E132" s="1895"/>
      <c r="F132" s="1895"/>
      <c r="G132" s="1895"/>
      <c r="H132" s="1895"/>
      <c r="I132" s="1895"/>
      <c r="J132" s="1895"/>
      <c r="K132" s="1895"/>
      <c r="L132" s="1895"/>
      <c r="M132" s="1895"/>
      <c r="N132" s="1895"/>
      <c r="O132" s="1959"/>
      <c r="P132" s="1959"/>
      <c r="Q132" s="1959"/>
      <c r="R132" s="1959"/>
      <c r="S132" s="1959"/>
      <c r="T132" s="1959"/>
      <c r="U132" s="1959"/>
      <c r="V132" s="1959"/>
      <c r="W132" s="1959"/>
      <c r="X132" s="1959"/>
      <c r="Y132" s="1959"/>
      <c r="Z132" s="1895"/>
    </row>
    <row r="133" spans="1:26" x14ac:dyDescent="0.2">
      <c r="A133" s="1959"/>
      <c r="D133" s="1895"/>
      <c r="E133" s="1895"/>
      <c r="F133" s="1895"/>
      <c r="G133" s="1895"/>
      <c r="H133" s="1895"/>
      <c r="I133" s="1895"/>
      <c r="J133" s="1895"/>
      <c r="K133" s="1895"/>
      <c r="L133" s="1895"/>
      <c r="M133" s="1895"/>
      <c r="N133" s="1895"/>
      <c r="O133" s="1959"/>
      <c r="P133" s="1959"/>
      <c r="Q133" s="1959"/>
      <c r="R133" s="1959"/>
      <c r="S133" s="1959"/>
      <c r="T133" s="1959"/>
      <c r="U133" s="1959"/>
      <c r="V133" s="1959"/>
      <c r="W133" s="1959"/>
      <c r="X133" s="1959"/>
      <c r="Y133" s="1959"/>
      <c r="Z133" s="1895"/>
    </row>
    <row r="134" spans="1:26" x14ac:dyDescent="0.2">
      <c r="A134" s="1959"/>
      <c r="D134" s="1895"/>
      <c r="E134" s="1895"/>
      <c r="F134" s="1895"/>
      <c r="G134" s="1895"/>
      <c r="H134" s="1895"/>
      <c r="I134" s="1895"/>
      <c r="J134" s="1895"/>
      <c r="K134" s="1895"/>
      <c r="L134" s="1895"/>
      <c r="M134" s="1895"/>
      <c r="N134" s="1895"/>
      <c r="O134" s="1959"/>
      <c r="P134" s="1959"/>
      <c r="Q134" s="1959"/>
      <c r="R134" s="1959"/>
      <c r="S134" s="1959"/>
      <c r="T134" s="1959"/>
      <c r="U134" s="1959"/>
      <c r="V134" s="1959"/>
      <c r="W134" s="1959"/>
      <c r="X134" s="1959"/>
      <c r="Y134" s="1959"/>
      <c r="Z134" s="1895"/>
    </row>
    <row r="135" spans="1:26" x14ac:dyDescent="0.2">
      <c r="A135" s="1959"/>
      <c r="D135" s="1895"/>
      <c r="E135" s="1895"/>
      <c r="F135" s="1895"/>
      <c r="G135" s="1895"/>
      <c r="H135" s="1895"/>
      <c r="I135" s="1895"/>
      <c r="J135" s="1895"/>
      <c r="K135" s="1895"/>
      <c r="L135" s="1895"/>
      <c r="M135" s="1895"/>
      <c r="N135" s="1895"/>
      <c r="O135" s="1959"/>
      <c r="P135" s="1959"/>
      <c r="Q135" s="1959"/>
      <c r="R135" s="1959"/>
      <c r="S135" s="1959"/>
      <c r="T135" s="1959"/>
      <c r="U135" s="1959"/>
      <c r="V135" s="1959"/>
      <c r="W135" s="1959"/>
      <c r="X135" s="1959"/>
      <c r="Y135" s="1959"/>
      <c r="Z135" s="1895"/>
    </row>
    <row r="136" spans="1:26" x14ac:dyDescent="0.2">
      <c r="A136" s="1959"/>
      <c r="D136" s="1895"/>
      <c r="E136" s="1895"/>
      <c r="F136" s="1895"/>
      <c r="G136" s="1895"/>
      <c r="H136" s="1895"/>
      <c r="I136" s="1895"/>
      <c r="J136" s="1895"/>
      <c r="K136" s="1895"/>
      <c r="L136" s="1895"/>
      <c r="M136" s="1895"/>
      <c r="N136" s="1895"/>
      <c r="O136" s="1959"/>
      <c r="P136" s="1959"/>
      <c r="Q136" s="1959"/>
      <c r="R136" s="1959"/>
      <c r="S136" s="1959"/>
      <c r="T136" s="1959"/>
      <c r="U136" s="1959"/>
      <c r="V136" s="1959"/>
      <c r="W136" s="1959"/>
      <c r="X136" s="1959"/>
      <c r="Y136" s="1959"/>
      <c r="Z136" s="1895"/>
    </row>
    <row r="137" spans="1:26" x14ac:dyDescent="0.2">
      <c r="A137" s="1959"/>
      <c r="D137" s="1895"/>
      <c r="E137" s="1895"/>
      <c r="F137" s="1895"/>
      <c r="G137" s="1895"/>
      <c r="H137" s="1895"/>
      <c r="I137" s="1895"/>
      <c r="J137" s="1895"/>
      <c r="K137" s="1895"/>
      <c r="L137" s="1895"/>
      <c r="M137" s="1895"/>
      <c r="N137" s="1895"/>
      <c r="O137" s="1959"/>
      <c r="P137" s="1959"/>
      <c r="Q137" s="1959"/>
      <c r="R137" s="1959"/>
      <c r="S137" s="1959"/>
      <c r="T137" s="1959"/>
      <c r="U137" s="1959"/>
      <c r="V137" s="1959"/>
      <c r="W137" s="1959"/>
      <c r="X137" s="1959"/>
      <c r="Y137" s="1959"/>
      <c r="Z137" s="1895"/>
    </row>
    <row r="138" spans="1:26" x14ac:dyDescent="0.2">
      <c r="A138" s="1961"/>
      <c r="D138" s="1895"/>
      <c r="E138" s="1895"/>
      <c r="F138" s="1895"/>
      <c r="G138" s="1895"/>
      <c r="H138" s="1895"/>
      <c r="I138" s="1895"/>
      <c r="J138" s="1895"/>
      <c r="K138" s="1895"/>
      <c r="L138" s="1895"/>
      <c r="M138" s="1895"/>
      <c r="N138" s="1895"/>
      <c r="O138" s="1959"/>
      <c r="P138" s="1959"/>
      <c r="Q138" s="1959"/>
      <c r="R138" s="1959"/>
      <c r="S138" s="1959"/>
      <c r="T138" s="1959"/>
      <c r="U138" s="1959"/>
      <c r="V138" s="1959"/>
      <c r="W138" s="1959"/>
      <c r="X138" s="1959"/>
      <c r="Y138" s="1959"/>
      <c r="Z138" s="1895"/>
    </row>
    <row r="139" spans="1:26" x14ac:dyDescent="0.2">
      <c r="A139" s="1961"/>
      <c r="D139" s="1895"/>
      <c r="E139" s="1895"/>
      <c r="F139" s="1895"/>
      <c r="G139" s="1895"/>
      <c r="H139" s="1895"/>
      <c r="I139" s="1895"/>
      <c r="J139" s="1895"/>
      <c r="K139" s="1895"/>
      <c r="L139" s="1895"/>
      <c r="M139" s="1895"/>
      <c r="N139" s="1895"/>
      <c r="O139" s="1959"/>
      <c r="P139" s="1959"/>
      <c r="Q139" s="1959"/>
      <c r="R139" s="1959"/>
      <c r="S139" s="1959"/>
      <c r="T139" s="1959"/>
      <c r="U139" s="1959"/>
      <c r="V139" s="1959"/>
      <c r="W139" s="1959"/>
      <c r="X139" s="1959"/>
      <c r="Y139" s="1959"/>
      <c r="Z139" s="1895"/>
    </row>
    <row r="140" spans="1:26" x14ac:dyDescent="0.2">
      <c r="A140" s="1959"/>
      <c r="D140" s="1895"/>
      <c r="E140" s="1895"/>
      <c r="F140" s="1895"/>
      <c r="G140" s="1895"/>
      <c r="H140" s="1895"/>
      <c r="I140" s="1895"/>
      <c r="J140" s="1895"/>
      <c r="K140" s="1895"/>
      <c r="L140" s="1895"/>
      <c r="M140" s="1895"/>
      <c r="N140" s="1895"/>
      <c r="O140" s="1959"/>
      <c r="P140" s="1959"/>
      <c r="Q140" s="1959"/>
      <c r="R140" s="1959"/>
      <c r="S140" s="1959"/>
      <c r="T140" s="1959"/>
      <c r="U140" s="1959"/>
      <c r="V140" s="1959"/>
      <c r="W140" s="1959"/>
      <c r="X140" s="1959"/>
      <c r="Y140" s="1959"/>
      <c r="Z140" s="1895"/>
    </row>
    <row r="141" spans="1:26" x14ac:dyDescent="0.2">
      <c r="A141" s="1959"/>
      <c r="D141" s="1895"/>
      <c r="E141" s="1895"/>
      <c r="F141" s="1895"/>
      <c r="G141" s="1895"/>
      <c r="H141" s="1895"/>
      <c r="I141" s="1895"/>
      <c r="J141" s="1895"/>
      <c r="K141" s="1895"/>
      <c r="L141" s="1895"/>
      <c r="M141" s="1895"/>
      <c r="N141" s="1895"/>
      <c r="O141" s="1959"/>
      <c r="P141" s="1959"/>
      <c r="Q141" s="1959"/>
      <c r="R141" s="1959"/>
      <c r="S141" s="1959"/>
      <c r="T141" s="1959"/>
      <c r="U141" s="1959"/>
      <c r="V141" s="1959"/>
      <c r="W141" s="1959"/>
      <c r="X141" s="1959"/>
      <c r="Y141" s="1959"/>
      <c r="Z141" s="1895"/>
    </row>
    <row r="142" spans="1:26" x14ac:dyDescent="0.2">
      <c r="Y142" s="1894"/>
      <c r="Z142" s="1895"/>
    </row>
    <row r="143" spans="1:26" x14ac:dyDescent="0.2">
      <c r="Y143" s="1894"/>
      <c r="Z143" s="1895"/>
    </row>
    <row r="144" spans="1:26" x14ac:dyDescent="0.2">
      <c r="Y144" s="1894"/>
      <c r="Z144" s="1895"/>
    </row>
    <row r="145" spans="25:26" x14ac:dyDescent="0.2">
      <c r="Y145" s="1894"/>
      <c r="Z145" s="1895"/>
    </row>
    <row r="146" spans="25:26" x14ac:dyDescent="0.2">
      <c r="Y146" s="1894"/>
      <c r="Z146" s="1895"/>
    </row>
    <row r="147" spans="25:26" x14ac:dyDescent="0.2">
      <c r="Y147" s="1894"/>
      <c r="Z147" s="1895"/>
    </row>
    <row r="148" spans="25:26" x14ac:dyDescent="0.2">
      <c r="Y148" s="1894"/>
      <c r="Z148" s="1895"/>
    </row>
    <row r="149" spans="25:26" x14ac:dyDescent="0.2">
      <c r="Y149" s="1894"/>
      <c r="Z149" s="1895"/>
    </row>
    <row r="150" spans="25:26" x14ac:dyDescent="0.2">
      <c r="Y150" s="1894"/>
      <c r="Z150" s="1895"/>
    </row>
    <row r="151" spans="25:26" x14ac:dyDescent="0.2">
      <c r="Y151" s="1894"/>
      <c r="Z151" s="1895"/>
    </row>
    <row r="152" spans="25:26" x14ac:dyDescent="0.2">
      <c r="Y152" s="1894"/>
      <c r="Z152" s="1895"/>
    </row>
    <row r="153" spans="25:26" x14ac:dyDescent="0.2">
      <c r="Y153" s="1894"/>
      <c r="Z153" s="1895"/>
    </row>
    <row r="154" spans="25:26" x14ac:dyDescent="0.2">
      <c r="Y154" s="1894"/>
      <c r="Z154" s="1895"/>
    </row>
    <row r="155" spans="25:26" x14ac:dyDescent="0.2">
      <c r="Y155" s="1894"/>
      <c r="Z155" s="1895"/>
    </row>
    <row r="156" spans="25:26" x14ac:dyDescent="0.2">
      <c r="Y156" s="1894"/>
      <c r="Z156" s="1895"/>
    </row>
    <row r="157" spans="25:26" x14ac:dyDescent="0.2">
      <c r="Y157" s="1894"/>
      <c r="Z157" s="1895"/>
    </row>
    <row r="158" spans="25:26" x14ac:dyDescent="0.2">
      <c r="Y158" s="1894"/>
      <c r="Z158" s="1895"/>
    </row>
    <row r="159" spans="25:26" x14ac:dyDescent="0.2">
      <c r="Y159" s="1894"/>
      <c r="Z159" s="1895"/>
    </row>
    <row r="160" spans="25:26" x14ac:dyDescent="0.2">
      <c r="Y160" s="1894"/>
      <c r="Z160" s="1895"/>
    </row>
    <row r="161" spans="25:26" x14ac:dyDescent="0.2">
      <c r="Y161" s="1894"/>
      <c r="Z161" s="1895"/>
    </row>
    <row r="162" spans="25:26" x14ac:dyDescent="0.2">
      <c r="Y162" s="1894"/>
      <c r="Z162" s="1895"/>
    </row>
    <row r="163" spans="25:26" x14ac:dyDescent="0.2">
      <c r="Y163" s="1894"/>
      <c r="Z163" s="1895"/>
    </row>
    <row r="164" spans="25:26" x14ac:dyDescent="0.2">
      <c r="Y164" s="1894"/>
      <c r="Z164" s="1895"/>
    </row>
    <row r="165" spans="25:26" x14ac:dyDescent="0.2">
      <c r="Y165" s="1894"/>
      <c r="Z165" s="1895"/>
    </row>
    <row r="166" spans="25:26" x14ac:dyDescent="0.2">
      <c r="Y166" s="1894"/>
      <c r="Z166" s="1895"/>
    </row>
    <row r="167" spans="25:26" x14ac:dyDescent="0.2">
      <c r="Y167" s="1894"/>
      <c r="Z167" s="1895"/>
    </row>
    <row r="168" spans="25:26" x14ac:dyDescent="0.2">
      <c r="Y168" s="1894"/>
      <c r="Z168" s="1895"/>
    </row>
    <row r="169" spans="25:26" x14ac:dyDescent="0.2">
      <c r="Y169" s="1894"/>
      <c r="Z169" s="1895"/>
    </row>
    <row r="170" spans="25:26" x14ac:dyDescent="0.2">
      <c r="Y170" s="1894"/>
      <c r="Z170" s="1895"/>
    </row>
    <row r="171" spans="25:26" x14ac:dyDescent="0.2">
      <c r="Y171" s="1894"/>
      <c r="Z171" s="1895"/>
    </row>
    <row r="172" spans="25:26" x14ac:dyDescent="0.2">
      <c r="Y172" s="1894"/>
      <c r="Z172" s="1895"/>
    </row>
    <row r="173" spans="25:26" x14ac:dyDescent="0.2">
      <c r="Y173" s="1894"/>
      <c r="Z173" s="1895"/>
    </row>
    <row r="174" spans="25:26" x14ac:dyDescent="0.2">
      <c r="Y174" s="1894"/>
      <c r="Z174" s="1895"/>
    </row>
    <row r="175" spans="25:26" x14ac:dyDescent="0.2">
      <c r="Y175" s="1894"/>
      <c r="Z175" s="1895"/>
    </row>
    <row r="176" spans="25:26" x14ac:dyDescent="0.2">
      <c r="Y176" s="1894"/>
      <c r="Z176" s="1895"/>
    </row>
    <row r="177" spans="25:26" x14ac:dyDescent="0.2">
      <c r="Y177" s="1894"/>
      <c r="Z177" s="1895"/>
    </row>
    <row r="178" spans="25:26" x14ac:dyDescent="0.2">
      <c r="Y178" s="1894"/>
      <c r="Z178" s="1895"/>
    </row>
  </sheetData>
  <mergeCells count="3">
    <mergeCell ref="D3:N3"/>
    <mergeCell ref="R32:S32"/>
    <mergeCell ref="G73:H73"/>
  </mergeCells>
  <printOptions horizontalCentered="1"/>
  <pageMargins left="0.7" right="0.5" top="0.5" bottom="0.25" header="0.3" footer="0.3"/>
  <pageSetup paperSize="9" scale="76" orientation="portrait" horizontalDpi="4294967293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AJ167"/>
  <sheetViews>
    <sheetView showGridLines="0" view="pageBreakPreview" zoomScaleSheetLayoutView="100" workbookViewId="0">
      <selection activeCell="Q52" sqref="Q52"/>
    </sheetView>
  </sheetViews>
  <sheetFormatPr defaultColWidth="16.28515625" defaultRowHeight="13.5" x14ac:dyDescent="0.2"/>
  <cols>
    <col min="1" max="1" width="1.28515625" style="1894" customWidth="1"/>
    <col min="2" max="2" width="15.42578125" style="1895" hidden="1" customWidth="1"/>
    <col min="3" max="3" width="18.7109375" style="1895" hidden="1" customWidth="1"/>
    <col min="4" max="4" width="5.7109375" style="1894" customWidth="1"/>
    <col min="5" max="5" width="1.7109375" style="1894" customWidth="1"/>
    <col min="6" max="6" width="15.7109375" style="1894" customWidth="1"/>
    <col min="7" max="7" width="1.5703125" style="1894" customWidth="1"/>
    <col min="8" max="9" width="16.7109375" style="1894" customWidth="1"/>
    <col min="10" max="10" width="1.7109375" style="1894" customWidth="1"/>
    <col min="11" max="13" width="7.7109375" style="1894" customWidth="1"/>
    <col min="14" max="14" width="27.7109375" style="1894" bestFit="1" customWidth="1"/>
    <col min="15" max="15" width="5.7109375" style="1894" customWidth="1"/>
    <col min="16" max="16" width="1.7109375" style="1894" customWidth="1"/>
    <col min="17" max="17" width="13.7109375" style="1894" bestFit="1" customWidth="1"/>
    <col min="18" max="18" width="1.42578125" style="1894" customWidth="1"/>
    <col min="19" max="19" width="8.28515625" style="1894" bestFit="1" customWidth="1"/>
    <col min="20" max="20" width="6.28515625" style="1894" bestFit="1" customWidth="1"/>
    <col min="21" max="21" width="1.7109375" style="1894" customWidth="1"/>
    <col min="22" max="22" width="6.7109375" style="1894" customWidth="1"/>
    <col min="23" max="23" width="9.7109375" style="1894" customWidth="1"/>
    <col min="24" max="24" width="8.7109375" style="1894" customWidth="1"/>
    <col min="25" max="25" width="16.28515625" style="1895" customWidth="1"/>
    <col min="26" max="26" width="5.7109375" style="1894" customWidth="1"/>
    <col min="27" max="27" width="1.7109375" style="1894" customWidth="1"/>
    <col min="28" max="28" width="18" style="1894" customWidth="1"/>
    <col min="29" max="29" width="1.42578125" style="1894" customWidth="1"/>
    <col min="30" max="30" width="10.7109375" style="1894" customWidth="1"/>
    <col min="31" max="31" width="7.7109375" style="1894" customWidth="1"/>
    <col min="32" max="32" width="11.42578125" style="1894" customWidth="1"/>
    <col min="33" max="33" width="1.7109375" style="1894" customWidth="1"/>
    <col min="34" max="34" width="6.7109375" style="1894" customWidth="1"/>
    <col min="35" max="35" width="7.7109375" style="1894" customWidth="1"/>
    <col min="36" max="36" width="10" style="1894" customWidth="1"/>
    <col min="37" max="37" width="17.28515625" style="1895" customWidth="1"/>
    <col min="38" max="245" width="9.28515625" style="1895" customWidth="1"/>
    <col min="246" max="246" width="6.7109375" style="1895" customWidth="1"/>
    <col min="247" max="247" width="1.7109375" style="1895" customWidth="1"/>
    <col min="248" max="248" width="23.7109375" style="1895" customWidth="1"/>
    <col min="249" max="249" width="1.28515625" style="1895" customWidth="1"/>
    <col min="250" max="251" width="8.7109375" style="1895" customWidth="1"/>
    <col min="252" max="252" width="12.28515625" style="1895" customWidth="1"/>
    <col min="253" max="253" width="15.7109375" style="1895" customWidth="1"/>
    <col min="254" max="255" width="1.7109375" style="1895" customWidth="1"/>
    <col min="256" max="16384" width="16.28515625" style="1895"/>
  </cols>
  <sheetData>
    <row r="2" spans="1:26" ht="15.75" x14ac:dyDescent="0.2">
      <c r="D2" s="3238" t="s">
        <v>513</v>
      </c>
      <c r="E2" s="3238"/>
      <c r="F2" s="3238"/>
      <c r="G2" s="3238"/>
      <c r="H2" s="3238"/>
      <c r="I2" s="3238"/>
      <c r="J2" s="3238"/>
      <c r="K2" s="3238"/>
      <c r="L2" s="3238"/>
      <c r="M2" s="3238"/>
      <c r="N2" s="3238"/>
    </row>
    <row r="4" spans="1:26" x14ac:dyDescent="0.2">
      <c r="A4" s="1896"/>
      <c r="B4" s="1896"/>
      <c r="D4" s="1897" t="s">
        <v>454</v>
      </c>
      <c r="E4" s="1897"/>
      <c r="F4" s="1897"/>
      <c r="G4" s="1897" t="s">
        <v>308</v>
      </c>
      <c r="H4" s="1898" t="s">
        <v>450</v>
      </c>
      <c r="I4" s="1896"/>
      <c r="J4" s="1896"/>
      <c r="K4" s="1896"/>
      <c r="L4" s="1896"/>
      <c r="M4" s="1896"/>
      <c r="N4" s="1896"/>
      <c r="O4" s="1899"/>
      <c r="P4" s="1899"/>
      <c r="R4" s="1897"/>
      <c r="S4" s="1899"/>
      <c r="T4" s="1896"/>
      <c r="U4" s="1896"/>
      <c r="V4" s="1896"/>
      <c r="W4" s="1900"/>
      <c r="X4" s="1899"/>
      <c r="Y4" s="1899"/>
      <c r="Z4" s="1895"/>
    </row>
    <row r="5" spans="1:26" x14ac:dyDescent="0.2">
      <c r="A5" s="1901"/>
      <c r="B5" s="1896"/>
      <c r="D5" s="1897" t="s">
        <v>455</v>
      </c>
      <c r="E5" s="1897"/>
      <c r="F5" s="1897"/>
      <c r="G5" s="1897" t="s">
        <v>308</v>
      </c>
      <c r="H5" s="1898" t="s">
        <v>456</v>
      </c>
      <c r="I5" s="1896"/>
      <c r="J5" s="1896"/>
      <c r="K5" s="1896"/>
      <c r="M5" s="1902"/>
      <c r="N5" s="1903" t="s">
        <v>457</v>
      </c>
      <c r="O5" s="1899"/>
      <c r="P5" s="1899"/>
      <c r="Q5" s="1899"/>
      <c r="R5" s="1897"/>
      <c r="S5" s="1899"/>
      <c r="T5" s="1896"/>
      <c r="U5" s="1896"/>
      <c r="V5" s="1896"/>
      <c r="X5" s="1902"/>
      <c r="Y5" s="1902"/>
      <c r="Z5" s="1895"/>
    </row>
    <row r="6" spans="1:26" ht="14.25" thickBot="1" x14ac:dyDescent="0.25">
      <c r="A6" s="1901"/>
      <c r="B6" s="1896"/>
      <c r="D6" s="1896"/>
      <c r="E6" s="1896"/>
      <c r="F6" s="1896"/>
      <c r="G6" s="1896"/>
      <c r="H6" s="1896"/>
      <c r="I6" s="1896"/>
      <c r="J6" s="1896"/>
      <c r="K6" s="1896"/>
      <c r="L6" s="1896"/>
      <c r="M6" s="1896"/>
      <c r="N6" s="1896"/>
      <c r="O6" s="1896"/>
      <c r="P6" s="1896"/>
      <c r="Q6" s="1896"/>
      <c r="R6" s="1896"/>
      <c r="S6" s="1896"/>
      <c r="T6" s="1896"/>
      <c r="U6" s="1896"/>
      <c r="V6" s="1896"/>
      <c r="W6" s="1900"/>
      <c r="X6" s="1896"/>
      <c r="Y6" s="1904"/>
      <c r="Z6" s="1895"/>
    </row>
    <row r="7" spans="1:26" x14ac:dyDescent="0.2">
      <c r="A7" s="1901"/>
      <c r="B7" s="1896"/>
      <c r="D7" s="1905"/>
      <c r="E7" s="1906"/>
      <c r="F7" s="1907"/>
      <c r="G7" s="1907"/>
      <c r="H7" s="1907"/>
      <c r="I7" s="1907"/>
      <c r="J7" s="1907"/>
      <c r="K7" s="1906"/>
      <c r="L7" s="1906"/>
      <c r="M7" s="1906"/>
      <c r="N7" s="1908"/>
      <c r="O7" s="1909"/>
      <c r="P7" s="1896"/>
      <c r="Q7" s="1896"/>
      <c r="R7" s="1896"/>
      <c r="S7" s="1896"/>
      <c r="T7" s="1896"/>
      <c r="U7" s="1896"/>
      <c r="V7" s="1896"/>
      <c r="W7" s="1900"/>
      <c r="X7" s="1896"/>
      <c r="Y7" s="1896"/>
      <c r="Z7" s="1895"/>
    </row>
    <row r="8" spans="1:26" x14ac:dyDescent="0.2">
      <c r="A8" s="1896"/>
      <c r="B8" s="1896"/>
      <c r="D8" s="1910" t="s">
        <v>12</v>
      </c>
      <c r="E8" s="1911"/>
      <c r="F8" s="1912" t="s">
        <v>363</v>
      </c>
      <c r="G8" s="1912"/>
      <c r="H8" s="1912"/>
      <c r="I8" s="1912"/>
      <c r="J8" s="1912"/>
      <c r="K8" s="1913" t="s">
        <v>364</v>
      </c>
      <c r="L8" s="1913" t="s">
        <v>365</v>
      </c>
      <c r="M8" s="1913" t="s">
        <v>458</v>
      </c>
      <c r="N8" s="1914" t="s">
        <v>95</v>
      </c>
      <c r="O8" s="1915"/>
      <c r="P8" s="1899"/>
      <c r="Q8" s="1916"/>
      <c r="R8" s="1916"/>
      <c r="S8" s="1916"/>
      <c r="T8" s="1916"/>
      <c r="U8" s="1916"/>
      <c r="V8" s="1917"/>
      <c r="W8" s="1917"/>
      <c r="X8" s="1917"/>
      <c r="Y8" s="1917"/>
      <c r="Z8" s="1895"/>
    </row>
    <row r="9" spans="1:26" ht="14.25" thickBot="1" x14ac:dyDescent="0.25">
      <c r="A9" s="1896"/>
      <c r="B9" s="1896"/>
      <c r="D9" s="1918"/>
      <c r="E9" s="1919"/>
      <c r="F9" s="1920"/>
      <c r="G9" s="1920"/>
      <c r="H9" s="1920"/>
      <c r="I9" s="1920"/>
      <c r="J9" s="1920"/>
      <c r="K9" s="1919"/>
      <c r="L9" s="1919"/>
      <c r="M9" s="1919"/>
      <c r="N9" s="1921"/>
      <c r="O9" s="1909"/>
      <c r="P9" s="1896"/>
      <c r="Q9" s="1896"/>
      <c r="R9" s="1896"/>
      <c r="S9" s="1896"/>
      <c r="T9" s="1896"/>
      <c r="U9" s="1896"/>
      <c r="V9" s="1896"/>
      <c r="W9" s="1900"/>
      <c r="X9" s="1896"/>
      <c r="Y9" s="1896"/>
      <c r="Z9" s="1895"/>
    </row>
    <row r="10" spans="1:26" x14ac:dyDescent="0.2">
      <c r="A10" s="1922"/>
      <c r="D10" s="1923"/>
      <c r="E10" s="1924"/>
      <c r="F10" s="1909"/>
      <c r="G10" s="1909"/>
      <c r="H10" s="1909"/>
      <c r="I10" s="1909"/>
      <c r="J10" s="1909"/>
      <c r="K10" s="1924"/>
      <c r="L10" s="1925"/>
      <c r="M10" s="1924"/>
      <c r="N10" s="1926"/>
      <c r="O10" s="1909"/>
      <c r="P10" s="1896"/>
      <c r="Q10" s="1896"/>
      <c r="R10" s="1896"/>
      <c r="S10" s="1896"/>
      <c r="T10" s="1896"/>
      <c r="U10" s="1896"/>
      <c r="V10" s="1896"/>
      <c r="W10" s="1900"/>
      <c r="X10" s="1896"/>
      <c r="Y10" s="1896"/>
      <c r="Z10" s="1895"/>
    </row>
    <row r="11" spans="1:26" x14ac:dyDescent="0.2">
      <c r="A11" s="1922"/>
      <c r="D11" s="1927" t="s">
        <v>459</v>
      </c>
      <c r="E11" s="1911"/>
      <c r="F11" s="1928" t="s">
        <v>460</v>
      </c>
      <c r="G11" s="1928"/>
      <c r="H11" s="1909"/>
      <c r="I11" s="1909"/>
      <c r="J11" s="1909"/>
      <c r="K11" s="1924"/>
      <c r="L11" s="1925"/>
      <c r="M11" s="1924"/>
      <c r="N11" s="1926"/>
      <c r="O11" s="1928"/>
      <c r="P11" s="1899"/>
      <c r="Q11" s="1899"/>
      <c r="R11" s="1899"/>
      <c r="S11" s="1896"/>
      <c r="T11" s="1896"/>
      <c r="U11" s="1896"/>
      <c r="V11" s="1896"/>
      <c r="W11" s="1896"/>
      <c r="X11" s="1896"/>
      <c r="Y11" s="1896"/>
      <c r="Z11" s="1895"/>
    </row>
    <row r="12" spans="1:26" x14ac:dyDescent="0.2">
      <c r="A12" s="1922"/>
      <c r="D12" s="1930">
        <v>1</v>
      </c>
      <c r="E12" s="1924"/>
      <c r="F12" s="1909" t="s">
        <v>514</v>
      </c>
      <c r="G12" s="1909"/>
      <c r="H12" s="1909"/>
      <c r="I12" s="1909"/>
      <c r="J12" s="1909"/>
      <c r="K12" s="1924"/>
      <c r="L12" s="1925"/>
      <c r="M12" s="1924"/>
      <c r="N12" s="1926"/>
      <c r="O12" s="1909"/>
      <c r="P12" s="1896"/>
      <c r="Q12" s="1896"/>
      <c r="R12" s="1896"/>
      <c r="S12" s="1896"/>
      <c r="T12" s="1896"/>
      <c r="U12" s="1896"/>
      <c r="V12" s="1931"/>
      <c r="W12" s="1900"/>
      <c r="X12" s="1931"/>
      <c r="Y12" s="1896"/>
      <c r="Z12" s="1895"/>
    </row>
    <row r="13" spans="1:26" x14ac:dyDescent="0.2">
      <c r="A13" s="1922"/>
      <c r="D13" s="1930">
        <f>D12+1</f>
        <v>2</v>
      </c>
      <c r="E13" s="1924"/>
      <c r="F13" s="1909" t="s">
        <v>462</v>
      </c>
      <c r="G13" s="1909"/>
      <c r="H13" s="1909"/>
      <c r="I13" s="1909"/>
      <c r="J13" s="1909"/>
      <c r="K13" s="1924"/>
      <c r="L13" s="1925"/>
      <c r="M13" s="1924"/>
      <c r="N13" s="1926"/>
      <c r="O13" s="1909"/>
      <c r="P13" s="1896"/>
      <c r="Q13" s="1896"/>
      <c r="R13" s="1896"/>
      <c r="S13" s="1896"/>
      <c r="T13" s="1896"/>
      <c r="U13" s="1896"/>
      <c r="V13" s="1931"/>
      <c r="W13" s="1900"/>
      <c r="X13" s="1931"/>
      <c r="Y13" s="1896"/>
      <c r="Z13" s="1895"/>
    </row>
    <row r="14" spans="1:26" x14ac:dyDescent="0.2">
      <c r="A14" s="1932"/>
      <c r="B14" s="1933" t="e">
        <f>#REF!</f>
        <v>#REF!</v>
      </c>
      <c r="C14" s="1934" t="e">
        <f>#REF!</f>
        <v>#REF!</v>
      </c>
      <c r="D14" s="1930">
        <f>D13+1</f>
        <v>3</v>
      </c>
      <c r="E14" s="1924"/>
      <c r="F14" s="1935" t="s">
        <v>356</v>
      </c>
      <c r="G14" s="1935"/>
      <c r="H14" s="1935"/>
      <c r="I14" s="1935"/>
      <c r="J14" s="1935"/>
      <c r="K14" s="1936" t="s">
        <v>463</v>
      </c>
      <c r="L14" s="1937">
        <f>VLOOKUP(F14,ID!$B$3:$I$20,3,FALSE)</f>
        <v>8</v>
      </c>
      <c r="M14" s="1936" t="s">
        <v>464</v>
      </c>
      <c r="N14" s="1926"/>
      <c r="O14" s="1909"/>
      <c r="P14" s="1896"/>
      <c r="Q14" s="1938"/>
      <c r="R14" s="1896"/>
      <c r="S14" s="1896"/>
      <c r="T14" s="1896"/>
      <c r="U14" s="1896"/>
      <c r="V14" s="1931"/>
      <c r="W14" s="1939"/>
      <c r="X14" s="1931"/>
      <c r="Y14" s="1896"/>
      <c r="Z14" s="1895"/>
    </row>
    <row r="15" spans="1:26" x14ac:dyDescent="0.2">
      <c r="A15" s="1932"/>
      <c r="D15" s="1930">
        <f>D14+1</f>
        <v>4</v>
      </c>
      <c r="E15" s="1924"/>
      <c r="F15" s="1909" t="s">
        <v>465</v>
      </c>
      <c r="G15" s="1909"/>
      <c r="H15" s="1909"/>
      <c r="I15" s="1909"/>
      <c r="J15" s="1909"/>
      <c r="K15" s="1940" t="s">
        <v>466</v>
      </c>
      <c r="L15" s="1941">
        <v>0.3</v>
      </c>
      <c r="M15" s="1940" t="s">
        <v>8</v>
      </c>
      <c r="N15" s="2149"/>
      <c r="O15" s="1909"/>
      <c r="P15" s="1896"/>
      <c r="Q15" s="1896"/>
      <c r="R15" s="1896"/>
      <c r="S15" s="1896"/>
      <c r="T15" s="1896"/>
      <c r="U15" s="1896"/>
      <c r="V15" s="1896"/>
      <c r="W15" s="1900"/>
      <c r="X15" s="1896"/>
      <c r="Y15" s="1896"/>
      <c r="Z15" s="1895"/>
    </row>
    <row r="16" spans="1:26" x14ac:dyDescent="0.2">
      <c r="A16" s="1932"/>
      <c r="D16" s="1930">
        <f>D15+1</f>
        <v>5</v>
      </c>
      <c r="E16" s="1924"/>
      <c r="F16" s="1909" t="s">
        <v>515</v>
      </c>
      <c r="G16" s="1909"/>
      <c r="H16" s="1909"/>
      <c r="I16" s="1909"/>
      <c r="J16" s="1909"/>
      <c r="K16" s="1940"/>
      <c r="L16" s="1941"/>
      <c r="M16" s="1940"/>
      <c r="N16" s="2149"/>
      <c r="O16" s="1909"/>
      <c r="P16" s="1896"/>
      <c r="Q16" s="1896"/>
      <c r="R16" s="1896"/>
      <c r="S16" s="1896"/>
      <c r="T16" s="1896"/>
      <c r="U16" s="1896"/>
      <c r="V16" s="1896"/>
      <c r="W16" s="1900"/>
      <c r="X16" s="1896"/>
      <c r="Y16" s="1896"/>
      <c r="Z16" s="1895"/>
    </row>
    <row r="17" spans="1:28" x14ac:dyDescent="0.2">
      <c r="B17" s="1894"/>
      <c r="D17" s="1930"/>
      <c r="E17" s="1924"/>
      <c r="F17" s="1909"/>
      <c r="G17" s="1909"/>
      <c r="H17" s="1909"/>
      <c r="I17" s="1909"/>
      <c r="J17" s="1909"/>
      <c r="K17" s="1924"/>
      <c r="L17" s="1942"/>
      <c r="M17" s="1940"/>
      <c r="N17" s="1926"/>
      <c r="O17" s="1909"/>
      <c r="P17" s="1896"/>
      <c r="Q17" s="1899"/>
      <c r="R17" s="1899"/>
      <c r="S17" s="1899"/>
      <c r="T17" s="1896"/>
      <c r="U17" s="1896"/>
      <c r="V17" s="1896"/>
      <c r="W17" s="1900"/>
      <c r="X17" s="1896"/>
      <c r="Y17" s="1896"/>
      <c r="Z17" s="1895"/>
    </row>
    <row r="18" spans="1:28" x14ac:dyDescent="0.2">
      <c r="A18" s="1943"/>
      <c r="B18" s="1896"/>
      <c r="D18" s="1927" t="s">
        <v>467</v>
      </c>
      <c r="E18" s="1911"/>
      <c r="F18" s="1928" t="s">
        <v>468</v>
      </c>
      <c r="G18" s="1928"/>
      <c r="H18" s="1909"/>
      <c r="I18" s="1909"/>
      <c r="J18" s="1909"/>
      <c r="K18" s="1924"/>
      <c r="L18" s="1942"/>
      <c r="M18" s="1940"/>
      <c r="N18" s="1926"/>
      <c r="O18" s="1909"/>
      <c r="P18" s="1896"/>
      <c r="Q18" s="1896"/>
      <c r="R18" s="1896"/>
      <c r="S18" s="1896"/>
      <c r="T18" s="1896"/>
      <c r="U18" s="1896"/>
      <c r="V18" s="1931"/>
      <c r="W18" s="1944"/>
      <c r="X18" s="1931"/>
      <c r="Y18" s="1896"/>
      <c r="Z18" s="1895"/>
    </row>
    <row r="19" spans="1:28" x14ac:dyDescent="0.2">
      <c r="A19" s="1945"/>
      <c r="B19" s="1896"/>
      <c r="D19" s="1930">
        <v>1</v>
      </c>
      <c r="E19" s="1924"/>
      <c r="F19" s="1909" t="s">
        <v>516</v>
      </c>
      <c r="G19" s="1909"/>
      <c r="H19" s="1909"/>
      <c r="I19" s="1909"/>
      <c r="J19" s="1909"/>
      <c r="K19" s="1924"/>
      <c r="L19" s="1941"/>
      <c r="M19" s="1940"/>
      <c r="N19" s="1926"/>
      <c r="O19" s="1909"/>
      <c r="P19" s="1896"/>
      <c r="Q19" s="1896"/>
      <c r="R19" s="1896"/>
      <c r="S19" s="1899"/>
      <c r="T19" s="1896"/>
      <c r="U19" s="1896"/>
      <c r="V19" s="1931"/>
      <c r="W19" s="1944"/>
      <c r="X19" s="1931"/>
      <c r="Y19" s="1896"/>
      <c r="Z19" s="1895"/>
      <c r="AB19" s="1894">
        <f>W19*7</f>
        <v>0</v>
      </c>
    </row>
    <row r="20" spans="1:28" x14ac:dyDescent="0.2">
      <c r="A20" s="1945"/>
      <c r="B20" s="1896"/>
      <c r="D20" s="1930"/>
      <c r="E20" s="1924"/>
      <c r="F20" s="1909" t="s">
        <v>517</v>
      </c>
      <c r="G20" s="1909"/>
      <c r="H20" s="1909"/>
      <c r="I20" s="1909"/>
      <c r="J20" s="1909"/>
      <c r="K20" s="1924"/>
      <c r="L20" s="1941"/>
      <c r="M20" s="1940"/>
      <c r="N20" s="1926"/>
      <c r="O20" s="1909"/>
      <c r="P20" s="1896"/>
      <c r="Q20" s="1896"/>
      <c r="R20" s="1896"/>
      <c r="S20" s="1896"/>
      <c r="T20" s="1896"/>
      <c r="U20" s="1896"/>
      <c r="V20" s="1896"/>
      <c r="W20" s="1900"/>
      <c r="X20" s="1896"/>
      <c r="Y20" s="1896"/>
      <c r="Z20" s="1895"/>
    </row>
    <row r="21" spans="1:28" x14ac:dyDescent="0.2">
      <c r="A21" s="1945"/>
      <c r="B21" s="1896"/>
      <c r="D21" s="1930">
        <v>2</v>
      </c>
      <c r="E21" s="1924"/>
      <c r="F21" s="1909" t="s">
        <v>518</v>
      </c>
      <c r="G21" s="1909"/>
      <c r="H21" s="1909"/>
      <c r="I21" s="1909"/>
      <c r="J21" s="1909"/>
      <c r="K21" s="1924"/>
      <c r="L21" s="1941"/>
      <c r="M21" s="1940"/>
      <c r="N21" s="1926"/>
      <c r="O21" s="1915"/>
      <c r="P21" s="1899"/>
      <c r="Q21" s="1899"/>
      <c r="R21" s="1899"/>
      <c r="S21" s="1896"/>
      <c r="T21" s="1896"/>
      <c r="U21" s="1896"/>
      <c r="V21" s="1896"/>
      <c r="W21" s="1900"/>
      <c r="X21" s="1896"/>
      <c r="Y21" s="1896"/>
      <c r="Z21" s="1895"/>
    </row>
    <row r="22" spans="1:28" x14ac:dyDescent="0.2">
      <c r="A22" s="1947"/>
      <c r="B22" s="1896"/>
      <c r="D22" s="1923"/>
      <c r="E22" s="1924"/>
      <c r="F22" s="1909"/>
      <c r="G22" s="1909"/>
      <c r="H22" s="1909"/>
      <c r="I22" s="1909"/>
      <c r="J22" s="1909"/>
      <c r="K22" s="1940"/>
      <c r="L22" s="1941"/>
      <c r="M22" s="1940"/>
      <c r="N22" s="1926"/>
      <c r="O22" s="1915"/>
      <c r="P22" s="1899"/>
      <c r="Q22" s="1899"/>
      <c r="R22" s="1899"/>
      <c r="S22" s="1896"/>
      <c r="T22" s="1896"/>
      <c r="U22" s="1896"/>
      <c r="V22" s="1896"/>
      <c r="W22" s="1900"/>
      <c r="X22" s="1896"/>
      <c r="Y22" s="1896"/>
      <c r="Z22" s="1895"/>
    </row>
    <row r="23" spans="1:28" x14ac:dyDescent="0.2">
      <c r="A23" s="1947"/>
      <c r="B23" s="1896"/>
      <c r="D23" s="1910" t="s">
        <v>471</v>
      </c>
      <c r="E23" s="1911"/>
      <c r="F23" s="1928" t="s">
        <v>472</v>
      </c>
      <c r="G23" s="1928"/>
      <c r="H23" s="1909"/>
      <c r="I23" s="1909"/>
      <c r="J23" s="1909"/>
      <c r="K23" s="1940"/>
      <c r="L23" s="1941"/>
      <c r="M23" s="1940"/>
      <c r="N23" s="1926"/>
      <c r="O23" s="1909"/>
      <c r="P23" s="1896"/>
      <c r="Q23" s="1896"/>
      <c r="R23" s="1896"/>
      <c r="S23" s="1896"/>
      <c r="T23" s="1896"/>
      <c r="U23" s="1896"/>
      <c r="V23" s="1896"/>
      <c r="W23" s="1900"/>
      <c r="X23" s="1896"/>
      <c r="Y23" s="1896"/>
      <c r="Z23" s="1895"/>
    </row>
    <row r="24" spans="1:28" x14ac:dyDescent="0.2">
      <c r="A24" s="1947"/>
      <c r="B24" s="1896"/>
      <c r="D24" s="1948" t="s">
        <v>473</v>
      </c>
      <c r="E24" s="1911"/>
      <c r="F24" s="1928" t="s">
        <v>54</v>
      </c>
      <c r="G24" s="1928"/>
      <c r="H24" s="1909"/>
      <c r="I24" s="1909"/>
      <c r="J24" s="1909"/>
      <c r="K24" s="1940"/>
      <c r="L24" s="1941"/>
      <c r="M24" s="1940"/>
      <c r="N24" s="1926"/>
      <c r="O24" s="1909"/>
      <c r="P24" s="1896"/>
      <c r="T24" s="1896"/>
      <c r="U24" s="1896"/>
      <c r="V24" s="1896"/>
      <c r="W24" s="1900"/>
      <c r="X24" s="1896"/>
      <c r="Y24" s="1896"/>
      <c r="Z24" s="1895"/>
    </row>
    <row r="25" spans="1:28" x14ac:dyDescent="0.2">
      <c r="A25" s="1949"/>
      <c r="B25" s="1896"/>
      <c r="D25" s="1923"/>
      <c r="E25" s="1924"/>
      <c r="F25" s="1909" t="s">
        <v>22</v>
      </c>
      <c r="G25" s="1909"/>
      <c r="H25" s="1909"/>
      <c r="I25" s="1909"/>
      <c r="J25" s="1909"/>
      <c r="K25" s="1940"/>
      <c r="L25" s="1941">
        <f>(0.251*L29)/0.98</f>
        <v>0.92204081632653057</v>
      </c>
      <c r="M25" s="1940" t="s">
        <v>89</v>
      </c>
      <c r="N25" s="1926"/>
      <c r="O25" s="1909"/>
      <c r="P25" s="1896"/>
      <c r="Q25" s="1951" t="s">
        <v>519</v>
      </c>
      <c r="R25" s="2150" t="s">
        <v>114</v>
      </c>
      <c r="S25" s="1894" t="s">
        <v>520</v>
      </c>
      <c r="T25" s="1896"/>
      <c r="U25" s="1896"/>
      <c r="V25" s="1896"/>
      <c r="W25" s="1900"/>
      <c r="X25" s="1896"/>
      <c r="Y25" s="1896"/>
      <c r="Z25" s="1895"/>
    </row>
    <row r="26" spans="1:28" x14ac:dyDescent="0.2">
      <c r="A26" s="1949"/>
      <c r="B26" s="1896"/>
      <c r="D26" s="1923"/>
      <c r="E26" s="1924"/>
      <c r="F26" s="1909"/>
      <c r="G26" s="1909"/>
      <c r="H26" s="1909"/>
      <c r="I26" s="1909"/>
      <c r="J26" s="1909"/>
      <c r="K26" s="1940"/>
      <c r="L26" s="1925"/>
      <c r="M26" s="1940"/>
      <c r="N26" s="1926"/>
      <c r="O26" s="1909"/>
      <c r="P26" s="1896"/>
      <c r="Q26" s="1951" t="s">
        <v>521</v>
      </c>
      <c r="R26" s="1894" t="s">
        <v>522</v>
      </c>
      <c r="T26" s="1896"/>
      <c r="U26" s="1896"/>
      <c r="V26" s="1896"/>
      <c r="W26" s="1900"/>
      <c r="X26" s="1896"/>
      <c r="Y26" s="1896"/>
      <c r="Z26" s="1895"/>
    </row>
    <row r="27" spans="1:28" x14ac:dyDescent="0.2">
      <c r="A27" s="1949"/>
      <c r="B27" s="1896"/>
      <c r="D27" s="1948" t="s">
        <v>474</v>
      </c>
      <c r="E27" s="1911"/>
      <c r="F27" s="1928" t="s">
        <v>475</v>
      </c>
      <c r="G27" s="1928"/>
      <c r="H27" s="1909"/>
      <c r="I27" s="1909"/>
      <c r="J27" s="1909"/>
      <c r="K27" s="1940"/>
      <c r="L27" s="1925"/>
      <c r="M27" s="1940"/>
      <c r="N27" s="1926"/>
      <c r="O27" s="1909"/>
      <c r="P27" s="1896"/>
      <c r="Q27" s="1896"/>
      <c r="R27" s="1896"/>
      <c r="S27" s="1896"/>
      <c r="T27" s="1896"/>
      <c r="U27" s="1896"/>
      <c r="V27" s="1896"/>
      <c r="W27" s="1896"/>
      <c r="X27" s="1896"/>
      <c r="Y27" s="1896"/>
      <c r="Z27" s="1895"/>
    </row>
    <row r="28" spans="1:28" x14ac:dyDescent="0.2">
      <c r="A28" s="1949"/>
      <c r="B28" s="1896"/>
      <c r="D28" s="1923" t="s">
        <v>476</v>
      </c>
      <c r="E28" s="1924"/>
      <c r="F28" s="1952" t="s">
        <v>450</v>
      </c>
      <c r="G28" s="1952"/>
      <c r="H28" s="1909"/>
      <c r="I28" s="1909"/>
      <c r="J28" s="1909"/>
      <c r="K28" s="1940"/>
      <c r="L28" s="1925"/>
      <c r="M28" s="1940"/>
      <c r="N28" s="1926"/>
      <c r="O28" s="1909"/>
      <c r="P28" s="1896"/>
      <c r="Q28" s="1896"/>
      <c r="R28" s="1896"/>
      <c r="S28" s="1896"/>
      <c r="T28" s="1896"/>
      <c r="U28" s="1896"/>
      <c r="V28" s="1896"/>
      <c r="W28" s="1896"/>
      <c r="X28" s="1896"/>
      <c r="Y28" s="1896"/>
      <c r="Z28" s="1895"/>
    </row>
    <row r="29" spans="1:28" x14ac:dyDescent="0.2">
      <c r="A29" s="1949"/>
      <c r="B29" s="1896"/>
      <c r="D29" s="1923"/>
      <c r="E29" s="1924"/>
      <c r="F29" s="1909" t="s">
        <v>307</v>
      </c>
      <c r="G29" s="1952"/>
      <c r="H29" s="1909"/>
      <c r="I29" s="1909"/>
      <c r="J29" s="1909"/>
      <c r="K29" s="1940" t="s">
        <v>343</v>
      </c>
      <c r="L29" s="1925">
        <f>(L15*3*4)</f>
        <v>3.5999999999999996</v>
      </c>
      <c r="M29" s="1940" t="s">
        <v>8</v>
      </c>
      <c r="N29" s="1926"/>
      <c r="O29" s="1909"/>
      <c r="P29" s="1896"/>
      <c r="Q29" s="1896"/>
      <c r="R29" s="1896"/>
      <c r="S29" s="1896"/>
      <c r="T29" s="1896"/>
      <c r="U29" s="1896"/>
      <c r="V29" s="1896"/>
      <c r="W29" s="1896"/>
      <c r="X29" s="1896"/>
      <c r="Y29" s="1896"/>
      <c r="Z29" s="1895"/>
    </row>
    <row r="30" spans="1:28" x14ac:dyDescent="0.2">
      <c r="A30" s="1949"/>
      <c r="B30" s="1896"/>
      <c r="D30" s="1923"/>
      <c r="E30" s="1924"/>
      <c r="F30" s="1909" t="s">
        <v>523</v>
      </c>
      <c r="G30" s="1952"/>
      <c r="H30" s="1909"/>
      <c r="I30" s="1909"/>
      <c r="J30" s="1909"/>
      <c r="K30" s="1940" t="s">
        <v>524</v>
      </c>
      <c r="L30" s="1925">
        <v>0.83</v>
      </c>
      <c r="M30" s="1940"/>
      <c r="N30" s="1926"/>
      <c r="O30" s="1909"/>
      <c r="P30" s="1896"/>
      <c r="Q30" s="1896"/>
      <c r="R30" s="1896"/>
      <c r="S30" s="1896"/>
      <c r="T30" s="1896"/>
      <c r="U30" s="1896"/>
      <c r="V30" s="1896"/>
      <c r="W30" s="1896"/>
      <c r="X30" s="1896"/>
      <c r="Y30" s="1896"/>
      <c r="Z30" s="1895"/>
    </row>
    <row r="31" spans="1:28" x14ac:dyDescent="0.2">
      <c r="A31" s="1949"/>
      <c r="B31" s="1896"/>
      <c r="D31" s="1923"/>
      <c r="E31" s="1924"/>
      <c r="F31" s="1909" t="s">
        <v>478</v>
      </c>
      <c r="G31" s="1952"/>
      <c r="H31" s="1909"/>
      <c r="I31" s="1909"/>
      <c r="J31" s="1909"/>
      <c r="K31" s="1940"/>
      <c r="L31" s="1925"/>
      <c r="M31" s="1940"/>
      <c r="N31" s="1926"/>
      <c r="O31" s="1909"/>
      <c r="P31" s="1896"/>
      <c r="Q31" s="1896"/>
      <c r="R31" s="1896"/>
      <c r="S31" s="1896"/>
      <c r="T31" s="1896"/>
      <c r="U31" s="1896"/>
      <c r="V31" s="1896"/>
      <c r="W31" s="1896"/>
      <c r="X31" s="1896"/>
      <c r="Y31" s="1896"/>
      <c r="Z31" s="1895"/>
    </row>
    <row r="32" spans="1:28" x14ac:dyDescent="0.2">
      <c r="A32" s="1949"/>
      <c r="B32" s="1896"/>
      <c r="D32" s="1923"/>
      <c r="E32" s="1924"/>
      <c r="F32" s="1953" t="s">
        <v>525</v>
      </c>
      <c r="G32" s="1952"/>
      <c r="H32" s="1909"/>
      <c r="I32" s="1909"/>
      <c r="J32" s="1909"/>
      <c r="K32" s="1940" t="s">
        <v>480</v>
      </c>
      <c r="L32" s="1925">
        <f>750/60</f>
        <v>12.5</v>
      </c>
      <c r="M32" s="1940" t="s">
        <v>481</v>
      </c>
      <c r="N32" s="1926" t="s">
        <v>482</v>
      </c>
      <c r="O32" s="1909"/>
      <c r="P32" s="1896"/>
      <c r="Q32" s="1896"/>
      <c r="R32" s="1896"/>
      <c r="S32" s="1896"/>
      <c r="T32" s="1896"/>
      <c r="U32" s="1896"/>
      <c r="V32" s="1896"/>
      <c r="W32" s="1896"/>
      <c r="X32" s="1896"/>
      <c r="Y32" s="1896"/>
      <c r="Z32" s="1895"/>
    </row>
    <row r="33" spans="1:26" x14ac:dyDescent="0.2">
      <c r="A33" s="1949"/>
      <c r="B33" s="1896"/>
      <c r="D33" s="1923"/>
      <c r="E33" s="1924"/>
      <c r="F33" s="1909"/>
      <c r="G33" s="1952"/>
      <c r="H33" s="1909"/>
      <c r="I33" s="1909"/>
      <c r="J33" s="1909"/>
      <c r="K33" s="1954" t="s">
        <v>483</v>
      </c>
      <c r="L33" s="1955">
        <f>SUM(L32:L32)</f>
        <v>12.5</v>
      </c>
      <c r="M33" s="1956" t="s">
        <v>481</v>
      </c>
      <c r="N33" s="1926"/>
      <c r="O33" s="1909"/>
      <c r="P33" s="1896"/>
      <c r="Q33" s="1896"/>
      <c r="R33" s="1896"/>
      <c r="S33" s="1896"/>
      <c r="T33" s="1896"/>
      <c r="U33" s="1896"/>
      <c r="V33" s="1896"/>
      <c r="W33" s="1896"/>
      <c r="X33" s="1896"/>
      <c r="Y33" s="1896"/>
      <c r="Z33" s="1895"/>
    </row>
    <row r="34" spans="1:26" x14ac:dyDescent="0.2">
      <c r="A34" s="1949"/>
      <c r="B34" s="1896"/>
      <c r="D34" s="1923"/>
      <c r="E34" s="1924"/>
      <c r="F34" s="1909"/>
      <c r="G34" s="1952"/>
      <c r="H34" s="1909"/>
      <c r="I34" s="1909"/>
      <c r="J34" s="1909"/>
      <c r="K34" s="1940"/>
      <c r="L34" s="1925"/>
      <c r="M34" s="1940"/>
      <c r="N34" s="1926"/>
      <c r="O34" s="1909"/>
      <c r="P34" s="1896"/>
      <c r="Q34" s="1896"/>
      <c r="R34" s="1896"/>
      <c r="S34" s="1896"/>
      <c r="T34" s="1896"/>
      <c r="U34" s="1896"/>
      <c r="V34" s="1896"/>
      <c r="W34" s="1896"/>
      <c r="X34" s="1896"/>
      <c r="Y34" s="1896"/>
      <c r="Z34" s="1895"/>
    </row>
    <row r="35" spans="1:26" x14ac:dyDescent="0.2">
      <c r="A35" s="1949"/>
      <c r="B35" s="1896"/>
      <c r="D35" s="1923"/>
      <c r="E35" s="1924"/>
      <c r="F35" s="1909" t="s">
        <v>484</v>
      </c>
      <c r="G35" s="1952"/>
      <c r="H35" s="1952" t="s">
        <v>526</v>
      </c>
      <c r="I35" s="1909"/>
      <c r="J35" s="1909"/>
      <c r="K35" s="1940" t="s">
        <v>486</v>
      </c>
      <c r="L35" s="1925">
        <f>L29*L30*60/L33</f>
        <v>14.342399999999998</v>
      </c>
      <c r="M35" s="1940" t="s">
        <v>487</v>
      </c>
      <c r="N35" s="1926"/>
      <c r="O35" s="1909"/>
      <c r="P35" s="1896"/>
      <c r="Q35" s="1896"/>
      <c r="R35" s="1896"/>
      <c r="S35" s="1896"/>
      <c r="T35" s="1896"/>
      <c r="U35" s="1896"/>
      <c r="V35" s="1896"/>
      <c r="W35" s="1896"/>
      <c r="X35" s="1896"/>
      <c r="Y35" s="1896"/>
      <c r="Z35" s="1895"/>
    </row>
    <row r="36" spans="1:26" x14ac:dyDescent="0.2">
      <c r="A36" s="1949"/>
      <c r="B36" s="1896"/>
      <c r="D36" s="1923"/>
      <c r="E36" s="1924"/>
      <c r="F36" s="1909"/>
      <c r="G36" s="1952"/>
      <c r="H36" s="1909" t="s">
        <v>527</v>
      </c>
      <c r="I36" s="1909"/>
      <c r="J36" s="1909"/>
      <c r="K36" s="1940"/>
      <c r="L36" s="1925"/>
      <c r="M36" s="1940"/>
      <c r="N36" s="1926"/>
      <c r="O36" s="1909"/>
      <c r="P36" s="1896"/>
      <c r="Q36" s="1896"/>
      <c r="R36" s="1896"/>
      <c r="S36" s="1896"/>
      <c r="T36" s="1896"/>
      <c r="U36" s="1896"/>
      <c r="V36" s="1896"/>
      <c r="W36" s="1896"/>
      <c r="X36" s="1896"/>
      <c r="Y36" s="1896"/>
      <c r="Z36" s="1895"/>
    </row>
    <row r="37" spans="1:26" x14ac:dyDescent="0.2">
      <c r="A37" s="1949"/>
      <c r="B37" s="1896"/>
      <c r="D37" s="1923"/>
      <c r="E37" s="1924"/>
      <c r="F37" s="1928" t="s">
        <v>528</v>
      </c>
      <c r="G37" s="1928"/>
      <c r="H37" s="1928" t="s">
        <v>529</v>
      </c>
      <c r="I37" s="1909"/>
      <c r="J37" s="1909"/>
      <c r="K37" s="1940"/>
      <c r="L37" s="1957">
        <f>1/L35</f>
        <v>6.9723337795626963E-2</v>
      </c>
      <c r="M37" s="1940" t="s">
        <v>464</v>
      </c>
      <c r="N37" s="1926"/>
      <c r="O37" s="1909"/>
      <c r="P37" s="1896"/>
      <c r="Q37" s="1958"/>
      <c r="R37" s="1896"/>
      <c r="S37" s="1896"/>
      <c r="T37" s="1896"/>
      <c r="U37" s="1896"/>
      <c r="V37" s="1896"/>
      <c r="W37" s="1896"/>
      <c r="X37" s="1896"/>
      <c r="Y37" s="1896"/>
      <c r="Z37" s="1895"/>
    </row>
    <row r="38" spans="1:26" x14ac:dyDescent="0.2">
      <c r="A38" s="1949"/>
      <c r="B38" s="1896"/>
      <c r="D38" s="1923"/>
      <c r="E38" s="1924"/>
      <c r="F38" s="1909"/>
      <c r="G38" s="1952"/>
      <c r="H38" s="1909"/>
      <c r="I38" s="1909"/>
      <c r="J38" s="1909"/>
      <c r="K38" s="1940"/>
      <c r="L38" s="1925"/>
      <c r="M38" s="1924"/>
      <c r="N38" s="1926"/>
      <c r="O38" s="1909"/>
      <c r="P38" s="1896"/>
      <c r="Q38" s="1896"/>
      <c r="R38" s="1896"/>
      <c r="S38" s="1896"/>
      <c r="T38" s="1896"/>
      <c r="U38" s="1896"/>
      <c r="V38" s="1896"/>
      <c r="W38" s="1896"/>
      <c r="X38" s="1896"/>
      <c r="Y38" s="1896"/>
      <c r="Z38" s="1895"/>
    </row>
    <row r="39" spans="1:26" x14ac:dyDescent="0.2">
      <c r="A39" s="1959"/>
      <c r="D39" s="1923" t="s">
        <v>489</v>
      </c>
      <c r="E39" s="1924"/>
      <c r="F39" s="1952" t="s">
        <v>490</v>
      </c>
      <c r="G39" s="1952"/>
      <c r="H39" s="1909"/>
      <c r="I39" s="1909"/>
      <c r="J39" s="1909"/>
      <c r="K39" s="1924"/>
      <c r="L39" s="1924"/>
      <c r="M39" s="1924"/>
      <c r="N39" s="1926"/>
      <c r="O39" s="1909"/>
      <c r="P39" s="1896"/>
      <c r="Q39" s="1899"/>
      <c r="R39" s="1899"/>
      <c r="S39" s="1896"/>
      <c r="T39" s="1896"/>
      <c r="U39" s="1896"/>
      <c r="V39" s="1896"/>
      <c r="W39" s="1944"/>
      <c r="X39" s="1896"/>
      <c r="Y39" s="1896"/>
      <c r="Z39" s="1895"/>
    </row>
    <row r="40" spans="1:26" x14ac:dyDescent="0.2">
      <c r="A40" s="1959"/>
      <c r="D40" s="1923"/>
      <c r="E40" s="1924"/>
      <c r="F40" s="1909" t="s">
        <v>491</v>
      </c>
      <c r="G40" s="1909"/>
      <c r="H40" s="1909"/>
      <c r="I40" s="1909"/>
      <c r="J40" s="1909"/>
      <c r="K40" s="1924"/>
      <c r="L40" s="1924"/>
      <c r="M40" s="1924"/>
      <c r="N40" s="1960" t="s">
        <v>492</v>
      </c>
      <c r="O40" s="1909"/>
      <c r="P40" s="1896"/>
      <c r="Q40" s="1899"/>
      <c r="R40" s="1899"/>
      <c r="S40" s="1896"/>
      <c r="T40" s="1896"/>
      <c r="U40" s="1896"/>
      <c r="V40" s="1896"/>
      <c r="W40" s="1944"/>
      <c r="X40" s="1896"/>
      <c r="Y40" s="1896"/>
      <c r="Z40" s="1895"/>
    </row>
    <row r="41" spans="1:26" x14ac:dyDescent="0.2">
      <c r="A41" s="1959"/>
      <c r="D41" s="1923"/>
      <c r="E41" s="1924"/>
      <c r="F41" s="1953" t="s">
        <v>493</v>
      </c>
      <c r="G41" s="1909"/>
      <c r="H41" s="1909"/>
      <c r="I41" s="1909"/>
      <c r="J41" s="1909"/>
      <c r="K41" s="1924"/>
      <c r="L41" s="1924"/>
      <c r="M41" s="1924"/>
      <c r="N41" s="1926"/>
      <c r="O41" s="1909"/>
      <c r="P41" s="1896"/>
      <c r="Q41" s="1899"/>
      <c r="R41" s="1899"/>
      <c r="S41" s="1896"/>
      <c r="T41" s="1896"/>
      <c r="U41" s="1896"/>
      <c r="V41" s="1896"/>
      <c r="W41" s="1944"/>
      <c r="X41" s="1896"/>
      <c r="Y41" s="1896"/>
      <c r="Z41" s="1895"/>
    </row>
    <row r="42" spans="1:26" x14ac:dyDescent="0.2">
      <c r="A42" s="1961"/>
      <c r="D42" s="1923"/>
      <c r="E42" s="1924"/>
      <c r="F42" s="1909"/>
      <c r="G42" s="1909"/>
      <c r="H42" s="1909"/>
      <c r="I42" s="1909"/>
      <c r="J42" s="1909"/>
      <c r="K42" s="1924"/>
      <c r="L42" s="1924"/>
      <c r="M42" s="1924"/>
      <c r="N42" s="1926"/>
      <c r="O42" s="1909"/>
      <c r="P42" s="1896"/>
      <c r="Q42" s="1899"/>
      <c r="R42" s="1899"/>
      <c r="S42" s="1896"/>
      <c r="T42" s="1896"/>
      <c r="U42" s="1896"/>
      <c r="V42" s="1896"/>
      <c r="W42" s="1944"/>
      <c r="X42" s="1896"/>
      <c r="Y42" s="1896"/>
      <c r="Z42" s="1895"/>
    </row>
    <row r="43" spans="1:26" x14ac:dyDescent="0.2">
      <c r="A43" s="1961"/>
      <c r="D43" s="1948" t="s">
        <v>494</v>
      </c>
      <c r="E43" s="1911"/>
      <c r="F43" s="1928" t="s">
        <v>42</v>
      </c>
      <c r="G43" s="1928"/>
      <c r="H43" s="1909"/>
      <c r="I43" s="1909"/>
      <c r="J43" s="1909"/>
      <c r="K43" s="1924"/>
      <c r="L43" s="1924"/>
      <c r="M43" s="1924"/>
      <c r="N43" s="1926"/>
      <c r="O43" s="1909"/>
      <c r="P43" s="1896"/>
      <c r="Q43" s="1899"/>
      <c r="R43" s="1899"/>
      <c r="S43" s="1896"/>
      <c r="T43" s="1896"/>
      <c r="U43" s="1896"/>
      <c r="V43" s="1896"/>
      <c r="W43" s="1944"/>
      <c r="X43" s="1896"/>
      <c r="Y43" s="1896"/>
      <c r="Z43" s="1895"/>
    </row>
    <row r="44" spans="1:26" x14ac:dyDescent="0.2">
      <c r="A44" s="1959"/>
      <c r="D44" s="1923"/>
      <c r="E44" s="1924"/>
      <c r="F44" s="1909" t="s">
        <v>530</v>
      </c>
      <c r="G44" s="1909"/>
      <c r="H44" s="1909"/>
      <c r="I44" s="1909"/>
      <c r="J44" s="1909"/>
      <c r="K44" s="1940" t="s">
        <v>486</v>
      </c>
      <c r="L44" s="1925">
        <f>+L35</f>
        <v>14.342399999999998</v>
      </c>
      <c r="M44" s="1940" t="s">
        <v>496</v>
      </c>
      <c r="N44" s="1926"/>
      <c r="O44" s="1909"/>
      <c r="P44" s="1896"/>
      <c r="Q44" s="1896"/>
      <c r="R44" s="1896"/>
      <c r="S44" s="1896"/>
      <c r="T44" s="1896"/>
      <c r="U44" s="1896"/>
      <c r="V44" s="1896"/>
      <c r="W44" s="1900"/>
      <c r="X44" s="1896"/>
      <c r="Y44" s="1896"/>
      <c r="Z44" s="1895"/>
    </row>
    <row r="45" spans="1:26" x14ac:dyDescent="0.2">
      <c r="A45" s="1959"/>
      <c r="D45" s="1923"/>
      <c r="E45" s="1924"/>
      <c r="F45" s="1909" t="s">
        <v>497</v>
      </c>
      <c r="G45" s="1909"/>
      <c r="H45" s="1909"/>
      <c r="I45" s="1909"/>
      <c r="J45" s="1909"/>
      <c r="K45" s="1940" t="s">
        <v>498</v>
      </c>
      <c r="L45" s="1925">
        <f>L14*L44</f>
        <v>114.73919999999998</v>
      </c>
      <c r="M45" s="1940" t="s">
        <v>128</v>
      </c>
      <c r="N45" s="1926"/>
      <c r="O45" s="1896"/>
      <c r="P45" s="1896"/>
      <c r="Q45" s="1896"/>
      <c r="R45" s="1896"/>
      <c r="S45" s="1896"/>
      <c r="T45" s="1896"/>
      <c r="U45" s="1896"/>
      <c r="V45" s="1896"/>
      <c r="W45" s="1896"/>
      <c r="X45" s="1896"/>
      <c r="Y45" s="1896"/>
      <c r="Z45" s="1895"/>
    </row>
    <row r="46" spans="1:26" x14ac:dyDescent="0.2">
      <c r="A46" s="1959"/>
      <c r="D46" s="1923"/>
      <c r="E46" s="1924"/>
      <c r="F46" s="1909" t="s">
        <v>499</v>
      </c>
      <c r="G46" s="1909"/>
      <c r="H46" s="1909"/>
      <c r="I46" s="1909"/>
      <c r="J46" s="1909"/>
      <c r="K46" s="1924"/>
      <c r="L46" s="1925"/>
      <c r="M46" s="1924"/>
      <c r="N46" s="1926"/>
      <c r="O46" s="1959"/>
      <c r="P46" s="1959"/>
      <c r="Q46" s="1959"/>
      <c r="R46" s="1959"/>
      <c r="S46" s="1959"/>
      <c r="T46" s="1959"/>
      <c r="U46" s="1959"/>
      <c r="V46" s="1959"/>
      <c r="W46" s="1959"/>
      <c r="X46" s="1959"/>
      <c r="Y46" s="1959"/>
      <c r="Z46" s="1895"/>
    </row>
    <row r="47" spans="1:26" x14ac:dyDescent="0.2">
      <c r="A47" s="1959"/>
      <c r="D47" s="1923"/>
      <c r="E47" s="1924"/>
      <c r="F47" s="1909"/>
      <c r="G47" s="1909"/>
      <c r="H47" s="1953" t="s">
        <v>500</v>
      </c>
      <c r="I47" s="1909"/>
      <c r="J47" s="1909"/>
      <c r="K47" s="1940" t="s">
        <v>150</v>
      </c>
      <c r="L47" s="1962">
        <v>1</v>
      </c>
      <c r="M47" s="1940" t="s">
        <v>501</v>
      </c>
      <c r="N47" s="1926"/>
      <c r="O47" s="1959"/>
      <c r="P47" s="1959"/>
      <c r="Q47" s="1959"/>
      <c r="R47" s="1959"/>
      <c r="S47" s="1959"/>
      <c r="T47" s="1959"/>
      <c r="U47" s="1959"/>
      <c r="V47" s="1959"/>
      <c r="W47" s="1959"/>
      <c r="X47" s="1959"/>
      <c r="Y47" s="1959"/>
      <c r="Z47" s="1895"/>
    </row>
    <row r="48" spans="1:26" x14ac:dyDescent="0.2">
      <c r="A48" s="1959"/>
      <c r="D48" s="1923"/>
      <c r="E48" s="1924"/>
      <c r="F48" s="1909"/>
      <c r="G48" s="1909"/>
      <c r="H48" s="1953" t="s">
        <v>502</v>
      </c>
      <c r="I48" s="1909"/>
      <c r="J48" s="1909"/>
      <c r="K48" s="1940" t="s">
        <v>152</v>
      </c>
      <c r="L48" s="1962">
        <v>2</v>
      </c>
      <c r="M48" s="1940" t="s">
        <v>501</v>
      </c>
      <c r="N48" s="1926"/>
      <c r="O48" s="1959"/>
      <c r="P48" s="1959"/>
      <c r="Q48" s="1959"/>
      <c r="R48" s="1959"/>
      <c r="S48" s="1959"/>
      <c r="T48" s="1959"/>
      <c r="U48" s="1959"/>
      <c r="V48" s="1959"/>
      <c r="W48" s="1959"/>
      <c r="X48" s="1959"/>
      <c r="Y48" s="1959"/>
      <c r="Z48" s="1895"/>
    </row>
    <row r="49" spans="1:26" x14ac:dyDescent="0.2">
      <c r="A49" s="1959"/>
      <c r="D49" s="1923"/>
      <c r="E49" s="1924"/>
      <c r="F49" s="1909"/>
      <c r="G49" s="1909"/>
      <c r="H49" s="1909" t="s">
        <v>503</v>
      </c>
      <c r="I49" s="1909"/>
      <c r="J49" s="1909"/>
      <c r="K49" s="1940" t="s">
        <v>310</v>
      </c>
      <c r="L49" s="1962">
        <v>1</v>
      </c>
      <c r="M49" s="1940" t="s">
        <v>501</v>
      </c>
      <c r="N49" s="1926"/>
      <c r="O49" s="1959"/>
      <c r="P49" s="1959"/>
      <c r="Q49" s="1959"/>
      <c r="R49" s="1959"/>
      <c r="S49" s="1959"/>
      <c r="T49" s="1959"/>
      <c r="U49" s="1959"/>
      <c r="V49" s="1959"/>
      <c r="W49" s="1959"/>
      <c r="X49" s="1959"/>
      <c r="Y49" s="1959"/>
      <c r="Z49" s="1895"/>
    </row>
    <row r="50" spans="1:26" x14ac:dyDescent="0.2">
      <c r="A50" s="1959"/>
      <c r="D50" s="1923"/>
      <c r="E50" s="1924"/>
      <c r="F50" s="1909"/>
      <c r="G50" s="1909"/>
      <c r="H50" s="1909"/>
      <c r="I50" s="1909"/>
      <c r="J50" s="1909"/>
      <c r="K50" s="1924"/>
      <c r="L50" s="1925"/>
      <c r="M50" s="1924"/>
      <c r="N50" s="1926"/>
      <c r="O50" s="1959"/>
      <c r="P50" s="1959"/>
      <c r="Q50" s="1959"/>
      <c r="R50" s="1959"/>
      <c r="S50" s="1959"/>
      <c r="T50" s="1959"/>
      <c r="U50" s="1959"/>
      <c r="V50" s="1959"/>
      <c r="W50" s="1959"/>
      <c r="X50" s="1959"/>
      <c r="Y50" s="1959"/>
      <c r="Z50" s="1895"/>
    </row>
    <row r="51" spans="1:26" x14ac:dyDescent="0.2">
      <c r="A51" s="1959"/>
      <c r="D51" s="1923"/>
      <c r="E51" s="1924"/>
      <c r="F51" s="1928" t="s">
        <v>504</v>
      </c>
      <c r="G51" s="1928"/>
      <c r="H51" s="1909"/>
      <c r="I51" s="1909"/>
      <c r="J51" s="1909"/>
      <c r="K51" s="1924"/>
      <c r="L51" s="1925"/>
      <c r="M51" s="1924"/>
      <c r="N51" s="1926"/>
      <c r="O51" s="1959"/>
      <c r="P51" s="1959"/>
      <c r="Q51" s="1959"/>
      <c r="R51" s="1959"/>
      <c r="S51" s="1959"/>
      <c r="T51" s="1959"/>
      <c r="U51" s="1959"/>
      <c r="V51" s="1959"/>
      <c r="W51" s="1959"/>
      <c r="X51" s="1959"/>
      <c r="Y51" s="1959"/>
      <c r="Z51" s="1895"/>
    </row>
    <row r="52" spans="1:26" x14ac:dyDescent="0.2">
      <c r="A52" s="1959"/>
      <c r="D52" s="1923"/>
      <c r="E52" s="1924"/>
      <c r="F52" s="1909"/>
      <c r="G52" s="1909"/>
      <c r="H52" s="1928" t="s">
        <v>500</v>
      </c>
      <c r="I52" s="1953" t="s">
        <v>505</v>
      </c>
      <c r="J52" s="1909"/>
      <c r="K52" s="1940"/>
      <c r="L52" s="1957">
        <f>(L14*L47)/L45</f>
        <v>6.9723337795626963E-2</v>
      </c>
      <c r="M52" s="1940" t="s">
        <v>247</v>
      </c>
      <c r="N52" s="1926"/>
      <c r="O52" s="1959"/>
      <c r="P52" s="1959"/>
      <c r="Q52" s="1896"/>
      <c r="R52" s="1959"/>
      <c r="S52" s="1959"/>
      <c r="T52" s="1963"/>
      <c r="U52" s="1959"/>
      <c r="V52" s="1959"/>
      <c r="W52" s="1959"/>
      <c r="X52" s="1959"/>
      <c r="Y52" s="1959"/>
      <c r="Z52" s="1895"/>
    </row>
    <row r="53" spans="1:26" x14ac:dyDescent="0.2">
      <c r="A53" s="1959"/>
      <c r="D53" s="1923"/>
      <c r="E53" s="1924"/>
      <c r="F53" s="1909"/>
      <c r="G53" s="1909"/>
      <c r="H53" s="1964" t="s">
        <v>502</v>
      </c>
      <c r="I53" s="1953" t="s">
        <v>506</v>
      </c>
      <c r="J53" s="1909"/>
      <c r="K53" s="1940"/>
      <c r="L53" s="1957">
        <f>(L14*L48)/L45</f>
        <v>0.13944667559125393</v>
      </c>
      <c r="M53" s="1940" t="s">
        <v>247</v>
      </c>
      <c r="N53" s="1926"/>
      <c r="O53" s="1959"/>
      <c r="P53" s="1959"/>
      <c r="Q53" s="1896"/>
      <c r="R53" s="1959"/>
      <c r="S53" s="1959"/>
      <c r="T53" s="1959"/>
      <c r="U53" s="1959"/>
      <c r="V53" s="1959"/>
      <c r="W53" s="1959"/>
      <c r="X53" s="1959"/>
      <c r="Y53" s="1959"/>
      <c r="Z53" s="1895"/>
    </row>
    <row r="54" spans="1:26" x14ac:dyDescent="0.2">
      <c r="A54" s="1959"/>
      <c r="D54" s="1923"/>
      <c r="E54" s="1924"/>
      <c r="F54" s="1909"/>
      <c r="G54" s="1909"/>
      <c r="H54" s="1928" t="s">
        <v>503</v>
      </c>
      <c r="I54" s="1953" t="s">
        <v>507</v>
      </c>
      <c r="J54" s="1909"/>
      <c r="K54" s="1940"/>
      <c r="L54" s="1957">
        <f>(L14*L49)/L45</f>
        <v>6.9723337795626963E-2</v>
      </c>
      <c r="M54" s="1940" t="s">
        <v>247</v>
      </c>
      <c r="N54" s="1926"/>
      <c r="O54" s="1959"/>
      <c r="P54" s="1959"/>
      <c r="Q54" s="1896"/>
      <c r="R54" s="1959"/>
      <c r="S54" s="1959"/>
      <c r="T54" s="1959"/>
      <c r="U54" s="1959"/>
      <c r="V54" s="1959"/>
      <c r="W54" s="1959"/>
      <c r="X54" s="1959"/>
      <c r="Y54" s="1959"/>
      <c r="Z54" s="1895"/>
    </row>
    <row r="55" spans="1:26" x14ac:dyDescent="0.2">
      <c r="A55" s="1959"/>
      <c r="D55" s="1923"/>
      <c r="E55" s="1924"/>
      <c r="F55" s="1909"/>
      <c r="G55" s="1909"/>
      <c r="H55" s="1909"/>
      <c r="I55" s="1909"/>
      <c r="J55" s="1909"/>
      <c r="K55" s="1924"/>
      <c r="L55" s="1925"/>
      <c r="M55" s="1924"/>
      <c r="N55" s="1926"/>
      <c r="O55" s="1959"/>
      <c r="P55" s="1959"/>
      <c r="Q55" s="1959"/>
      <c r="R55" s="1959"/>
      <c r="S55" s="1959"/>
      <c r="T55" s="1959"/>
      <c r="U55" s="1959"/>
      <c r="V55" s="1959"/>
      <c r="W55" s="1959"/>
      <c r="X55" s="1959"/>
      <c r="Y55" s="1959"/>
      <c r="Z55" s="1895"/>
    </row>
    <row r="56" spans="1:26" x14ac:dyDescent="0.2">
      <c r="A56" s="1959"/>
      <c r="D56" s="1910" t="s">
        <v>508</v>
      </c>
      <c r="E56" s="1911"/>
      <c r="F56" s="1928" t="s">
        <v>509</v>
      </c>
      <c r="G56" s="1928"/>
      <c r="H56" s="1909"/>
      <c r="I56" s="1909"/>
      <c r="J56" s="1909"/>
      <c r="K56" s="1924"/>
      <c r="L56" s="1925"/>
      <c r="M56" s="1924"/>
      <c r="N56" s="1926"/>
      <c r="O56" s="1959"/>
      <c r="P56" s="1959"/>
      <c r="Q56" s="1959"/>
      <c r="R56" s="1959"/>
      <c r="S56" s="1959"/>
      <c r="T56" s="1959"/>
      <c r="U56" s="1959"/>
      <c r="V56" s="1959"/>
      <c r="W56" s="1959"/>
      <c r="X56" s="1959"/>
      <c r="Y56" s="1959"/>
      <c r="Z56" s="1895"/>
    </row>
    <row r="57" spans="1:26" x14ac:dyDescent="0.2">
      <c r="A57" s="1959"/>
      <c r="D57" s="1923"/>
      <c r="E57" s="1924"/>
      <c r="F57" s="1909" t="s">
        <v>510</v>
      </c>
      <c r="G57" s="1909"/>
      <c r="H57" s="1909"/>
      <c r="I57" s="1909"/>
      <c r="J57" s="1909"/>
      <c r="K57" s="1924"/>
      <c r="L57" s="1925"/>
      <c r="M57" s="1924"/>
      <c r="N57" s="1926"/>
      <c r="O57" s="1959"/>
      <c r="P57" s="1959"/>
      <c r="Q57" s="1959"/>
      <c r="R57" s="1959"/>
      <c r="S57" s="1959"/>
      <c r="T57" s="1959"/>
      <c r="U57" s="1959"/>
      <c r="V57" s="1959"/>
      <c r="W57" s="1959"/>
      <c r="X57" s="1959"/>
      <c r="Y57" s="1959"/>
      <c r="Z57" s="1895"/>
    </row>
    <row r="58" spans="1:26" x14ac:dyDescent="0.2">
      <c r="A58" s="1959"/>
      <c r="D58" s="1923"/>
      <c r="E58" s="1924"/>
      <c r="F58" s="1909"/>
      <c r="G58" s="1909"/>
      <c r="H58" s="1909"/>
      <c r="I58" s="1909"/>
      <c r="J58" s="1909"/>
      <c r="K58" s="1924"/>
      <c r="L58" s="1925"/>
      <c r="M58" s="1924"/>
      <c r="N58" s="1926"/>
      <c r="O58" s="1959"/>
      <c r="P58" s="1959"/>
      <c r="Q58" s="1959"/>
      <c r="R58" s="1959"/>
      <c r="S58" s="1959"/>
      <c r="T58" s="1959"/>
      <c r="U58" s="1959"/>
      <c r="V58" s="1959"/>
      <c r="W58" s="1959"/>
      <c r="X58" s="1959"/>
      <c r="Y58" s="1959"/>
      <c r="Z58" s="1895"/>
    </row>
    <row r="59" spans="1:26" x14ac:dyDescent="0.2">
      <c r="A59" s="1959"/>
      <c r="D59" s="1910" t="s">
        <v>511</v>
      </c>
      <c r="E59" s="1911"/>
      <c r="F59" s="1928" t="s">
        <v>512</v>
      </c>
      <c r="G59" s="1928"/>
      <c r="H59" s="1909"/>
      <c r="I59" s="1909"/>
      <c r="J59" s="1909"/>
      <c r="K59" s="1924"/>
      <c r="L59" s="1925"/>
      <c r="M59" s="1924"/>
      <c r="N59" s="1926"/>
      <c r="O59" s="1959"/>
      <c r="P59" s="1959"/>
      <c r="Q59" s="1959"/>
      <c r="R59" s="1959"/>
      <c r="S59" s="1959"/>
      <c r="T59" s="1959"/>
      <c r="U59" s="1959"/>
      <c r="V59" s="1959"/>
      <c r="W59" s="1959"/>
      <c r="X59" s="1959"/>
      <c r="Y59" s="1959"/>
      <c r="Z59" s="1895"/>
    </row>
    <row r="60" spans="1:26" x14ac:dyDescent="0.2">
      <c r="A60" s="1959"/>
      <c r="D60" s="1923"/>
      <c r="E60" s="1924"/>
      <c r="F60" s="1909"/>
      <c r="G60" s="1909"/>
      <c r="H60" s="1909"/>
      <c r="I60" s="1909"/>
      <c r="J60" s="1909"/>
      <c r="K60" s="1924"/>
      <c r="L60" s="1925"/>
      <c r="M60" s="1924"/>
      <c r="N60" s="1926"/>
      <c r="O60" s="1959"/>
      <c r="P60" s="1959"/>
      <c r="Q60" s="1959"/>
      <c r="R60" s="1959"/>
      <c r="S60" s="1959"/>
      <c r="T60" s="1959"/>
      <c r="U60" s="1959"/>
      <c r="V60" s="1959"/>
      <c r="W60" s="1959"/>
      <c r="X60" s="1959"/>
      <c r="Y60" s="1959"/>
      <c r="Z60" s="1895"/>
    </row>
    <row r="61" spans="1:26" x14ac:dyDescent="0.2">
      <c r="A61" s="1959"/>
      <c r="D61" s="1923"/>
      <c r="E61" s="1924"/>
      <c r="F61" s="1965"/>
      <c r="G61" s="1966"/>
      <c r="H61" s="1966"/>
      <c r="I61" s="1967"/>
      <c r="J61" s="1909"/>
      <c r="K61" s="1924"/>
      <c r="L61" s="1925"/>
      <c r="M61" s="1924"/>
      <c r="N61" s="1926"/>
      <c r="O61" s="1959"/>
      <c r="P61" s="1959"/>
      <c r="Q61" s="1959"/>
      <c r="R61" s="1959"/>
      <c r="S61" s="1959"/>
      <c r="T61" s="1959"/>
      <c r="U61" s="1959"/>
      <c r="V61" s="1959"/>
      <c r="W61" s="1959"/>
      <c r="X61" s="1959"/>
      <c r="Y61" s="1959"/>
      <c r="Z61" s="1895"/>
    </row>
    <row r="62" spans="1:26" x14ac:dyDescent="0.2">
      <c r="A62" s="1959"/>
      <c r="D62" s="1923"/>
      <c r="E62" s="1924"/>
      <c r="F62" s="1968"/>
      <c r="G62" s="3241"/>
      <c r="H62" s="3242"/>
      <c r="I62" s="1969"/>
      <c r="J62" s="1909"/>
      <c r="K62" s="1924"/>
      <c r="L62" s="1925"/>
      <c r="M62" s="1924"/>
      <c r="N62" s="1926"/>
      <c r="O62" s="1959"/>
      <c r="P62" s="1959"/>
      <c r="Q62" s="1959"/>
      <c r="R62" s="1959"/>
      <c r="S62" s="1959"/>
      <c r="T62" s="1959"/>
      <c r="U62" s="1959"/>
      <c r="V62" s="1959"/>
      <c r="W62" s="1959"/>
      <c r="X62" s="1959"/>
      <c r="Y62" s="1959"/>
      <c r="Z62" s="1895"/>
    </row>
    <row r="63" spans="1:26" x14ac:dyDescent="0.2">
      <c r="A63" s="1959"/>
      <c r="D63" s="1923"/>
      <c r="E63" s="1924"/>
      <c r="F63" s="1970"/>
      <c r="G63" s="1971"/>
      <c r="H63" s="1971"/>
      <c r="I63" s="1972"/>
      <c r="J63" s="1909"/>
      <c r="K63" s="1924"/>
      <c r="L63" s="1925"/>
      <c r="M63" s="1924"/>
      <c r="N63" s="1926"/>
      <c r="O63" s="1959"/>
      <c r="P63" s="1959"/>
      <c r="Q63" s="1959"/>
      <c r="R63" s="1959"/>
      <c r="S63" s="1959"/>
      <c r="T63" s="1959"/>
      <c r="U63" s="1959"/>
      <c r="V63" s="1959"/>
      <c r="W63" s="1959"/>
      <c r="X63" s="1959"/>
      <c r="Y63" s="1959"/>
      <c r="Z63" s="1895"/>
    </row>
    <row r="64" spans="1:26" ht="14.25" thickBot="1" x14ac:dyDescent="0.25">
      <c r="A64" s="1959"/>
      <c r="D64" s="1918"/>
      <c r="E64" s="1919"/>
      <c r="F64" s="1920"/>
      <c r="G64" s="1920"/>
      <c r="H64" s="1920"/>
      <c r="I64" s="1920"/>
      <c r="J64" s="1920"/>
      <c r="K64" s="1919"/>
      <c r="L64" s="1919"/>
      <c r="M64" s="1919"/>
      <c r="N64" s="1973"/>
      <c r="O64" s="1959"/>
      <c r="P64" s="1959"/>
      <c r="Q64" s="1959"/>
      <c r="R64" s="1959"/>
      <c r="S64" s="1959"/>
      <c r="T64" s="1959"/>
      <c r="U64" s="1959"/>
      <c r="V64" s="1959"/>
      <c r="W64" s="1959"/>
      <c r="X64" s="1959"/>
      <c r="Y64" s="1959"/>
      <c r="Z64" s="1895"/>
    </row>
    <row r="65" spans="1:26" x14ac:dyDescent="0.2">
      <c r="A65" s="1959"/>
      <c r="D65" s="1895"/>
      <c r="E65" s="1895"/>
      <c r="F65" s="1895"/>
      <c r="G65" s="1895"/>
      <c r="H65" s="1895"/>
      <c r="I65" s="1895"/>
      <c r="J65" s="1895"/>
      <c r="K65" s="1895"/>
      <c r="L65" s="1895"/>
      <c r="M65" s="1895"/>
      <c r="N65" s="1895"/>
      <c r="O65" s="1959"/>
      <c r="P65" s="1959"/>
      <c r="Q65" s="1959"/>
      <c r="R65" s="1959"/>
      <c r="S65" s="1959"/>
      <c r="T65" s="1959"/>
      <c r="U65" s="1959"/>
      <c r="V65" s="1959"/>
      <c r="W65" s="1959"/>
      <c r="X65" s="1959"/>
      <c r="Y65" s="1959"/>
      <c r="Z65" s="1895"/>
    </row>
    <row r="66" spans="1:26" x14ac:dyDescent="0.2">
      <c r="A66" s="1959"/>
      <c r="D66" s="1895"/>
      <c r="E66" s="1895"/>
      <c r="F66" s="1895"/>
      <c r="G66" s="1895"/>
      <c r="H66" s="1895"/>
      <c r="I66" s="1895"/>
      <c r="J66" s="1895"/>
      <c r="K66" s="1895"/>
      <c r="L66" s="1895"/>
      <c r="M66" s="1895"/>
      <c r="N66" s="1895"/>
      <c r="O66" s="1959"/>
      <c r="P66" s="1959"/>
      <c r="Q66" s="1959"/>
      <c r="R66" s="1959"/>
      <c r="S66" s="1959"/>
      <c r="T66" s="1959"/>
      <c r="U66" s="1959"/>
      <c r="V66" s="1959"/>
      <c r="W66" s="1959"/>
      <c r="X66" s="1959"/>
      <c r="Y66" s="1959"/>
      <c r="Z66" s="1895"/>
    </row>
    <row r="67" spans="1:26" x14ac:dyDescent="0.2">
      <c r="A67" s="1959"/>
      <c r="D67" s="1895"/>
      <c r="E67" s="1895"/>
      <c r="F67" s="1895"/>
      <c r="G67" s="1895"/>
      <c r="H67" s="1895"/>
      <c r="I67" s="1895"/>
      <c r="J67" s="1895"/>
      <c r="K67" s="1895"/>
      <c r="L67" s="1895"/>
      <c r="M67" s="1895"/>
      <c r="N67" s="1895"/>
      <c r="O67" s="1959"/>
      <c r="P67" s="1959"/>
      <c r="Q67" s="1959"/>
      <c r="R67" s="1959"/>
      <c r="S67" s="1959"/>
      <c r="T67" s="1959"/>
      <c r="U67" s="1959"/>
      <c r="V67" s="1959"/>
      <c r="W67" s="1959"/>
      <c r="X67" s="1959"/>
      <c r="Y67" s="1959"/>
      <c r="Z67" s="1895"/>
    </row>
    <row r="68" spans="1:26" x14ac:dyDescent="0.2">
      <c r="A68" s="1959"/>
      <c r="D68" s="1895"/>
      <c r="E68" s="1895"/>
      <c r="F68" s="1895"/>
      <c r="G68" s="1895"/>
      <c r="H68" s="1895"/>
      <c r="I68" s="1895"/>
      <c r="J68" s="1895"/>
      <c r="K68" s="1895"/>
      <c r="L68" s="1895"/>
      <c r="M68" s="1895"/>
      <c r="N68" s="1895"/>
      <c r="O68" s="1959"/>
      <c r="P68" s="1959"/>
      <c r="Q68" s="1959"/>
      <c r="R68" s="1959"/>
      <c r="S68" s="1959"/>
      <c r="T68" s="1959"/>
      <c r="U68" s="1959"/>
      <c r="V68" s="1959"/>
      <c r="W68" s="1959"/>
      <c r="X68" s="1959"/>
      <c r="Y68" s="1959"/>
      <c r="Z68" s="1895"/>
    </row>
    <row r="69" spans="1:26" x14ac:dyDescent="0.2">
      <c r="A69" s="1959"/>
      <c r="D69" s="1895"/>
      <c r="E69" s="1895"/>
      <c r="F69" s="1895"/>
      <c r="G69" s="1895"/>
      <c r="H69" s="1895"/>
      <c r="I69" s="1895"/>
      <c r="J69" s="1895"/>
      <c r="K69" s="1895"/>
      <c r="L69" s="1895"/>
      <c r="M69" s="1895"/>
      <c r="N69" s="1895"/>
      <c r="O69" s="1959"/>
      <c r="P69" s="1959"/>
      <c r="Q69" s="1959"/>
      <c r="R69" s="1959"/>
      <c r="S69" s="1959"/>
      <c r="T69" s="1959"/>
      <c r="U69" s="1959"/>
      <c r="V69" s="1959"/>
      <c r="W69" s="1959"/>
      <c r="X69" s="1959"/>
      <c r="Y69" s="1959"/>
      <c r="Z69" s="1895"/>
    </row>
    <row r="70" spans="1:26" x14ac:dyDescent="0.2">
      <c r="A70" s="1959"/>
      <c r="D70" s="1895"/>
      <c r="E70" s="1895"/>
      <c r="F70" s="1895"/>
      <c r="G70" s="1895"/>
      <c r="H70" s="1895"/>
      <c r="I70" s="1895"/>
      <c r="J70" s="1895"/>
      <c r="K70" s="1895"/>
      <c r="L70" s="1895"/>
      <c r="M70" s="1895"/>
      <c r="N70" s="1895"/>
      <c r="O70" s="1959"/>
      <c r="P70" s="1959"/>
      <c r="Q70" s="1959"/>
      <c r="R70" s="1959"/>
      <c r="S70" s="1959"/>
      <c r="T70" s="1959"/>
      <c r="U70" s="1959"/>
      <c r="V70" s="1959"/>
      <c r="W70" s="1959"/>
      <c r="X70" s="1959"/>
      <c r="Y70" s="1959"/>
      <c r="Z70" s="1895"/>
    </row>
    <row r="71" spans="1:26" x14ac:dyDescent="0.2">
      <c r="A71" s="1959"/>
      <c r="D71" s="1895"/>
      <c r="E71" s="1895"/>
      <c r="F71" s="1895"/>
      <c r="G71" s="1895"/>
      <c r="H71" s="1895"/>
      <c r="I71" s="1895"/>
      <c r="J71" s="1895"/>
      <c r="K71" s="1895"/>
      <c r="L71" s="1895"/>
      <c r="M71" s="1895"/>
      <c r="N71" s="1895"/>
      <c r="O71" s="1959"/>
      <c r="P71" s="1959"/>
      <c r="Q71" s="1959"/>
      <c r="R71" s="1959"/>
      <c r="S71" s="1959"/>
      <c r="T71" s="1959"/>
      <c r="U71" s="1959"/>
      <c r="V71" s="1959"/>
      <c r="W71" s="1959"/>
      <c r="X71" s="1959"/>
      <c r="Y71" s="1959"/>
      <c r="Z71" s="1895"/>
    </row>
    <row r="72" spans="1:26" x14ac:dyDescent="0.2">
      <c r="A72" s="1959"/>
      <c r="D72" s="1895"/>
      <c r="E72" s="1895"/>
      <c r="F72" s="1895"/>
      <c r="G72" s="1895"/>
      <c r="H72" s="1895"/>
      <c r="I72" s="1895"/>
      <c r="J72" s="1895"/>
      <c r="K72" s="1895"/>
      <c r="L72" s="1895"/>
      <c r="M72" s="1895"/>
      <c r="N72" s="1895"/>
      <c r="O72" s="1959"/>
      <c r="P72" s="1959"/>
      <c r="Q72" s="1959"/>
      <c r="R72" s="1959"/>
      <c r="S72" s="1959"/>
      <c r="T72" s="1959"/>
      <c r="U72" s="1959"/>
      <c r="V72" s="1959"/>
      <c r="W72" s="1959"/>
      <c r="X72" s="1959"/>
      <c r="Y72" s="1959"/>
      <c r="Z72" s="1895"/>
    </row>
    <row r="73" spans="1:26" x14ac:dyDescent="0.2">
      <c r="A73" s="1959"/>
      <c r="D73" s="1895"/>
      <c r="E73" s="1895"/>
      <c r="F73" s="1895"/>
      <c r="G73" s="1895"/>
      <c r="H73" s="1895"/>
      <c r="I73" s="1895"/>
      <c r="J73" s="1895"/>
      <c r="K73" s="1895"/>
      <c r="L73" s="1895"/>
      <c r="M73" s="1895"/>
      <c r="N73" s="1895"/>
      <c r="O73" s="1959"/>
      <c r="P73" s="1959"/>
      <c r="Q73" s="1959"/>
      <c r="R73" s="1959"/>
      <c r="S73" s="1959"/>
      <c r="T73" s="1959"/>
      <c r="U73" s="1959"/>
      <c r="V73" s="1959"/>
      <c r="W73" s="1959"/>
      <c r="X73" s="1959"/>
      <c r="Y73" s="1959"/>
      <c r="Z73" s="1895"/>
    </row>
    <row r="74" spans="1:26" x14ac:dyDescent="0.2">
      <c r="A74" s="1959"/>
      <c r="D74" s="1895"/>
      <c r="E74" s="1895"/>
      <c r="F74" s="1895"/>
      <c r="G74" s="1895"/>
      <c r="H74" s="1895"/>
      <c r="I74" s="1895"/>
      <c r="J74" s="1895"/>
      <c r="K74" s="1895"/>
      <c r="L74" s="1895"/>
      <c r="M74" s="1895"/>
      <c r="N74" s="1895"/>
      <c r="O74" s="1959"/>
      <c r="P74" s="1959"/>
      <c r="Q74" s="1959"/>
      <c r="R74" s="1959"/>
      <c r="S74" s="1959"/>
      <c r="T74" s="1959"/>
      <c r="U74" s="1959"/>
      <c r="V74" s="1959"/>
      <c r="W74" s="1959"/>
      <c r="X74" s="1959"/>
      <c r="Y74" s="1959"/>
      <c r="Z74" s="1895"/>
    </row>
    <row r="75" spans="1:26" x14ac:dyDescent="0.2">
      <c r="A75" s="1959"/>
      <c r="D75" s="1895"/>
      <c r="E75" s="1895"/>
      <c r="F75" s="1895"/>
      <c r="G75" s="1895"/>
      <c r="H75" s="1895"/>
      <c r="I75" s="1895"/>
      <c r="J75" s="1895"/>
      <c r="K75" s="1895"/>
      <c r="L75" s="1895"/>
      <c r="M75" s="1895"/>
      <c r="N75" s="1895"/>
      <c r="O75" s="1959"/>
      <c r="P75" s="1959"/>
      <c r="Q75" s="1959"/>
      <c r="R75" s="1959"/>
      <c r="S75" s="1959"/>
      <c r="T75" s="1959"/>
      <c r="U75" s="1959"/>
      <c r="V75" s="1959"/>
      <c r="W75" s="1959"/>
      <c r="X75" s="1959"/>
      <c r="Y75" s="1959"/>
      <c r="Z75" s="1895"/>
    </row>
    <row r="76" spans="1:26" x14ac:dyDescent="0.2">
      <c r="A76" s="1959"/>
      <c r="D76" s="1895"/>
      <c r="E76" s="1895"/>
      <c r="F76" s="1895"/>
      <c r="G76" s="1895"/>
      <c r="H76" s="1895"/>
      <c r="I76" s="1895"/>
      <c r="J76" s="1895"/>
      <c r="K76" s="1895"/>
      <c r="L76" s="1895"/>
      <c r="M76" s="1895"/>
      <c r="N76" s="1895"/>
      <c r="O76" s="1959"/>
      <c r="P76" s="1959"/>
      <c r="Q76" s="1959"/>
      <c r="R76" s="1959"/>
      <c r="S76" s="1959"/>
      <c r="T76" s="1959"/>
      <c r="U76" s="1959"/>
      <c r="V76" s="1959"/>
      <c r="W76" s="1959"/>
      <c r="X76" s="1959"/>
      <c r="Y76" s="1959"/>
      <c r="Z76" s="1895"/>
    </row>
    <row r="77" spans="1:26" x14ac:dyDescent="0.2">
      <c r="A77" s="1959"/>
      <c r="D77" s="1895"/>
      <c r="E77" s="1895"/>
      <c r="F77" s="1895"/>
      <c r="G77" s="1895"/>
      <c r="H77" s="1895"/>
      <c r="I77" s="1895"/>
      <c r="J77" s="1895"/>
      <c r="K77" s="1895"/>
      <c r="L77" s="1895"/>
      <c r="M77" s="1895"/>
      <c r="N77" s="1895"/>
      <c r="O77" s="1959"/>
      <c r="P77" s="1959"/>
      <c r="Q77" s="1959"/>
      <c r="R77" s="1959"/>
      <c r="S77" s="1959"/>
      <c r="T77" s="1959"/>
      <c r="U77" s="1959"/>
      <c r="V77" s="1959"/>
      <c r="W77" s="1959"/>
      <c r="X77" s="1959"/>
      <c r="Y77" s="1959"/>
      <c r="Z77" s="1895"/>
    </row>
    <row r="78" spans="1:26" x14ac:dyDescent="0.2">
      <c r="A78" s="1959"/>
      <c r="D78" s="1895"/>
      <c r="E78" s="1895"/>
      <c r="F78" s="1895"/>
      <c r="G78" s="1895"/>
      <c r="H78" s="1895"/>
      <c r="I78" s="1895"/>
      <c r="J78" s="1895"/>
      <c r="K78" s="1895"/>
      <c r="L78" s="1895"/>
      <c r="M78" s="1895"/>
      <c r="N78" s="1895"/>
      <c r="O78" s="1959"/>
      <c r="P78" s="1959"/>
      <c r="Q78" s="1959"/>
      <c r="R78" s="1959"/>
      <c r="S78" s="1959"/>
      <c r="T78" s="1959"/>
      <c r="U78" s="1959"/>
      <c r="V78" s="1959"/>
      <c r="W78" s="1959"/>
      <c r="X78" s="1959"/>
      <c r="Y78" s="1959"/>
      <c r="Z78" s="1895"/>
    </row>
    <row r="79" spans="1:26" x14ac:dyDescent="0.2">
      <c r="A79" s="1959"/>
      <c r="D79" s="1895"/>
      <c r="E79" s="1895"/>
      <c r="F79" s="1895"/>
      <c r="G79" s="1895"/>
      <c r="H79" s="1895"/>
      <c r="I79" s="1895"/>
      <c r="J79" s="1895"/>
      <c r="K79" s="1895"/>
      <c r="L79" s="1895"/>
      <c r="M79" s="1895"/>
      <c r="N79" s="1895"/>
      <c r="O79" s="1959"/>
      <c r="P79" s="1959"/>
      <c r="Q79" s="1959"/>
      <c r="R79" s="1959"/>
      <c r="S79" s="1959"/>
      <c r="T79" s="1959"/>
      <c r="U79" s="1959"/>
      <c r="V79" s="1959"/>
      <c r="W79" s="1959"/>
      <c r="X79" s="1959"/>
      <c r="Y79" s="1959"/>
      <c r="Z79" s="1895"/>
    </row>
    <row r="80" spans="1:26" x14ac:dyDescent="0.2">
      <c r="A80" s="1959"/>
      <c r="D80" s="1895"/>
      <c r="E80" s="1895"/>
      <c r="F80" s="1895"/>
      <c r="G80" s="1895"/>
      <c r="H80" s="1895"/>
      <c r="I80" s="1895"/>
      <c r="J80" s="1895"/>
      <c r="K80" s="1895"/>
      <c r="L80" s="1895"/>
      <c r="M80" s="1895"/>
      <c r="N80" s="1895"/>
      <c r="O80" s="1959"/>
      <c r="P80" s="1959"/>
      <c r="Q80" s="1959"/>
      <c r="R80" s="1959"/>
      <c r="S80" s="1959"/>
      <c r="T80" s="1959"/>
      <c r="U80" s="1959"/>
      <c r="V80" s="1959"/>
      <c r="W80" s="1959"/>
      <c r="X80" s="1959"/>
      <c r="Y80" s="1959"/>
      <c r="Z80" s="1895"/>
    </row>
    <row r="81" spans="1:26" x14ac:dyDescent="0.2">
      <c r="A81" s="1959"/>
      <c r="D81" s="1895"/>
      <c r="E81" s="1895"/>
      <c r="F81" s="1895"/>
      <c r="G81" s="1895"/>
      <c r="H81" s="1895"/>
      <c r="I81" s="1895"/>
      <c r="J81" s="1895"/>
      <c r="K81" s="1895"/>
      <c r="L81" s="1895"/>
      <c r="M81" s="1895"/>
      <c r="N81" s="1895"/>
      <c r="O81" s="1959"/>
      <c r="P81" s="1959"/>
      <c r="Q81" s="1959"/>
      <c r="R81" s="1959"/>
      <c r="S81" s="1959"/>
      <c r="T81" s="1959"/>
      <c r="U81" s="1959"/>
      <c r="V81" s="1959"/>
      <c r="W81" s="1959"/>
      <c r="X81" s="1959"/>
      <c r="Y81" s="1959"/>
      <c r="Z81" s="1895"/>
    </row>
    <row r="82" spans="1:26" x14ac:dyDescent="0.2">
      <c r="A82" s="1959"/>
      <c r="D82" s="1895"/>
      <c r="E82" s="1895"/>
      <c r="F82" s="1895"/>
      <c r="G82" s="1895"/>
      <c r="H82" s="1895"/>
      <c r="I82" s="1895"/>
      <c r="J82" s="1895"/>
      <c r="K82" s="1895"/>
      <c r="L82" s="1895"/>
      <c r="M82" s="1895"/>
      <c r="N82" s="1895"/>
      <c r="O82" s="1959"/>
      <c r="P82" s="1959"/>
      <c r="Q82" s="1959"/>
      <c r="R82" s="1959"/>
      <c r="S82" s="1959"/>
      <c r="T82" s="1959"/>
      <c r="U82" s="1959"/>
      <c r="V82" s="1959"/>
      <c r="W82" s="1959"/>
      <c r="X82" s="1959"/>
      <c r="Y82" s="1959"/>
      <c r="Z82" s="1895"/>
    </row>
    <row r="83" spans="1:26" x14ac:dyDescent="0.2">
      <c r="A83" s="1959"/>
      <c r="D83" s="1895"/>
      <c r="E83" s="1895"/>
      <c r="F83" s="1895"/>
      <c r="G83" s="1895"/>
      <c r="H83" s="1895"/>
      <c r="I83" s="1895"/>
      <c r="J83" s="1895"/>
      <c r="K83" s="1895"/>
      <c r="L83" s="1895"/>
      <c r="M83" s="1895"/>
      <c r="N83" s="1895"/>
      <c r="O83" s="1959"/>
      <c r="P83" s="1959"/>
      <c r="Q83" s="1959"/>
      <c r="R83" s="1959"/>
      <c r="S83" s="1959"/>
      <c r="T83" s="1959"/>
      <c r="U83" s="1959"/>
      <c r="V83" s="1959"/>
      <c r="W83" s="1959"/>
      <c r="X83" s="1959"/>
      <c r="Y83" s="1959"/>
      <c r="Z83" s="1895"/>
    </row>
    <row r="84" spans="1:26" x14ac:dyDescent="0.2">
      <c r="A84" s="1959"/>
      <c r="D84" s="1895"/>
      <c r="E84" s="1895"/>
      <c r="F84" s="1895"/>
      <c r="G84" s="1895"/>
      <c r="H84" s="1895"/>
      <c r="I84" s="1895"/>
      <c r="J84" s="1895"/>
      <c r="K84" s="1895"/>
      <c r="L84" s="1895"/>
      <c r="M84" s="1895"/>
      <c r="N84" s="1895"/>
      <c r="O84" s="1959"/>
      <c r="P84" s="1959"/>
      <c r="Q84" s="1959"/>
      <c r="R84" s="1959"/>
      <c r="S84" s="1959"/>
      <c r="T84" s="1959"/>
      <c r="U84" s="1959"/>
      <c r="V84" s="1959"/>
      <c r="W84" s="1959"/>
      <c r="X84" s="1959"/>
      <c r="Y84" s="1959"/>
      <c r="Z84" s="1895"/>
    </row>
    <row r="85" spans="1:26" x14ac:dyDescent="0.2">
      <c r="A85" s="1959"/>
      <c r="D85" s="1895"/>
      <c r="E85" s="1895"/>
      <c r="F85" s="1895"/>
      <c r="G85" s="1895"/>
      <c r="H85" s="1895"/>
      <c r="I85" s="1895"/>
      <c r="J85" s="1895"/>
      <c r="K85" s="1895"/>
      <c r="L85" s="1895"/>
      <c r="M85" s="1895"/>
      <c r="N85" s="1895"/>
      <c r="O85" s="1959"/>
      <c r="P85" s="1959"/>
      <c r="Q85" s="1959"/>
      <c r="R85" s="1959"/>
      <c r="S85" s="1959"/>
      <c r="T85" s="1959"/>
      <c r="U85" s="1959"/>
      <c r="V85" s="1959"/>
      <c r="W85" s="1959"/>
      <c r="X85" s="1959"/>
      <c r="Y85" s="1959"/>
      <c r="Z85" s="1895"/>
    </row>
    <row r="86" spans="1:26" x14ac:dyDescent="0.2">
      <c r="A86" s="1959"/>
      <c r="D86" s="1895"/>
      <c r="E86" s="1895"/>
      <c r="F86" s="1895"/>
      <c r="G86" s="1895"/>
      <c r="H86" s="1895"/>
      <c r="I86" s="1895"/>
      <c r="J86" s="1895"/>
      <c r="K86" s="1895"/>
      <c r="L86" s="1895"/>
      <c r="M86" s="1895"/>
      <c r="N86" s="1895"/>
      <c r="O86" s="1959"/>
      <c r="P86" s="1959"/>
      <c r="Q86" s="1959"/>
      <c r="R86" s="1959"/>
      <c r="S86" s="1959"/>
      <c r="T86" s="1959"/>
      <c r="U86" s="1959"/>
      <c r="V86" s="1959"/>
      <c r="W86" s="1959"/>
      <c r="X86" s="1959"/>
      <c r="Y86" s="1959"/>
      <c r="Z86" s="1895"/>
    </row>
    <row r="87" spans="1:26" x14ac:dyDescent="0.2">
      <c r="A87" s="1959"/>
      <c r="D87" s="1895"/>
      <c r="E87" s="1895"/>
      <c r="F87" s="1895"/>
      <c r="G87" s="1895"/>
      <c r="H87" s="1895"/>
      <c r="I87" s="1895"/>
      <c r="J87" s="1895"/>
      <c r="K87" s="1895"/>
      <c r="L87" s="1895"/>
      <c r="M87" s="1895"/>
      <c r="N87" s="1895"/>
      <c r="O87" s="1959"/>
      <c r="P87" s="1959"/>
      <c r="Q87" s="1959"/>
      <c r="R87" s="1959"/>
      <c r="S87" s="1959"/>
      <c r="T87" s="1959"/>
      <c r="U87" s="1959"/>
      <c r="V87" s="1959"/>
      <c r="W87" s="1959"/>
      <c r="X87" s="1959"/>
      <c r="Y87" s="1959"/>
      <c r="Z87" s="1895"/>
    </row>
    <row r="88" spans="1:26" x14ac:dyDescent="0.2">
      <c r="A88" s="1959"/>
      <c r="D88" s="1895"/>
      <c r="E88" s="1895"/>
      <c r="F88" s="1895"/>
      <c r="G88" s="1895"/>
      <c r="H88" s="1895"/>
      <c r="I88" s="1895"/>
      <c r="J88" s="1895"/>
      <c r="K88" s="1895"/>
      <c r="L88" s="1895"/>
      <c r="M88" s="1895"/>
      <c r="N88" s="1895"/>
      <c r="O88" s="1959"/>
      <c r="P88" s="1959"/>
      <c r="Q88" s="1959"/>
      <c r="R88" s="1959"/>
      <c r="S88" s="1959"/>
      <c r="T88" s="1959"/>
      <c r="U88" s="1959"/>
      <c r="V88" s="1959"/>
      <c r="W88" s="1959"/>
      <c r="X88" s="1959"/>
      <c r="Y88" s="1959"/>
      <c r="Z88" s="1895"/>
    </row>
    <row r="89" spans="1:26" x14ac:dyDescent="0.2">
      <c r="A89" s="1959"/>
      <c r="D89" s="1895"/>
      <c r="E89" s="1895"/>
      <c r="F89" s="1895"/>
      <c r="G89" s="1895"/>
      <c r="H89" s="1895"/>
      <c r="I89" s="1895"/>
      <c r="J89" s="1895"/>
      <c r="K89" s="1895"/>
      <c r="L89" s="1895"/>
      <c r="M89" s="1895"/>
      <c r="N89" s="1895"/>
      <c r="O89" s="1959"/>
      <c r="P89" s="1959"/>
      <c r="Q89" s="1959"/>
      <c r="R89" s="1959"/>
      <c r="S89" s="1959"/>
      <c r="T89" s="1959"/>
      <c r="U89" s="1959"/>
      <c r="V89" s="1959"/>
      <c r="W89" s="1959"/>
      <c r="X89" s="1959"/>
      <c r="Y89" s="1959"/>
      <c r="Z89" s="1895"/>
    </row>
    <row r="90" spans="1:26" x14ac:dyDescent="0.2">
      <c r="A90" s="1959"/>
      <c r="D90" s="1895"/>
      <c r="E90" s="1895"/>
      <c r="F90" s="1895"/>
      <c r="G90" s="1895"/>
      <c r="H90" s="1895"/>
      <c r="I90" s="1895"/>
      <c r="J90" s="1895"/>
      <c r="K90" s="1895"/>
      <c r="L90" s="1895"/>
      <c r="M90" s="1895"/>
      <c r="N90" s="1895"/>
      <c r="O90" s="1959"/>
      <c r="P90" s="1959"/>
      <c r="Q90" s="1959"/>
      <c r="R90" s="1959"/>
      <c r="S90" s="1959"/>
      <c r="T90" s="1959"/>
      <c r="U90" s="1959"/>
      <c r="V90" s="1959"/>
      <c r="W90" s="1959"/>
      <c r="X90" s="1959"/>
      <c r="Y90" s="1959"/>
      <c r="Z90" s="1895"/>
    </row>
    <row r="91" spans="1:26" x14ac:dyDescent="0.2">
      <c r="A91" s="1959"/>
      <c r="D91" s="1895"/>
      <c r="E91" s="1895"/>
      <c r="F91" s="1895"/>
      <c r="G91" s="1895"/>
      <c r="H91" s="1895"/>
      <c r="I91" s="1895"/>
      <c r="J91" s="1895"/>
      <c r="K91" s="1895"/>
      <c r="L91" s="1895"/>
      <c r="M91" s="1895"/>
      <c r="N91" s="1895"/>
      <c r="O91" s="1959"/>
      <c r="P91" s="1959"/>
      <c r="Q91" s="1959"/>
      <c r="R91" s="1959"/>
      <c r="S91" s="1959"/>
      <c r="T91" s="1959"/>
      <c r="U91" s="1959"/>
      <c r="V91" s="1959"/>
      <c r="W91" s="1959"/>
      <c r="X91" s="1959"/>
      <c r="Y91" s="1959"/>
      <c r="Z91" s="1895"/>
    </row>
    <row r="92" spans="1:26" x14ac:dyDescent="0.2">
      <c r="A92" s="1959"/>
      <c r="D92" s="1895"/>
      <c r="E92" s="1895"/>
      <c r="F92" s="1895"/>
      <c r="G92" s="1895"/>
      <c r="H92" s="1895"/>
      <c r="I92" s="1895"/>
      <c r="J92" s="1895"/>
      <c r="K92" s="1895"/>
      <c r="L92" s="1895"/>
      <c r="M92" s="1895"/>
      <c r="N92" s="1895"/>
      <c r="O92" s="1959"/>
      <c r="P92" s="1959"/>
      <c r="Q92" s="1959"/>
      <c r="R92" s="1959"/>
      <c r="S92" s="1959"/>
      <c r="T92" s="1959"/>
      <c r="U92" s="1959"/>
      <c r="V92" s="1959"/>
      <c r="W92" s="1959"/>
      <c r="X92" s="1959"/>
      <c r="Y92" s="1959"/>
      <c r="Z92" s="1895"/>
    </row>
    <row r="93" spans="1:26" x14ac:dyDescent="0.2">
      <c r="A93" s="1959"/>
      <c r="D93" s="1895"/>
      <c r="E93" s="1895"/>
      <c r="F93" s="1895"/>
      <c r="G93" s="1895"/>
      <c r="H93" s="1895"/>
      <c r="I93" s="1895"/>
      <c r="J93" s="1895"/>
      <c r="K93" s="1895"/>
      <c r="L93" s="1895"/>
      <c r="M93" s="1895"/>
      <c r="N93" s="1895"/>
      <c r="O93" s="1959"/>
      <c r="P93" s="1959"/>
      <c r="Q93" s="1959"/>
      <c r="R93" s="1959"/>
      <c r="S93" s="1959"/>
      <c r="T93" s="1959"/>
      <c r="U93" s="1959"/>
      <c r="V93" s="1959"/>
      <c r="W93" s="1959"/>
      <c r="X93" s="1959"/>
      <c r="Y93" s="1959"/>
      <c r="Z93" s="1895"/>
    </row>
    <row r="94" spans="1:26" x14ac:dyDescent="0.2">
      <c r="A94" s="1959"/>
      <c r="D94" s="1895"/>
      <c r="E94" s="1895"/>
      <c r="F94" s="1895"/>
      <c r="G94" s="1895"/>
      <c r="H94" s="1895"/>
      <c r="I94" s="1895"/>
      <c r="J94" s="1895"/>
      <c r="K94" s="1895"/>
      <c r="L94" s="1895"/>
      <c r="M94" s="1895"/>
      <c r="N94" s="1895"/>
      <c r="O94" s="1959"/>
      <c r="P94" s="1959"/>
      <c r="Q94" s="1959"/>
      <c r="R94" s="1959"/>
      <c r="S94" s="1959"/>
      <c r="T94" s="1959"/>
      <c r="U94" s="1959"/>
      <c r="V94" s="1959"/>
      <c r="W94" s="1959"/>
      <c r="X94" s="1959"/>
      <c r="Y94" s="1959"/>
      <c r="Z94" s="1895"/>
    </row>
    <row r="95" spans="1:26" x14ac:dyDescent="0.2">
      <c r="A95" s="1959"/>
      <c r="D95" s="1895"/>
      <c r="E95" s="1895"/>
      <c r="F95" s="1895"/>
      <c r="G95" s="1895"/>
      <c r="H95" s="1895"/>
      <c r="I95" s="1895"/>
      <c r="J95" s="1895"/>
      <c r="K95" s="1895"/>
      <c r="L95" s="1895"/>
      <c r="M95" s="1895"/>
      <c r="N95" s="1895"/>
      <c r="O95" s="1959"/>
      <c r="P95" s="1959"/>
      <c r="Q95" s="1959"/>
      <c r="R95" s="1959"/>
      <c r="S95" s="1959"/>
      <c r="T95" s="1959"/>
      <c r="U95" s="1959"/>
      <c r="V95" s="1959"/>
      <c r="W95" s="1959"/>
      <c r="X95" s="1959"/>
      <c r="Y95" s="1959"/>
      <c r="Z95" s="1895"/>
    </row>
    <row r="96" spans="1:26" x14ac:dyDescent="0.2">
      <c r="A96" s="1959"/>
      <c r="D96" s="1895"/>
      <c r="E96" s="1895"/>
      <c r="F96" s="1895"/>
      <c r="G96" s="1895"/>
      <c r="H96" s="1895"/>
      <c r="I96" s="1895"/>
      <c r="J96" s="1895"/>
      <c r="K96" s="1895"/>
      <c r="L96" s="1895"/>
      <c r="M96" s="1895"/>
      <c r="N96" s="1895"/>
      <c r="O96" s="1959"/>
      <c r="P96" s="1959"/>
      <c r="Q96" s="1959"/>
      <c r="R96" s="1959"/>
      <c r="S96" s="1959"/>
      <c r="T96" s="1959"/>
      <c r="U96" s="1959"/>
      <c r="V96" s="1959"/>
      <c r="W96" s="1959"/>
      <c r="X96" s="1959"/>
      <c r="Y96" s="1959"/>
      <c r="Z96" s="1895"/>
    </row>
    <row r="97" spans="1:26" x14ac:dyDescent="0.2">
      <c r="A97" s="1959"/>
      <c r="D97" s="1895"/>
      <c r="E97" s="1895"/>
      <c r="F97" s="1895"/>
      <c r="G97" s="1895"/>
      <c r="H97" s="1895"/>
      <c r="I97" s="1895"/>
      <c r="J97" s="1895"/>
      <c r="K97" s="1895"/>
      <c r="L97" s="1895"/>
      <c r="M97" s="1895"/>
      <c r="N97" s="1895"/>
      <c r="O97" s="1959"/>
      <c r="P97" s="1959"/>
      <c r="Q97" s="1959"/>
      <c r="R97" s="1959"/>
      <c r="S97" s="1959"/>
      <c r="T97" s="1959"/>
      <c r="U97" s="1959"/>
      <c r="V97" s="1959"/>
      <c r="W97" s="1959"/>
      <c r="X97" s="1959"/>
      <c r="Y97" s="1959"/>
      <c r="Z97" s="1895"/>
    </row>
    <row r="98" spans="1:26" x14ac:dyDescent="0.2">
      <c r="A98" s="1959"/>
      <c r="D98" s="1895"/>
      <c r="E98" s="1895"/>
      <c r="F98" s="1895"/>
      <c r="G98" s="1895"/>
      <c r="H98" s="1895"/>
      <c r="I98" s="1895"/>
      <c r="J98" s="1895"/>
      <c r="K98" s="1895"/>
      <c r="L98" s="1895"/>
      <c r="M98" s="1895"/>
      <c r="N98" s="1895"/>
      <c r="O98" s="1959"/>
      <c r="P98" s="1959"/>
      <c r="Q98" s="1959"/>
      <c r="R98" s="1959"/>
      <c r="S98" s="1959"/>
      <c r="T98" s="1959"/>
      <c r="U98" s="1959"/>
      <c r="V98" s="1959"/>
      <c r="W98" s="1959"/>
      <c r="X98" s="1959"/>
      <c r="Y98" s="1959"/>
      <c r="Z98" s="1895"/>
    </row>
    <row r="99" spans="1:26" x14ac:dyDescent="0.2">
      <c r="A99" s="1959"/>
      <c r="D99" s="1895"/>
      <c r="E99" s="1895"/>
      <c r="F99" s="1895"/>
      <c r="G99" s="1895"/>
      <c r="H99" s="1895"/>
      <c r="I99" s="1895"/>
      <c r="J99" s="1895"/>
      <c r="K99" s="1895"/>
      <c r="L99" s="1895"/>
      <c r="M99" s="1895"/>
      <c r="N99" s="1895"/>
      <c r="O99" s="1959"/>
      <c r="P99" s="1959"/>
      <c r="Q99" s="1959"/>
      <c r="R99" s="1959"/>
      <c r="S99" s="1959"/>
      <c r="T99" s="1959"/>
      <c r="U99" s="1959"/>
      <c r="V99" s="1959"/>
      <c r="W99" s="1959"/>
      <c r="X99" s="1959"/>
      <c r="Y99" s="1959"/>
      <c r="Z99" s="1895"/>
    </row>
    <row r="100" spans="1:26" x14ac:dyDescent="0.2">
      <c r="A100" s="1959"/>
      <c r="D100" s="1895"/>
      <c r="E100" s="1895"/>
      <c r="F100" s="1895"/>
      <c r="G100" s="1895"/>
      <c r="H100" s="1895"/>
      <c r="I100" s="1895"/>
      <c r="J100" s="1895"/>
      <c r="K100" s="1895"/>
      <c r="L100" s="1895"/>
      <c r="M100" s="1895"/>
      <c r="N100" s="1895"/>
      <c r="O100" s="1959"/>
      <c r="P100" s="1959"/>
      <c r="Q100" s="1959"/>
      <c r="R100" s="1959"/>
      <c r="S100" s="1959"/>
      <c r="T100" s="1959"/>
      <c r="U100" s="1959"/>
      <c r="V100" s="1959"/>
      <c r="W100" s="1959"/>
      <c r="X100" s="1959"/>
      <c r="Y100" s="1959"/>
      <c r="Z100" s="1895"/>
    </row>
    <row r="101" spans="1:26" x14ac:dyDescent="0.2">
      <c r="A101" s="1959"/>
      <c r="D101" s="1895"/>
      <c r="E101" s="1895"/>
      <c r="F101" s="1895"/>
      <c r="G101" s="1895"/>
      <c r="H101" s="1895"/>
      <c r="I101" s="1895"/>
      <c r="J101" s="1895"/>
      <c r="K101" s="1895"/>
      <c r="L101" s="1895"/>
      <c r="M101" s="1895"/>
      <c r="N101" s="1895"/>
      <c r="O101" s="1959"/>
      <c r="P101" s="1959"/>
      <c r="Q101" s="1959"/>
      <c r="R101" s="1959"/>
      <c r="S101" s="1959"/>
      <c r="T101" s="1959"/>
      <c r="U101" s="1959"/>
      <c r="V101" s="1959"/>
      <c r="W101" s="1959"/>
      <c r="X101" s="1959"/>
      <c r="Y101" s="1959"/>
      <c r="Z101" s="1895"/>
    </row>
    <row r="102" spans="1:26" x14ac:dyDescent="0.2">
      <c r="A102" s="1959"/>
      <c r="D102" s="1895"/>
      <c r="E102" s="1895"/>
      <c r="F102" s="1895"/>
      <c r="G102" s="1895"/>
      <c r="H102" s="1895"/>
      <c r="I102" s="1895"/>
      <c r="J102" s="1895"/>
      <c r="K102" s="1895"/>
      <c r="L102" s="1895"/>
      <c r="M102" s="1895"/>
      <c r="N102" s="1895"/>
      <c r="O102" s="1959"/>
      <c r="P102" s="1959"/>
      <c r="Q102" s="1959"/>
      <c r="R102" s="1959"/>
      <c r="S102" s="1959"/>
      <c r="T102" s="1959"/>
      <c r="U102" s="1959"/>
      <c r="V102" s="1959"/>
      <c r="W102" s="1959"/>
      <c r="X102" s="1959"/>
      <c r="Y102" s="1959"/>
      <c r="Z102" s="1895"/>
    </row>
    <row r="103" spans="1:26" x14ac:dyDescent="0.2">
      <c r="A103" s="1959"/>
      <c r="D103" s="1895"/>
      <c r="E103" s="1895"/>
      <c r="F103" s="1895"/>
      <c r="G103" s="1895"/>
      <c r="H103" s="1895"/>
      <c r="I103" s="1895"/>
      <c r="J103" s="1895"/>
      <c r="K103" s="1895"/>
      <c r="L103" s="1895"/>
      <c r="M103" s="1895"/>
      <c r="N103" s="1895"/>
      <c r="O103" s="1959"/>
      <c r="P103" s="1959"/>
      <c r="Q103" s="1959"/>
      <c r="R103" s="1959"/>
      <c r="S103" s="1959"/>
      <c r="T103" s="1959"/>
      <c r="U103" s="1959"/>
      <c r="V103" s="1959"/>
      <c r="W103" s="1959"/>
      <c r="X103" s="1959"/>
      <c r="Y103" s="1959"/>
      <c r="Z103" s="1895"/>
    </row>
    <row r="104" spans="1:26" x14ac:dyDescent="0.2">
      <c r="A104" s="1959"/>
      <c r="D104" s="1895"/>
      <c r="E104" s="1895"/>
      <c r="F104" s="1895"/>
      <c r="G104" s="1895"/>
      <c r="H104" s="1895"/>
      <c r="I104" s="1895"/>
      <c r="J104" s="1895"/>
      <c r="K104" s="1895"/>
      <c r="L104" s="1895"/>
      <c r="M104" s="1895"/>
      <c r="N104" s="1895"/>
      <c r="O104" s="1959"/>
      <c r="P104" s="1959"/>
      <c r="Q104" s="1959"/>
      <c r="R104" s="1959"/>
      <c r="S104" s="1959"/>
      <c r="T104" s="1959"/>
      <c r="U104" s="1959"/>
      <c r="V104" s="1959"/>
      <c r="W104" s="1959"/>
      <c r="X104" s="1959"/>
      <c r="Y104" s="1959"/>
      <c r="Z104" s="1895"/>
    </row>
    <row r="105" spans="1:26" x14ac:dyDescent="0.2">
      <c r="A105" s="1959"/>
      <c r="D105" s="1895"/>
      <c r="E105" s="1895"/>
      <c r="F105" s="1895"/>
      <c r="G105" s="1895"/>
      <c r="H105" s="1895"/>
      <c r="I105" s="1895"/>
      <c r="J105" s="1895"/>
      <c r="K105" s="1895"/>
      <c r="L105" s="1895"/>
      <c r="M105" s="1895"/>
      <c r="N105" s="1895"/>
      <c r="O105" s="1959"/>
      <c r="P105" s="1959"/>
      <c r="Q105" s="1959"/>
      <c r="R105" s="1959"/>
      <c r="S105" s="1959"/>
      <c r="T105" s="1959"/>
      <c r="U105" s="1959"/>
      <c r="V105" s="1959"/>
      <c r="W105" s="1959"/>
      <c r="X105" s="1959"/>
      <c r="Y105" s="1959"/>
      <c r="Z105" s="1895"/>
    </row>
    <row r="106" spans="1:26" x14ac:dyDescent="0.2">
      <c r="A106" s="1959"/>
      <c r="D106" s="1895"/>
      <c r="E106" s="1895"/>
      <c r="F106" s="1895"/>
      <c r="G106" s="1895"/>
      <c r="H106" s="1895"/>
      <c r="I106" s="1895"/>
      <c r="J106" s="1895"/>
      <c r="K106" s="1895"/>
      <c r="L106" s="1895"/>
      <c r="M106" s="1895"/>
      <c r="N106" s="1895"/>
      <c r="O106" s="1959"/>
      <c r="P106" s="1959"/>
      <c r="Q106" s="1959"/>
      <c r="R106" s="1959"/>
      <c r="S106" s="1959"/>
      <c r="T106" s="1959"/>
      <c r="U106" s="1959"/>
      <c r="V106" s="1959"/>
      <c r="W106" s="1959"/>
      <c r="X106" s="1959"/>
      <c r="Y106" s="1959"/>
      <c r="Z106" s="1895"/>
    </row>
    <row r="107" spans="1:26" x14ac:dyDescent="0.2">
      <c r="A107" s="1959"/>
      <c r="D107" s="1895"/>
      <c r="E107" s="1895"/>
      <c r="F107" s="1895"/>
      <c r="G107" s="1895"/>
      <c r="H107" s="1895"/>
      <c r="I107" s="1895"/>
      <c r="J107" s="1895"/>
      <c r="K107" s="1895"/>
      <c r="L107" s="1895"/>
      <c r="M107" s="1895"/>
      <c r="N107" s="1895"/>
      <c r="O107" s="1959"/>
      <c r="P107" s="1959"/>
      <c r="Q107" s="1959"/>
      <c r="R107" s="1959"/>
      <c r="S107" s="1959"/>
      <c r="T107" s="1959"/>
      <c r="U107" s="1959"/>
      <c r="V107" s="1959"/>
      <c r="W107" s="1959"/>
      <c r="X107" s="1959"/>
      <c r="Y107" s="1959"/>
      <c r="Z107" s="1895"/>
    </row>
    <row r="108" spans="1:26" x14ac:dyDescent="0.2">
      <c r="A108" s="1959"/>
      <c r="D108" s="1895"/>
      <c r="E108" s="1895"/>
      <c r="F108" s="1895"/>
      <c r="G108" s="1895"/>
      <c r="H108" s="1895"/>
      <c r="I108" s="1895"/>
      <c r="J108" s="1895"/>
      <c r="K108" s="1895"/>
      <c r="L108" s="1895"/>
      <c r="M108" s="1895"/>
      <c r="N108" s="1895"/>
      <c r="O108" s="1959"/>
      <c r="P108" s="1959"/>
      <c r="Q108" s="1959"/>
      <c r="R108" s="1959"/>
      <c r="S108" s="1959"/>
      <c r="T108" s="1959"/>
      <c r="U108" s="1959"/>
      <c r="V108" s="1959"/>
      <c r="W108" s="1959"/>
      <c r="X108" s="1959"/>
      <c r="Y108" s="1959"/>
      <c r="Z108" s="1895"/>
    </row>
    <row r="109" spans="1:26" x14ac:dyDescent="0.2">
      <c r="A109" s="1959"/>
      <c r="D109" s="1895"/>
      <c r="E109" s="1895"/>
      <c r="F109" s="1895"/>
      <c r="G109" s="1895"/>
      <c r="H109" s="1895"/>
      <c r="I109" s="1895"/>
      <c r="J109" s="1895"/>
      <c r="K109" s="1895"/>
      <c r="L109" s="1895"/>
      <c r="M109" s="1895"/>
      <c r="N109" s="1895"/>
      <c r="O109" s="1959"/>
      <c r="P109" s="1959"/>
      <c r="Q109" s="1959"/>
      <c r="R109" s="1959"/>
      <c r="S109" s="1959"/>
      <c r="T109" s="1959"/>
      <c r="U109" s="1959"/>
      <c r="V109" s="1959"/>
      <c r="W109" s="1959"/>
      <c r="X109" s="1959"/>
      <c r="Y109" s="1959"/>
      <c r="Z109" s="1895"/>
    </row>
    <row r="110" spans="1:26" x14ac:dyDescent="0.2">
      <c r="A110" s="1959"/>
      <c r="D110" s="1895"/>
      <c r="E110" s="1895"/>
      <c r="F110" s="1895"/>
      <c r="G110" s="1895"/>
      <c r="H110" s="1895"/>
      <c r="I110" s="1895"/>
      <c r="J110" s="1895"/>
      <c r="K110" s="1895"/>
      <c r="L110" s="1895"/>
      <c r="M110" s="1895"/>
      <c r="N110" s="1895"/>
      <c r="O110" s="1959"/>
      <c r="P110" s="1959"/>
      <c r="Q110" s="1959"/>
      <c r="R110" s="1959"/>
      <c r="S110" s="1959"/>
      <c r="T110" s="1959"/>
      <c r="U110" s="1959"/>
      <c r="V110" s="1959"/>
      <c r="W110" s="1959"/>
      <c r="X110" s="1959"/>
      <c r="Y110" s="1959"/>
      <c r="Z110" s="1895"/>
    </row>
    <row r="111" spans="1:26" x14ac:dyDescent="0.2">
      <c r="A111" s="1959"/>
      <c r="D111" s="1895"/>
      <c r="E111" s="1895"/>
      <c r="F111" s="1895"/>
      <c r="G111" s="1895"/>
      <c r="H111" s="1895"/>
      <c r="I111" s="1895"/>
      <c r="J111" s="1895"/>
      <c r="K111" s="1895"/>
      <c r="L111" s="1895"/>
      <c r="M111" s="1895"/>
      <c r="N111" s="1895"/>
      <c r="O111" s="1959"/>
      <c r="P111" s="1959"/>
      <c r="Q111" s="1959"/>
      <c r="R111" s="1959"/>
      <c r="S111" s="1959"/>
      <c r="T111" s="1959"/>
      <c r="U111" s="1959"/>
      <c r="V111" s="1959"/>
      <c r="W111" s="1959"/>
      <c r="X111" s="1959"/>
      <c r="Y111" s="1959"/>
      <c r="Z111" s="1895"/>
    </row>
    <row r="112" spans="1:26" x14ac:dyDescent="0.2">
      <c r="A112" s="1959"/>
      <c r="D112" s="1895"/>
      <c r="E112" s="1895"/>
      <c r="F112" s="1895"/>
      <c r="G112" s="1895"/>
      <c r="H112" s="1895"/>
      <c r="I112" s="1895"/>
      <c r="J112" s="1895"/>
      <c r="K112" s="1895"/>
      <c r="L112" s="1895"/>
      <c r="M112" s="1895"/>
      <c r="N112" s="1895"/>
      <c r="O112" s="1959"/>
      <c r="P112" s="1959"/>
      <c r="Q112" s="1959"/>
      <c r="R112" s="1959"/>
      <c r="S112" s="1959"/>
      <c r="T112" s="1959"/>
      <c r="U112" s="1959"/>
      <c r="V112" s="1959"/>
      <c r="W112" s="1959"/>
      <c r="X112" s="1959"/>
      <c r="Y112" s="1959"/>
      <c r="Z112" s="1895"/>
    </row>
    <row r="113" spans="1:26" x14ac:dyDescent="0.2">
      <c r="A113" s="1959"/>
      <c r="D113" s="1895"/>
      <c r="E113" s="1895"/>
      <c r="F113" s="1895"/>
      <c r="G113" s="1895"/>
      <c r="H113" s="1895"/>
      <c r="I113" s="1895"/>
      <c r="J113" s="1895"/>
      <c r="K113" s="1895"/>
      <c r="L113" s="1895"/>
      <c r="M113" s="1895"/>
      <c r="N113" s="1895"/>
      <c r="O113" s="1959"/>
      <c r="P113" s="1959"/>
      <c r="Q113" s="1959"/>
      <c r="R113" s="1959"/>
      <c r="S113" s="1959"/>
      <c r="T113" s="1959"/>
      <c r="U113" s="1959"/>
      <c r="V113" s="1959"/>
      <c r="W113" s="1959"/>
      <c r="X113" s="1959"/>
      <c r="Y113" s="1959"/>
      <c r="Z113" s="1895"/>
    </row>
    <row r="114" spans="1:26" x14ac:dyDescent="0.2">
      <c r="A114" s="1959"/>
      <c r="D114" s="1895"/>
      <c r="E114" s="1895"/>
      <c r="F114" s="1895"/>
      <c r="G114" s="1895"/>
      <c r="H114" s="1895"/>
      <c r="I114" s="1895"/>
      <c r="J114" s="1895"/>
      <c r="K114" s="1895"/>
      <c r="L114" s="1895"/>
      <c r="M114" s="1895"/>
      <c r="N114" s="1895"/>
      <c r="O114" s="1959"/>
      <c r="P114" s="1959"/>
      <c r="Q114" s="1959"/>
      <c r="R114" s="1959"/>
      <c r="S114" s="1959"/>
      <c r="T114" s="1959"/>
      <c r="U114" s="1959"/>
      <c r="V114" s="1959"/>
      <c r="W114" s="1959"/>
      <c r="X114" s="1959"/>
      <c r="Y114" s="1959"/>
      <c r="Z114" s="1895"/>
    </row>
    <row r="115" spans="1:26" x14ac:dyDescent="0.2">
      <c r="A115" s="1959"/>
      <c r="D115" s="1895"/>
      <c r="E115" s="1895"/>
      <c r="F115" s="1895"/>
      <c r="G115" s="1895"/>
      <c r="H115" s="1895"/>
      <c r="I115" s="1895"/>
      <c r="J115" s="1895"/>
      <c r="K115" s="1895"/>
      <c r="L115" s="1895"/>
      <c r="M115" s="1895"/>
      <c r="N115" s="1895"/>
      <c r="O115" s="1959"/>
      <c r="P115" s="1959"/>
      <c r="Q115" s="1959"/>
      <c r="R115" s="1959"/>
      <c r="S115" s="1959"/>
      <c r="T115" s="1959"/>
      <c r="U115" s="1959"/>
      <c r="V115" s="1959"/>
      <c r="W115" s="1959"/>
      <c r="X115" s="1959"/>
      <c r="Y115" s="1959"/>
      <c r="Z115" s="1895"/>
    </row>
    <row r="116" spans="1:26" x14ac:dyDescent="0.2">
      <c r="A116" s="1959"/>
      <c r="D116" s="1895"/>
      <c r="E116" s="1895"/>
      <c r="F116" s="1895"/>
      <c r="G116" s="1895"/>
      <c r="H116" s="1895"/>
      <c r="I116" s="1895"/>
      <c r="J116" s="1895"/>
      <c r="K116" s="1895"/>
      <c r="L116" s="1895"/>
      <c r="M116" s="1895"/>
      <c r="N116" s="1895"/>
      <c r="O116" s="1959"/>
      <c r="P116" s="1959"/>
      <c r="Q116" s="1959"/>
      <c r="R116" s="1959"/>
      <c r="S116" s="1959"/>
      <c r="T116" s="1959"/>
      <c r="U116" s="1959"/>
      <c r="V116" s="1959"/>
      <c r="W116" s="1959"/>
      <c r="X116" s="1959"/>
      <c r="Y116" s="1959"/>
      <c r="Z116" s="1895"/>
    </row>
    <row r="117" spans="1:26" x14ac:dyDescent="0.2">
      <c r="A117" s="1959"/>
      <c r="D117" s="1895"/>
      <c r="E117" s="1895"/>
      <c r="F117" s="1895"/>
      <c r="G117" s="1895"/>
      <c r="H117" s="1895"/>
      <c r="I117" s="1895"/>
      <c r="J117" s="1895"/>
      <c r="K117" s="1895"/>
      <c r="L117" s="1895"/>
      <c r="M117" s="1895"/>
      <c r="N117" s="1895"/>
      <c r="O117" s="1959"/>
      <c r="P117" s="1959"/>
      <c r="Q117" s="1959"/>
      <c r="R117" s="1959"/>
      <c r="S117" s="1959"/>
      <c r="T117" s="1959"/>
      <c r="U117" s="1959"/>
      <c r="V117" s="1959"/>
      <c r="W117" s="1959"/>
      <c r="X117" s="1959"/>
      <c r="Y117" s="1959"/>
      <c r="Z117" s="1895"/>
    </row>
    <row r="118" spans="1:26" x14ac:dyDescent="0.2">
      <c r="A118" s="1959"/>
      <c r="D118" s="1895"/>
      <c r="E118" s="1895"/>
      <c r="F118" s="1895"/>
      <c r="G118" s="1895"/>
      <c r="H118" s="1895"/>
      <c r="I118" s="1895"/>
      <c r="J118" s="1895"/>
      <c r="K118" s="1895"/>
      <c r="L118" s="1895"/>
      <c r="M118" s="1895"/>
      <c r="N118" s="1895"/>
      <c r="O118" s="1959"/>
      <c r="P118" s="1959"/>
      <c r="Q118" s="1959"/>
      <c r="R118" s="1959"/>
      <c r="S118" s="1959"/>
      <c r="T118" s="1959"/>
      <c r="U118" s="1959"/>
      <c r="V118" s="1959"/>
      <c r="W118" s="1959"/>
      <c r="X118" s="1959"/>
      <c r="Y118" s="1959"/>
      <c r="Z118" s="1895"/>
    </row>
    <row r="119" spans="1:26" x14ac:dyDescent="0.2">
      <c r="A119" s="1959"/>
      <c r="D119" s="1895"/>
      <c r="E119" s="1895"/>
      <c r="F119" s="1895"/>
      <c r="G119" s="1895"/>
      <c r="H119" s="1895"/>
      <c r="I119" s="1895"/>
      <c r="J119" s="1895"/>
      <c r="K119" s="1895"/>
      <c r="L119" s="1895"/>
      <c r="M119" s="1895"/>
      <c r="N119" s="1895"/>
      <c r="O119" s="1959"/>
      <c r="P119" s="1959"/>
      <c r="Q119" s="1959"/>
      <c r="R119" s="1959"/>
      <c r="S119" s="1959"/>
      <c r="T119" s="1959"/>
      <c r="U119" s="1959"/>
      <c r="V119" s="1959"/>
      <c r="W119" s="1959"/>
      <c r="X119" s="1959"/>
      <c r="Y119" s="1959"/>
      <c r="Z119" s="1895"/>
    </row>
    <row r="120" spans="1:26" x14ac:dyDescent="0.2">
      <c r="A120" s="1959"/>
      <c r="D120" s="1895"/>
      <c r="E120" s="1895"/>
      <c r="F120" s="1895"/>
      <c r="G120" s="1895"/>
      <c r="H120" s="1895"/>
      <c r="I120" s="1895"/>
      <c r="J120" s="1895"/>
      <c r="K120" s="1895"/>
      <c r="L120" s="1895"/>
      <c r="M120" s="1895"/>
      <c r="N120" s="1895"/>
      <c r="O120" s="1959"/>
      <c r="P120" s="1959"/>
      <c r="Q120" s="1959"/>
      <c r="R120" s="1959"/>
      <c r="S120" s="1959"/>
      <c r="T120" s="1959"/>
      <c r="U120" s="1959"/>
      <c r="V120" s="1959"/>
      <c r="W120" s="1959"/>
      <c r="X120" s="1959"/>
      <c r="Y120" s="1959"/>
      <c r="Z120" s="1895"/>
    </row>
    <row r="121" spans="1:26" x14ac:dyDescent="0.2">
      <c r="A121" s="1959"/>
      <c r="D121" s="1895"/>
      <c r="E121" s="1895"/>
      <c r="F121" s="1895"/>
      <c r="G121" s="1895"/>
      <c r="H121" s="1895"/>
      <c r="I121" s="1895"/>
      <c r="J121" s="1895"/>
      <c r="K121" s="1895"/>
      <c r="L121" s="1895"/>
      <c r="M121" s="1895"/>
      <c r="N121" s="1895"/>
      <c r="O121" s="1959"/>
      <c r="P121" s="1959"/>
      <c r="Q121" s="1959"/>
      <c r="R121" s="1959"/>
      <c r="S121" s="1959"/>
      <c r="T121" s="1959"/>
      <c r="U121" s="1959"/>
      <c r="V121" s="1959"/>
      <c r="W121" s="1959"/>
      <c r="X121" s="1959"/>
      <c r="Y121" s="1959"/>
      <c r="Z121" s="1895"/>
    </row>
    <row r="122" spans="1:26" x14ac:dyDescent="0.2">
      <c r="A122" s="1959"/>
      <c r="D122" s="1895"/>
      <c r="E122" s="1895"/>
      <c r="F122" s="1895"/>
      <c r="G122" s="1895"/>
      <c r="H122" s="1895"/>
      <c r="I122" s="1895"/>
      <c r="J122" s="1895"/>
      <c r="K122" s="1895"/>
      <c r="L122" s="1895"/>
      <c r="M122" s="1895"/>
      <c r="N122" s="1895"/>
      <c r="O122" s="1959"/>
      <c r="P122" s="1959"/>
      <c r="Q122" s="1959"/>
      <c r="R122" s="1959"/>
      <c r="S122" s="1959"/>
      <c r="T122" s="1959"/>
      <c r="U122" s="1959"/>
      <c r="V122" s="1959"/>
      <c r="W122" s="1959"/>
      <c r="X122" s="1959"/>
      <c r="Y122" s="1959"/>
      <c r="Z122" s="1895"/>
    </row>
    <row r="123" spans="1:26" x14ac:dyDescent="0.2">
      <c r="A123" s="1959"/>
      <c r="D123" s="1895"/>
      <c r="E123" s="1895"/>
      <c r="F123" s="1895"/>
      <c r="G123" s="1895"/>
      <c r="H123" s="1895"/>
      <c r="I123" s="1895"/>
      <c r="J123" s="1895"/>
      <c r="K123" s="1895"/>
      <c r="L123" s="1895"/>
      <c r="M123" s="1895"/>
      <c r="N123" s="1895"/>
      <c r="O123" s="1959"/>
      <c r="P123" s="1959"/>
      <c r="Q123" s="1959"/>
      <c r="R123" s="1959"/>
      <c r="S123" s="1959"/>
      <c r="T123" s="1959"/>
      <c r="U123" s="1959"/>
      <c r="V123" s="1959"/>
      <c r="W123" s="1959"/>
      <c r="X123" s="1959"/>
      <c r="Y123" s="1959"/>
      <c r="Z123" s="1895"/>
    </row>
    <row r="124" spans="1:26" x14ac:dyDescent="0.2">
      <c r="A124" s="1959"/>
      <c r="D124" s="1895"/>
      <c r="E124" s="1895"/>
      <c r="F124" s="1895"/>
      <c r="G124" s="1895"/>
      <c r="H124" s="1895"/>
      <c r="I124" s="1895"/>
      <c r="J124" s="1895"/>
      <c r="K124" s="1895"/>
      <c r="L124" s="1895"/>
      <c r="M124" s="1895"/>
      <c r="N124" s="1895"/>
      <c r="O124" s="1959"/>
      <c r="P124" s="1959"/>
      <c r="Q124" s="1959"/>
      <c r="R124" s="1959"/>
      <c r="S124" s="1959"/>
      <c r="T124" s="1959"/>
      <c r="U124" s="1959"/>
      <c r="V124" s="1959"/>
      <c r="W124" s="1959"/>
      <c r="X124" s="1959"/>
      <c r="Y124" s="1959"/>
      <c r="Z124" s="1895"/>
    </row>
    <row r="125" spans="1:26" x14ac:dyDescent="0.2">
      <c r="A125" s="1959"/>
      <c r="D125" s="1895"/>
      <c r="E125" s="1895"/>
      <c r="F125" s="1895"/>
      <c r="G125" s="1895"/>
      <c r="H125" s="1895"/>
      <c r="I125" s="1895"/>
      <c r="J125" s="1895"/>
      <c r="K125" s="1895"/>
      <c r="L125" s="1895"/>
      <c r="M125" s="1895"/>
      <c r="N125" s="1895"/>
      <c r="O125" s="1959"/>
      <c r="P125" s="1959"/>
      <c r="Q125" s="1959"/>
      <c r="R125" s="1959"/>
      <c r="S125" s="1959"/>
      <c r="T125" s="1959"/>
      <c r="U125" s="1959"/>
      <c r="V125" s="1959"/>
      <c r="W125" s="1959"/>
      <c r="X125" s="1959"/>
      <c r="Y125" s="1959"/>
      <c r="Z125" s="1895"/>
    </row>
    <row r="126" spans="1:26" x14ac:dyDescent="0.2">
      <c r="A126" s="1959"/>
      <c r="D126" s="1895"/>
      <c r="E126" s="1895"/>
      <c r="F126" s="1895"/>
      <c r="G126" s="1895"/>
      <c r="H126" s="1895"/>
      <c r="I126" s="1895"/>
      <c r="J126" s="1895"/>
      <c r="K126" s="1895"/>
      <c r="L126" s="1895"/>
      <c r="M126" s="1895"/>
      <c r="N126" s="1895"/>
      <c r="O126" s="1959"/>
      <c r="P126" s="1959"/>
      <c r="Q126" s="1959"/>
      <c r="R126" s="1959"/>
      <c r="S126" s="1959"/>
      <c r="T126" s="1959"/>
      <c r="U126" s="1959"/>
      <c r="V126" s="1959"/>
      <c r="W126" s="1959"/>
      <c r="X126" s="1959"/>
      <c r="Y126" s="1959"/>
      <c r="Z126" s="1895"/>
    </row>
    <row r="127" spans="1:26" x14ac:dyDescent="0.2">
      <c r="A127" s="1961"/>
      <c r="D127" s="1895"/>
      <c r="E127" s="1895"/>
      <c r="F127" s="1895"/>
      <c r="G127" s="1895"/>
      <c r="H127" s="1895"/>
      <c r="I127" s="1895"/>
      <c r="J127" s="1895"/>
      <c r="K127" s="1895"/>
      <c r="L127" s="1895"/>
      <c r="M127" s="1895"/>
      <c r="N127" s="1895"/>
      <c r="O127" s="1959"/>
      <c r="P127" s="1959"/>
      <c r="Q127" s="1959"/>
      <c r="R127" s="1959"/>
      <c r="S127" s="1959"/>
      <c r="T127" s="1959"/>
      <c r="U127" s="1959"/>
      <c r="V127" s="1959"/>
      <c r="W127" s="1959"/>
      <c r="X127" s="1959"/>
      <c r="Y127" s="1959"/>
      <c r="Z127" s="1895"/>
    </row>
    <row r="128" spans="1:26" x14ac:dyDescent="0.2">
      <c r="A128" s="1961"/>
      <c r="D128" s="1895"/>
      <c r="E128" s="1895"/>
      <c r="F128" s="1895"/>
      <c r="G128" s="1895"/>
      <c r="H128" s="1895"/>
      <c r="I128" s="1895"/>
      <c r="J128" s="1895"/>
      <c r="K128" s="1895"/>
      <c r="L128" s="1895"/>
      <c r="M128" s="1895"/>
      <c r="N128" s="1895"/>
      <c r="O128" s="1959"/>
      <c r="P128" s="1959"/>
      <c r="Q128" s="1959"/>
      <c r="R128" s="1959"/>
      <c r="S128" s="1959"/>
      <c r="T128" s="1959"/>
      <c r="U128" s="1959"/>
      <c r="V128" s="1959"/>
      <c r="W128" s="1959"/>
      <c r="X128" s="1959"/>
      <c r="Y128" s="1959"/>
      <c r="Z128" s="1895"/>
    </row>
    <row r="129" spans="1:26" x14ac:dyDescent="0.2">
      <c r="A129" s="1959"/>
      <c r="D129" s="1895"/>
      <c r="E129" s="1895"/>
      <c r="F129" s="1895"/>
      <c r="G129" s="1895"/>
      <c r="H129" s="1895"/>
      <c r="I129" s="1895"/>
      <c r="J129" s="1895"/>
      <c r="K129" s="1895"/>
      <c r="L129" s="1895"/>
      <c r="M129" s="1895"/>
      <c r="N129" s="1895"/>
      <c r="O129" s="1959"/>
      <c r="P129" s="1959"/>
      <c r="Q129" s="1959"/>
      <c r="R129" s="1959"/>
      <c r="S129" s="1959"/>
      <c r="T129" s="1959"/>
      <c r="U129" s="1959"/>
      <c r="V129" s="1959"/>
      <c r="W129" s="1959"/>
      <c r="X129" s="1959"/>
      <c r="Y129" s="1959"/>
      <c r="Z129" s="1895"/>
    </row>
    <row r="130" spans="1:26" x14ac:dyDescent="0.2">
      <c r="A130" s="1959"/>
      <c r="D130" s="1895"/>
      <c r="E130" s="1895"/>
      <c r="F130" s="1895"/>
      <c r="G130" s="1895"/>
      <c r="H130" s="1895"/>
      <c r="I130" s="1895"/>
      <c r="J130" s="1895"/>
      <c r="K130" s="1895"/>
      <c r="L130" s="1895"/>
      <c r="M130" s="1895"/>
      <c r="N130" s="1895"/>
      <c r="O130" s="1959"/>
      <c r="P130" s="1959"/>
      <c r="Q130" s="1959"/>
      <c r="R130" s="1959"/>
      <c r="S130" s="1959"/>
      <c r="T130" s="1959"/>
      <c r="U130" s="1959"/>
      <c r="V130" s="1959"/>
      <c r="W130" s="1959"/>
      <c r="X130" s="1959"/>
      <c r="Y130" s="1959"/>
      <c r="Z130" s="1895"/>
    </row>
    <row r="131" spans="1:26" x14ac:dyDescent="0.2">
      <c r="Y131" s="1894"/>
      <c r="Z131" s="1895"/>
    </row>
    <row r="132" spans="1:26" x14ac:dyDescent="0.2">
      <c r="Y132" s="1894"/>
      <c r="Z132" s="1895"/>
    </row>
    <row r="133" spans="1:26" x14ac:dyDescent="0.2">
      <c r="Y133" s="1894"/>
      <c r="Z133" s="1895"/>
    </row>
    <row r="134" spans="1:26" x14ac:dyDescent="0.2">
      <c r="Y134" s="1894"/>
      <c r="Z134" s="1895"/>
    </row>
    <row r="135" spans="1:26" x14ac:dyDescent="0.2">
      <c r="Y135" s="1894"/>
      <c r="Z135" s="1895"/>
    </row>
    <row r="136" spans="1:26" x14ac:dyDescent="0.2">
      <c r="Y136" s="1894"/>
      <c r="Z136" s="1895"/>
    </row>
    <row r="137" spans="1:26" x14ac:dyDescent="0.2">
      <c r="Y137" s="1894"/>
      <c r="Z137" s="1895"/>
    </row>
    <row r="138" spans="1:26" x14ac:dyDescent="0.2">
      <c r="Y138" s="1894"/>
      <c r="Z138" s="1895"/>
    </row>
    <row r="139" spans="1:26" x14ac:dyDescent="0.2">
      <c r="Y139" s="1894"/>
      <c r="Z139" s="1895"/>
    </row>
    <row r="140" spans="1:26" x14ac:dyDescent="0.2">
      <c r="Y140" s="1894"/>
      <c r="Z140" s="1895"/>
    </row>
    <row r="141" spans="1:26" x14ac:dyDescent="0.2">
      <c r="Y141" s="1894"/>
      <c r="Z141" s="1895"/>
    </row>
    <row r="142" spans="1:26" x14ac:dyDescent="0.2">
      <c r="Y142" s="1894"/>
      <c r="Z142" s="1895"/>
    </row>
    <row r="143" spans="1:26" x14ac:dyDescent="0.2">
      <c r="Y143" s="1894"/>
      <c r="Z143" s="1895"/>
    </row>
    <row r="144" spans="1:26" x14ac:dyDescent="0.2">
      <c r="Y144" s="1894"/>
      <c r="Z144" s="1895"/>
    </row>
    <row r="145" spans="25:26" x14ac:dyDescent="0.2">
      <c r="Y145" s="1894"/>
      <c r="Z145" s="1895"/>
    </row>
    <row r="146" spans="25:26" x14ac:dyDescent="0.2">
      <c r="Y146" s="1894"/>
      <c r="Z146" s="1895"/>
    </row>
    <row r="147" spans="25:26" x14ac:dyDescent="0.2">
      <c r="Y147" s="1894"/>
      <c r="Z147" s="1895"/>
    </row>
    <row r="148" spans="25:26" x14ac:dyDescent="0.2">
      <c r="Y148" s="1894"/>
      <c r="Z148" s="1895"/>
    </row>
    <row r="149" spans="25:26" x14ac:dyDescent="0.2">
      <c r="Y149" s="1894"/>
      <c r="Z149" s="1895"/>
    </row>
    <row r="150" spans="25:26" x14ac:dyDescent="0.2">
      <c r="Y150" s="1894"/>
      <c r="Z150" s="1895"/>
    </row>
    <row r="151" spans="25:26" x14ac:dyDescent="0.2">
      <c r="Y151" s="1894"/>
      <c r="Z151" s="1895"/>
    </row>
    <row r="152" spans="25:26" x14ac:dyDescent="0.2">
      <c r="Y152" s="1894"/>
      <c r="Z152" s="1895"/>
    </row>
    <row r="153" spans="25:26" x14ac:dyDescent="0.2">
      <c r="Y153" s="1894"/>
      <c r="Z153" s="1895"/>
    </row>
    <row r="154" spans="25:26" x14ac:dyDescent="0.2">
      <c r="Y154" s="1894"/>
      <c r="Z154" s="1895"/>
    </row>
    <row r="155" spans="25:26" x14ac:dyDescent="0.2">
      <c r="Y155" s="1894"/>
      <c r="Z155" s="1895"/>
    </row>
    <row r="156" spans="25:26" x14ac:dyDescent="0.2">
      <c r="Y156" s="1894"/>
      <c r="Z156" s="1895"/>
    </row>
    <row r="157" spans="25:26" x14ac:dyDescent="0.2">
      <c r="Y157" s="1894"/>
      <c r="Z157" s="1895"/>
    </row>
    <row r="158" spans="25:26" x14ac:dyDescent="0.2">
      <c r="Y158" s="1894"/>
      <c r="Z158" s="1895"/>
    </row>
    <row r="159" spans="25:26" x14ac:dyDescent="0.2">
      <c r="Y159" s="1894"/>
      <c r="Z159" s="1895"/>
    </row>
    <row r="160" spans="25:26" x14ac:dyDescent="0.2">
      <c r="Y160" s="1894"/>
      <c r="Z160" s="1895"/>
    </row>
    <row r="161" spans="25:26" x14ac:dyDescent="0.2">
      <c r="Y161" s="1894"/>
      <c r="Z161" s="1895"/>
    </row>
    <row r="162" spans="25:26" x14ac:dyDescent="0.2">
      <c r="Y162" s="1894"/>
      <c r="Z162" s="1895"/>
    </row>
    <row r="163" spans="25:26" x14ac:dyDescent="0.2">
      <c r="Y163" s="1894"/>
      <c r="Z163" s="1895"/>
    </row>
    <row r="164" spans="25:26" x14ac:dyDescent="0.2">
      <c r="Y164" s="1894"/>
      <c r="Z164" s="1895"/>
    </row>
    <row r="165" spans="25:26" x14ac:dyDescent="0.2">
      <c r="Y165" s="1894"/>
      <c r="Z165" s="1895"/>
    </row>
    <row r="166" spans="25:26" x14ac:dyDescent="0.2">
      <c r="Y166" s="1894"/>
      <c r="Z166" s="1895"/>
    </row>
    <row r="167" spans="25:26" x14ac:dyDescent="0.2">
      <c r="Y167" s="1894"/>
      <c r="Z167" s="1895"/>
    </row>
  </sheetData>
  <mergeCells count="2">
    <mergeCell ref="D2:N2"/>
    <mergeCell ref="G62:H62"/>
  </mergeCells>
  <printOptions horizontalCentered="1"/>
  <pageMargins left="0.7" right="0.5" top="0.75" bottom="0.25" header="0.3" footer="0.3"/>
  <pageSetup paperSize="9" scale="82" orientation="portrait" horizontalDpi="4294967293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AJ163"/>
  <sheetViews>
    <sheetView showGridLines="0" view="pageBreakPreview" topLeftCell="A22" zoomScale="90" zoomScaleSheetLayoutView="90" workbookViewId="0">
      <selection activeCell="Q50" sqref="Q50"/>
    </sheetView>
  </sheetViews>
  <sheetFormatPr defaultColWidth="16.28515625" defaultRowHeight="13.5" x14ac:dyDescent="0.2"/>
  <cols>
    <col min="1" max="1" width="1.28515625" style="1894" customWidth="1"/>
    <col min="2" max="2" width="15.42578125" style="1895" hidden="1" customWidth="1"/>
    <col min="3" max="3" width="18.7109375" style="1895" hidden="1" customWidth="1"/>
    <col min="4" max="4" width="5.7109375" style="1894" customWidth="1"/>
    <col min="5" max="5" width="1.7109375" style="1894" customWidth="1"/>
    <col min="6" max="6" width="15.7109375" style="1894" customWidth="1"/>
    <col min="7" max="7" width="1.5703125" style="1894" customWidth="1"/>
    <col min="8" max="9" width="16.7109375" style="1894" customWidth="1"/>
    <col min="10" max="10" width="1.7109375" style="1894" customWidth="1"/>
    <col min="11" max="13" width="7.7109375" style="1894" customWidth="1"/>
    <col min="14" max="14" width="27.7109375" style="1894" bestFit="1" customWidth="1"/>
    <col min="15" max="15" width="5.7109375" style="1894" customWidth="1"/>
    <col min="16" max="16" width="1.7109375" style="1894" customWidth="1"/>
    <col min="17" max="17" width="13.7109375" style="1894" bestFit="1" customWidth="1"/>
    <col min="18" max="18" width="1.42578125" style="1894" customWidth="1"/>
    <col min="19" max="19" width="8.28515625" style="1894" bestFit="1" customWidth="1"/>
    <col min="20" max="20" width="6.28515625" style="1894" bestFit="1" customWidth="1"/>
    <col min="21" max="21" width="1.7109375" style="1894" customWidth="1"/>
    <col min="22" max="22" width="6.7109375" style="1894" customWidth="1"/>
    <col min="23" max="23" width="9.7109375" style="1894" customWidth="1"/>
    <col min="24" max="24" width="8.7109375" style="1894" customWidth="1"/>
    <col min="25" max="25" width="16.28515625" style="1895" customWidth="1"/>
    <col min="26" max="26" width="5.7109375" style="1894" customWidth="1"/>
    <col min="27" max="27" width="1.7109375" style="1894" customWidth="1"/>
    <col min="28" max="28" width="18" style="1894" customWidth="1"/>
    <col min="29" max="29" width="1.42578125" style="1894" customWidth="1"/>
    <col min="30" max="30" width="10.7109375" style="1894" customWidth="1"/>
    <col min="31" max="31" width="7.7109375" style="1894" customWidth="1"/>
    <col min="32" max="32" width="11.42578125" style="1894" customWidth="1"/>
    <col min="33" max="33" width="1.7109375" style="1894" customWidth="1"/>
    <col min="34" max="34" width="6.7109375" style="1894" customWidth="1"/>
    <col min="35" max="35" width="7.7109375" style="1894" customWidth="1"/>
    <col min="36" max="36" width="10" style="1894" customWidth="1"/>
    <col min="37" max="37" width="17.28515625" style="1895" customWidth="1"/>
    <col min="38" max="245" width="9.28515625" style="1895" customWidth="1"/>
    <col min="246" max="246" width="6.7109375" style="1895" customWidth="1"/>
    <col min="247" max="247" width="1.7109375" style="1895" customWidth="1"/>
    <col min="248" max="248" width="23.7109375" style="1895" customWidth="1"/>
    <col min="249" max="249" width="1.28515625" style="1895" customWidth="1"/>
    <col min="250" max="251" width="8.7109375" style="1895" customWidth="1"/>
    <col min="252" max="252" width="12.28515625" style="1895" customWidth="1"/>
    <col min="253" max="253" width="15.7109375" style="1895" customWidth="1"/>
    <col min="254" max="255" width="1.7109375" style="1895" customWidth="1"/>
    <col min="256" max="16384" width="16.28515625" style="1895"/>
  </cols>
  <sheetData>
    <row r="2" spans="1:26" ht="15.75" x14ac:dyDescent="0.2">
      <c r="D2" s="3238" t="s">
        <v>453</v>
      </c>
      <c r="E2" s="3238"/>
      <c r="F2" s="3238"/>
      <c r="G2" s="3238"/>
      <c r="H2" s="3238"/>
      <c r="I2" s="3238"/>
      <c r="J2" s="3238"/>
      <c r="K2" s="3238"/>
      <c r="L2" s="3238"/>
      <c r="M2" s="3238"/>
      <c r="N2" s="3238"/>
    </row>
    <row r="4" spans="1:26" x14ac:dyDescent="0.2">
      <c r="A4" s="1896"/>
      <c r="B4" s="1896"/>
      <c r="D4" s="1897" t="s">
        <v>454</v>
      </c>
      <c r="E4" s="1897"/>
      <c r="F4" s="1897"/>
      <c r="G4" s="1897" t="s">
        <v>308</v>
      </c>
      <c r="H4" s="1898" t="s">
        <v>450</v>
      </c>
      <c r="I4" s="1896"/>
      <c r="J4" s="1896"/>
      <c r="K4" s="1896"/>
      <c r="L4" s="1896"/>
      <c r="M4" s="1896"/>
      <c r="N4" s="1896"/>
      <c r="O4" s="1899"/>
      <c r="P4" s="1899"/>
      <c r="R4" s="1897"/>
      <c r="S4" s="1899"/>
      <c r="T4" s="1896"/>
      <c r="U4" s="1896"/>
      <c r="V4" s="1896"/>
      <c r="W4" s="1900"/>
      <c r="X4" s="1899"/>
      <c r="Y4" s="1899"/>
      <c r="Z4" s="1895"/>
    </row>
    <row r="5" spans="1:26" x14ac:dyDescent="0.2">
      <c r="A5" s="1901"/>
      <c r="B5" s="1896"/>
      <c r="D5" s="1897" t="s">
        <v>455</v>
      </c>
      <c r="E5" s="1897"/>
      <c r="F5" s="1897"/>
      <c r="G5" s="1897" t="s">
        <v>308</v>
      </c>
      <c r="H5" s="1898" t="s">
        <v>456</v>
      </c>
      <c r="I5" s="1896"/>
      <c r="J5" s="1896"/>
      <c r="K5" s="1896"/>
      <c r="M5" s="1902"/>
      <c r="N5" s="1903" t="s">
        <v>457</v>
      </c>
      <c r="O5" s="1899"/>
      <c r="P5" s="1899"/>
      <c r="Q5" s="1899"/>
      <c r="R5" s="1897"/>
      <c r="S5" s="1899"/>
      <c r="T5" s="1896"/>
      <c r="U5" s="1896"/>
      <c r="V5" s="1896"/>
      <c r="X5" s="1902"/>
      <c r="Y5" s="1902"/>
      <c r="Z5" s="1895"/>
    </row>
    <row r="6" spans="1:26" ht="14.25" thickBot="1" x14ac:dyDescent="0.25">
      <c r="A6" s="1901"/>
      <c r="B6" s="1896"/>
      <c r="D6" s="1896"/>
      <c r="E6" s="1896"/>
      <c r="F6" s="1896"/>
      <c r="G6" s="1896"/>
      <c r="H6" s="1896"/>
      <c r="I6" s="1896"/>
      <c r="J6" s="1896"/>
      <c r="K6" s="1896"/>
      <c r="L6" s="1896"/>
      <c r="M6" s="1896"/>
      <c r="N6" s="1896"/>
      <c r="O6" s="1896"/>
      <c r="P6" s="1896"/>
      <c r="Q6" s="1896"/>
      <c r="R6" s="1896"/>
      <c r="S6" s="1896"/>
      <c r="T6" s="1896"/>
      <c r="U6" s="1896"/>
      <c r="V6" s="1896"/>
      <c r="W6" s="1900"/>
      <c r="X6" s="1896"/>
      <c r="Y6" s="1904"/>
      <c r="Z6" s="1895"/>
    </row>
    <row r="7" spans="1:26" x14ac:dyDescent="0.2">
      <c r="A7" s="1901"/>
      <c r="B7" s="1896"/>
      <c r="D7" s="1905"/>
      <c r="E7" s="1906"/>
      <c r="F7" s="1907"/>
      <c r="G7" s="1907"/>
      <c r="H7" s="1907"/>
      <c r="I7" s="1907"/>
      <c r="J7" s="1907"/>
      <c r="K7" s="1906"/>
      <c r="L7" s="1906"/>
      <c r="M7" s="1906"/>
      <c r="N7" s="1908"/>
      <c r="O7" s="1909"/>
      <c r="P7" s="1896"/>
      <c r="Q7" s="1896"/>
      <c r="R7" s="1896"/>
      <c r="S7" s="1896"/>
      <c r="T7" s="1896"/>
      <c r="U7" s="1896"/>
      <c r="V7" s="1896"/>
      <c r="W7" s="1900"/>
      <c r="X7" s="1896"/>
      <c r="Y7" s="1896"/>
      <c r="Z7" s="1895"/>
    </row>
    <row r="8" spans="1:26" x14ac:dyDescent="0.2">
      <c r="A8" s="1896"/>
      <c r="B8" s="1896"/>
      <c r="D8" s="1910" t="s">
        <v>12</v>
      </c>
      <c r="E8" s="1911"/>
      <c r="F8" s="1912" t="s">
        <v>363</v>
      </c>
      <c r="G8" s="1912"/>
      <c r="H8" s="1912"/>
      <c r="I8" s="1912"/>
      <c r="J8" s="1912"/>
      <c r="K8" s="1913" t="s">
        <v>364</v>
      </c>
      <c r="L8" s="1913" t="s">
        <v>365</v>
      </c>
      <c r="M8" s="1913" t="s">
        <v>458</v>
      </c>
      <c r="N8" s="1914" t="s">
        <v>95</v>
      </c>
      <c r="O8" s="1915"/>
      <c r="P8" s="1899"/>
      <c r="Q8" s="1916"/>
      <c r="R8" s="1916"/>
      <c r="S8" s="1916"/>
      <c r="T8" s="1916"/>
      <c r="U8" s="1916"/>
      <c r="V8" s="1917"/>
      <c r="W8" s="1917"/>
      <c r="X8" s="1917"/>
      <c r="Y8" s="1917"/>
      <c r="Z8" s="1895"/>
    </row>
    <row r="9" spans="1:26" ht="14.25" thickBot="1" x14ac:dyDescent="0.25">
      <c r="A9" s="1896"/>
      <c r="B9" s="1896"/>
      <c r="D9" s="1918"/>
      <c r="E9" s="1919"/>
      <c r="F9" s="1920"/>
      <c r="G9" s="1920"/>
      <c r="H9" s="1920"/>
      <c r="I9" s="1920"/>
      <c r="J9" s="1920"/>
      <c r="K9" s="1919"/>
      <c r="L9" s="1919"/>
      <c r="M9" s="1919"/>
      <c r="N9" s="1921"/>
      <c r="O9" s="1909"/>
      <c r="P9" s="1896"/>
      <c r="Q9" s="1896"/>
      <c r="R9" s="1896"/>
      <c r="S9" s="1896"/>
      <c r="T9" s="1896"/>
      <c r="U9" s="1896"/>
      <c r="V9" s="1896"/>
      <c r="W9" s="1900"/>
      <c r="X9" s="1896"/>
      <c r="Y9" s="1896"/>
      <c r="Z9" s="1895"/>
    </row>
    <row r="10" spans="1:26" x14ac:dyDescent="0.2">
      <c r="A10" s="1922"/>
      <c r="D10" s="1923"/>
      <c r="E10" s="1924"/>
      <c r="F10" s="1909"/>
      <c r="G10" s="1909"/>
      <c r="H10" s="1909"/>
      <c r="I10" s="1909"/>
      <c r="J10" s="1909"/>
      <c r="K10" s="1924"/>
      <c r="L10" s="1925"/>
      <c r="M10" s="1924"/>
      <c r="N10" s="1926"/>
      <c r="O10" s="1909"/>
      <c r="P10" s="1896"/>
      <c r="Q10" s="1896"/>
      <c r="R10" s="1896"/>
      <c r="S10" s="1896"/>
      <c r="T10" s="1896"/>
      <c r="U10" s="1896"/>
      <c r="V10" s="1896"/>
      <c r="W10" s="1900"/>
      <c r="X10" s="1896"/>
      <c r="Y10" s="1896"/>
      <c r="Z10" s="1895"/>
    </row>
    <row r="11" spans="1:26" x14ac:dyDescent="0.2">
      <c r="A11" s="1922"/>
      <c r="D11" s="1927" t="s">
        <v>459</v>
      </c>
      <c r="E11" s="1911"/>
      <c r="F11" s="1928" t="s">
        <v>460</v>
      </c>
      <c r="G11" s="1928"/>
      <c r="H11" s="1909"/>
      <c r="I11" s="1909"/>
      <c r="J11" s="1909"/>
      <c r="K11" s="1924"/>
      <c r="L11" s="1925"/>
      <c r="M11" s="1924"/>
      <c r="N11" s="1926"/>
      <c r="O11" s="1928"/>
      <c r="P11" s="1899"/>
      <c r="Q11" s="1899"/>
      <c r="R11" s="1899"/>
      <c r="S11" s="1896"/>
      <c r="T11" s="1896"/>
      <c r="U11" s="1896"/>
      <c r="V11" s="1896"/>
      <c r="W11" s="1896"/>
      <c r="X11" s="1896"/>
      <c r="Y11" s="1896"/>
      <c r="Z11" s="1895"/>
    </row>
    <row r="12" spans="1:26" x14ac:dyDescent="0.2">
      <c r="A12" s="1922"/>
      <c r="D12" s="1930">
        <v>1</v>
      </c>
      <c r="E12" s="1924"/>
      <c r="F12" s="1909" t="s">
        <v>461</v>
      </c>
      <c r="G12" s="1909"/>
      <c r="H12" s="1909"/>
      <c r="I12" s="1909"/>
      <c r="J12" s="1909"/>
      <c r="K12" s="1924"/>
      <c r="L12" s="1925"/>
      <c r="M12" s="1924"/>
      <c r="N12" s="1926"/>
      <c r="O12" s="1909"/>
      <c r="P12" s="1896"/>
      <c r="Q12" s="1896"/>
      <c r="R12" s="1896"/>
      <c r="S12" s="1896"/>
      <c r="T12" s="1896"/>
      <c r="U12" s="1896"/>
      <c r="V12" s="1931"/>
      <c r="W12" s="1900"/>
      <c r="X12" s="1931"/>
      <c r="Y12" s="1896"/>
      <c r="Z12" s="1895"/>
    </row>
    <row r="13" spans="1:26" x14ac:dyDescent="0.2">
      <c r="A13" s="1922"/>
      <c r="D13" s="1930">
        <f>D12+1</f>
        <v>2</v>
      </c>
      <c r="E13" s="1924"/>
      <c r="F13" s="1909" t="s">
        <v>462</v>
      </c>
      <c r="G13" s="1909"/>
      <c r="H13" s="1909"/>
      <c r="I13" s="1909"/>
      <c r="J13" s="1909"/>
      <c r="K13" s="1924"/>
      <c r="L13" s="1925"/>
      <c r="M13" s="1924"/>
      <c r="N13" s="1926"/>
      <c r="O13" s="1909"/>
      <c r="P13" s="1896"/>
      <c r="Q13" s="1896"/>
      <c r="R13" s="1896"/>
      <c r="S13" s="1896"/>
      <c r="T13" s="1896"/>
      <c r="U13" s="1896"/>
      <c r="V13" s="1931"/>
      <c r="W13" s="1900"/>
      <c r="X13" s="1931"/>
      <c r="Y13" s="1896"/>
      <c r="Z13" s="1895"/>
    </row>
    <row r="14" spans="1:26" x14ac:dyDescent="0.2">
      <c r="A14" s="1932"/>
      <c r="B14" s="1933" t="e">
        <f>#REF!</f>
        <v>#REF!</v>
      </c>
      <c r="C14" s="1934" t="e">
        <f>#REF!</f>
        <v>#REF!</v>
      </c>
      <c r="D14" s="1930">
        <f>D13+1</f>
        <v>3</v>
      </c>
      <c r="E14" s="1924"/>
      <c r="F14" s="1935" t="s">
        <v>356</v>
      </c>
      <c r="G14" s="1935"/>
      <c r="H14" s="1935"/>
      <c r="I14" s="1935"/>
      <c r="J14" s="1935"/>
      <c r="K14" s="1936" t="s">
        <v>463</v>
      </c>
      <c r="L14" s="1937">
        <f>VLOOKUP(F14,ID!$B$3:$I$20,3,FALSE)</f>
        <v>8</v>
      </c>
      <c r="M14" s="1936" t="s">
        <v>464</v>
      </c>
      <c r="N14" s="1926"/>
      <c r="O14" s="1909"/>
      <c r="P14" s="1896"/>
      <c r="Q14" s="1938"/>
      <c r="R14" s="1896"/>
      <c r="S14" s="1896"/>
      <c r="T14" s="1896"/>
      <c r="U14" s="1896"/>
      <c r="V14" s="1931"/>
      <c r="W14" s="1939"/>
      <c r="X14" s="1931"/>
      <c r="Y14" s="1896"/>
      <c r="Z14" s="1895"/>
    </row>
    <row r="15" spans="1:26" x14ac:dyDescent="0.2">
      <c r="A15" s="1932"/>
      <c r="D15" s="1930">
        <f>D14+1</f>
        <v>4</v>
      </c>
      <c r="E15" s="1924"/>
      <c r="F15" s="1909" t="s">
        <v>465</v>
      </c>
      <c r="G15" s="1909"/>
      <c r="H15" s="1909"/>
      <c r="I15" s="1909"/>
      <c r="J15" s="1909"/>
      <c r="K15" s="1940" t="s">
        <v>466</v>
      </c>
      <c r="L15" s="1941">
        <v>0.3</v>
      </c>
      <c r="M15" s="1940" t="s">
        <v>8</v>
      </c>
      <c r="N15" s="2149"/>
      <c r="O15" s="1909"/>
      <c r="P15" s="1896"/>
      <c r="Q15" s="1896"/>
      <c r="R15" s="1896"/>
      <c r="S15" s="1896"/>
      <c r="T15" s="1896"/>
      <c r="U15" s="1896"/>
      <c r="V15" s="1896"/>
      <c r="W15" s="1900"/>
      <c r="X15" s="1896"/>
      <c r="Y15" s="1896"/>
      <c r="Z15" s="1895"/>
    </row>
    <row r="16" spans="1:26" x14ac:dyDescent="0.2">
      <c r="B16" s="1894"/>
      <c r="D16" s="1930"/>
      <c r="E16" s="1924"/>
      <c r="F16" s="1909"/>
      <c r="G16" s="1909"/>
      <c r="H16" s="1909"/>
      <c r="I16" s="1909"/>
      <c r="J16" s="1909"/>
      <c r="K16" s="1924"/>
      <c r="L16" s="1942"/>
      <c r="M16" s="1940"/>
      <c r="N16" s="1926"/>
      <c r="O16" s="1909"/>
      <c r="P16" s="1896"/>
      <c r="Q16" s="1899"/>
      <c r="R16" s="1899"/>
      <c r="S16" s="1899"/>
      <c r="T16" s="1896"/>
      <c r="U16" s="1896"/>
      <c r="V16" s="1896"/>
      <c r="W16" s="1900"/>
      <c r="X16" s="1896"/>
      <c r="Y16" s="1896"/>
      <c r="Z16" s="1895"/>
    </row>
    <row r="17" spans="1:28" x14ac:dyDescent="0.2">
      <c r="A17" s="1943"/>
      <c r="B17" s="1896"/>
      <c r="D17" s="1927" t="s">
        <v>467</v>
      </c>
      <c r="E17" s="1911"/>
      <c r="F17" s="1928" t="s">
        <v>468</v>
      </c>
      <c r="G17" s="1928"/>
      <c r="H17" s="1909"/>
      <c r="I17" s="1909"/>
      <c r="J17" s="1909"/>
      <c r="K17" s="1924"/>
      <c r="L17" s="1942"/>
      <c r="M17" s="1940"/>
      <c r="N17" s="1926"/>
      <c r="O17" s="1909"/>
      <c r="P17" s="1896"/>
      <c r="Q17" s="1896"/>
      <c r="R17" s="1896"/>
      <c r="S17" s="1896"/>
      <c r="T17" s="1896"/>
      <c r="U17" s="1896"/>
      <c r="V17" s="1931"/>
      <c r="W17" s="1944"/>
      <c r="X17" s="1931"/>
      <c r="Y17" s="1896"/>
      <c r="Z17" s="1895"/>
    </row>
    <row r="18" spans="1:28" x14ac:dyDescent="0.2">
      <c r="A18" s="1945"/>
      <c r="B18" s="1896"/>
      <c r="D18" s="1930">
        <v>1</v>
      </c>
      <c r="E18" s="1924"/>
      <c r="F18" s="1909" t="s">
        <v>469</v>
      </c>
      <c r="G18" s="1909"/>
      <c r="H18" s="1909"/>
      <c r="I18" s="1909"/>
      <c r="J18" s="1909"/>
      <c r="K18" s="1924"/>
      <c r="L18" s="1941"/>
      <c r="M18" s="1940"/>
      <c r="N18" s="1926"/>
      <c r="O18" s="1909"/>
      <c r="P18" s="1896"/>
      <c r="Q18" s="1896"/>
      <c r="R18" s="1896"/>
      <c r="S18" s="1899"/>
      <c r="T18" s="1896"/>
      <c r="U18" s="1896"/>
      <c r="V18" s="1931"/>
      <c r="W18" s="1944"/>
      <c r="X18" s="1931"/>
      <c r="Y18" s="1896"/>
      <c r="Z18" s="1895"/>
      <c r="AB18" s="1894">
        <f>W18*7</f>
        <v>0</v>
      </c>
    </row>
    <row r="19" spans="1:28" x14ac:dyDescent="0.2">
      <c r="A19" s="1945"/>
      <c r="B19" s="1896"/>
      <c r="D19" s="1930">
        <v>2</v>
      </c>
      <c r="E19" s="1924"/>
      <c r="F19" s="1909" t="s">
        <v>470</v>
      </c>
      <c r="G19" s="1909"/>
      <c r="H19" s="1909"/>
      <c r="I19" s="1909"/>
      <c r="J19" s="1909"/>
      <c r="K19" s="1924"/>
      <c r="L19" s="1941"/>
      <c r="M19" s="1940"/>
      <c r="N19" s="1926"/>
      <c r="O19" s="1915"/>
      <c r="P19" s="1899"/>
      <c r="Q19" s="1899"/>
      <c r="R19" s="1899"/>
      <c r="S19" s="1896"/>
      <c r="T19" s="1896"/>
      <c r="U19" s="1896"/>
      <c r="V19" s="1896"/>
      <c r="W19" s="1900"/>
      <c r="X19" s="1896"/>
      <c r="Y19" s="1896"/>
      <c r="Z19" s="1895"/>
    </row>
    <row r="20" spans="1:28" x14ac:dyDescent="0.2">
      <c r="A20" s="1947"/>
      <c r="B20" s="1896"/>
      <c r="D20" s="1923"/>
      <c r="E20" s="1924"/>
      <c r="F20" s="1909"/>
      <c r="G20" s="1909"/>
      <c r="H20" s="1909"/>
      <c r="I20" s="1909"/>
      <c r="J20" s="1909"/>
      <c r="K20" s="1940"/>
      <c r="L20" s="1941"/>
      <c r="M20" s="1940"/>
      <c r="N20" s="1926"/>
      <c r="O20" s="1915"/>
      <c r="P20" s="1899"/>
      <c r="Q20" s="1899"/>
      <c r="R20" s="1899"/>
      <c r="S20" s="1896"/>
      <c r="T20" s="1896"/>
      <c r="U20" s="1896"/>
      <c r="V20" s="1896"/>
      <c r="W20" s="1900"/>
      <c r="X20" s="1896"/>
      <c r="Y20" s="1896"/>
      <c r="Z20" s="1895"/>
    </row>
    <row r="21" spans="1:28" x14ac:dyDescent="0.2">
      <c r="A21" s="1947"/>
      <c r="B21" s="1896"/>
      <c r="D21" s="1910" t="s">
        <v>471</v>
      </c>
      <c r="E21" s="1911"/>
      <c r="F21" s="1928" t="s">
        <v>472</v>
      </c>
      <c r="G21" s="1928"/>
      <c r="H21" s="1909"/>
      <c r="I21" s="1909"/>
      <c r="J21" s="1909"/>
      <c r="K21" s="1940"/>
      <c r="L21" s="1941"/>
      <c r="M21" s="1940"/>
      <c r="N21" s="1926"/>
      <c r="O21" s="1909"/>
      <c r="P21" s="1896"/>
      <c r="Q21" s="1896"/>
      <c r="R21" s="1896"/>
      <c r="S21" s="1896"/>
      <c r="T21" s="1896"/>
      <c r="U21" s="1896"/>
      <c r="V21" s="1896"/>
      <c r="W21" s="1900"/>
      <c r="X21" s="1896"/>
      <c r="Y21" s="1896"/>
      <c r="Z21" s="1895"/>
    </row>
    <row r="22" spans="1:28" x14ac:dyDescent="0.2">
      <c r="A22" s="1947"/>
      <c r="B22" s="1896"/>
      <c r="D22" s="1948" t="s">
        <v>473</v>
      </c>
      <c r="E22" s="1911"/>
      <c r="F22" s="1928" t="s">
        <v>54</v>
      </c>
      <c r="G22" s="1928"/>
      <c r="H22" s="1909"/>
      <c r="I22" s="1909"/>
      <c r="J22" s="1909"/>
      <c r="K22" s="1940"/>
      <c r="L22" s="1941"/>
      <c r="M22" s="1940"/>
      <c r="N22" s="1926"/>
      <c r="O22" s="1909"/>
      <c r="P22" s="1896"/>
      <c r="T22" s="1896"/>
      <c r="U22" s="1896"/>
      <c r="V22" s="1896"/>
      <c r="W22" s="1900"/>
      <c r="X22" s="1896"/>
      <c r="Y22" s="1896"/>
      <c r="Z22" s="1895"/>
    </row>
    <row r="23" spans="1:28" x14ac:dyDescent="0.2">
      <c r="A23" s="1949"/>
      <c r="B23" s="1896"/>
      <c r="D23" s="1923"/>
      <c r="E23" s="1924"/>
      <c r="F23" s="1909"/>
      <c r="G23" s="1909"/>
      <c r="H23" s="1909"/>
      <c r="I23" s="1909"/>
      <c r="J23" s="1909"/>
      <c r="K23" s="1940"/>
      <c r="L23" s="1941"/>
      <c r="M23" s="1940"/>
      <c r="N23" s="1926"/>
      <c r="O23" s="1909"/>
      <c r="P23" s="1896"/>
      <c r="Q23" s="1951"/>
      <c r="R23" s="2150"/>
      <c r="T23" s="1896"/>
      <c r="U23" s="1896"/>
      <c r="V23" s="1896"/>
      <c r="W23" s="1900"/>
      <c r="X23" s="1896"/>
      <c r="Y23" s="1896"/>
      <c r="Z23" s="1895"/>
    </row>
    <row r="24" spans="1:28" x14ac:dyDescent="0.2">
      <c r="A24" s="1949"/>
      <c r="B24" s="1896"/>
      <c r="D24" s="1923"/>
      <c r="E24" s="1924"/>
      <c r="F24" s="1909"/>
      <c r="G24" s="1909"/>
      <c r="H24" s="1909"/>
      <c r="I24" s="1909"/>
      <c r="J24" s="1909"/>
      <c r="K24" s="1940"/>
      <c r="L24" s="1925"/>
      <c r="M24" s="1940"/>
      <c r="N24" s="1926"/>
      <c r="O24" s="1909"/>
      <c r="P24" s="1896"/>
      <c r="Q24" s="1951"/>
      <c r="T24" s="1896"/>
      <c r="U24" s="1896"/>
      <c r="V24" s="1896"/>
      <c r="W24" s="1900"/>
      <c r="X24" s="1896"/>
      <c r="Y24" s="1896"/>
      <c r="Z24" s="1895"/>
    </row>
    <row r="25" spans="1:28" x14ac:dyDescent="0.2">
      <c r="A25" s="1949"/>
      <c r="B25" s="1896"/>
      <c r="D25" s="1948" t="s">
        <v>474</v>
      </c>
      <c r="E25" s="1911"/>
      <c r="F25" s="1928" t="s">
        <v>475</v>
      </c>
      <c r="G25" s="1928"/>
      <c r="H25" s="1909"/>
      <c r="I25" s="1909"/>
      <c r="J25" s="1909"/>
      <c r="K25" s="1940"/>
      <c r="L25" s="1925"/>
      <c r="M25" s="1940"/>
      <c r="N25" s="1926"/>
      <c r="O25" s="1909"/>
      <c r="P25" s="1896"/>
      <c r="Q25" s="1896"/>
      <c r="R25" s="1896"/>
      <c r="S25" s="1896"/>
      <c r="T25" s="1896"/>
      <c r="U25" s="1896"/>
      <c r="V25" s="1896"/>
      <c r="W25" s="1896"/>
      <c r="X25" s="1896"/>
      <c r="Y25" s="1896"/>
      <c r="Z25" s="1895"/>
    </row>
    <row r="26" spans="1:28" x14ac:dyDescent="0.2">
      <c r="A26" s="1949"/>
      <c r="B26" s="1896"/>
      <c r="D26" s="1923" t="s">
        <v>476</v>
      </c>
      <c r="E26" s="1924"/>
      <c r="F26" s="1952" t="s">
        <v>477</v>
      </c>
      <c r="G26" s="1952"/>
      <c r="H26" s="1909"/>
      <c r="I26" s="1909"/>
      <c r="J26" s="1909"/>
      <c r="K26" s="1940"/>
      <c r="L26" s="1925"/>
      <c r="M26" s="1940"/>
      <c r="N26" s="1926"/>
      <c r="O26" s="1909"/>
      <c r="P26" s="1896"/>
      <c r="Q26" s="1896"/>
      <c r="R26" s="1896"/>
      <c r="S26" s="1896"/>
      <c r="T26" s="1896"/>
      <c r="U26" s="1896"/>
      <c r="V26" s="1896"/>
      <c r="W26" s="1896"/>
      <c r="X26" s="1896"/>
      <c r="Y26" s="1896"/>
      <c r="Z26" s="1895"/>
    </row>
    <row r="27" spans="1:28" x14ac:dyDescent="0.2">
      <c r="A27" s="1949"/>
      <c r="B27" s="1896"/>
      <c r="D27" s="1923"/>
      <c r="E27" s="1924"/>
      <c r="F27" s="1909" t="s">
        <v>307</v>
      </c>
      <c r="G27" s="1952"/>
      <c r="H27" s="1909"/>
      <c r="I27" s="1909"/>
      <c r="J27" s="1909"/>
      <c r="K27" s="1940" t="s">
        <v>343</v>
      </c>
      <c r="L27" s="1925">
        <f>(L15*4)</f>
        <v>1.2</v>
      </c>
      <c r="M27" s="1940" t="s">
        <v>8</v>
      </c>
      <c r="N27" s="1926"/>
      <c r="O27" s="1909"/>
      <c r="P27" s="1896"/>
      <c r="Q27" s="1896"/>
      <c r="R27" s="1896"/>
      <c r="S27" s="1896"/>
      <c r="T27" s="1896"/>
      <c r="U27" s="1896"/>
      <c r="V27" s="1896"/>
      <c r="W27" s="1896"/>
      <c r="X27" s="1896"/>
      <c r="Y27" s="1896"/>
      <c r="Z27" s="1895"/>
    </row>
    <row r="28" spans="1:28" x14ac:dyDescent="0.2">
      <c r="A28" s="1949"/>
      <c r="B28" s="1896"/>
      <c r="D28" s="1923"/>
      <c r="E28" s="1924"/>
      <c r="F28" s="1909" t="s">
        <v>478</v>
      </c>
      <c r="G28" s="1952"/>
      <c r="H28" s="1909"/>
      <c r="I28" s="1909"/>
      <c r="J28" s="1909"/>
      <c r="K28" s="1940"/>
      <c r="L28" s="1925"/>
      <c r="M28" s="1940"/>
      <c r="N28" s="1926"/>
      <c r="O28" s="1909"/>
      <c r="P28" s="1896"/>
      <c r="Q28" s="1938">
        <f>[65]Analisa!H141</f>
        <v>77610</v>
      </c>
      <c r="R28" s="1896"/>
      <c r="S28" s="1896"/>
      <c r="T28" s="1896"/>
      <c r="U28" s="1896"/>
      <c r="V28" s="1896"/>
      <c r="W28" s="1896"/>
      <c r="X28" s="1896"/>
      <c r="Y28" s="1896"/>
      <c r="Z28" s="1895"/>
    </row>
    <row r="29" spans="1:28" x14ac:dyDescent="0.2">
      <c r="A29" s="1949"/>
      <c r="B29" s="1896"/>
      <c r="D29" s="1923"/>
      <c r="E29" s="1924"/>
      <c r="F29" s="1953" t="s">
        <v>479</v>
      </c>
      <c r="G29" s="1952"/>
      <c r="H29" s="1909"/>
      <c r="I29" s="1909"/>
      <c r="J29" s="1909"/>
      <c r="K29" s="1940" t="s">
        <v>480</v>
      </c>
      <c r="L29" s="1925">
        <f>17*3</f>
        <v>51</v>
      </c>
      <c r="M29" s="1940" t="s">
        <v>481</v>
      </c>
      <c r="N29" s="1926" t="s">
        <v>482</v>
      </c>
      <c r="O29" s="1909"/>
      <c r="P29" s="1896"/>
      <c r="Q29" s="1896"/>
      <c r="R29" s="1896"/>
      <c r="S29" s="1896"/>
      <c r="T29" s="1896"/>
      <c r="U29" s="1896"/>
      <c r="V29" s="1896"/>
      <c r="W29" s="1896"/>
      <c r="X29" s="1896"/>
      <c r="Y29" s="1896"/>
      <c r="Z29" s="1895"/>
    </row>
    <row r="30" spans="1:28" x14ac:dyDescent="0.2">
      <c r="A30" s="1949"/>
      <c r="B30" s="1896"/>
      <c r="D30" s="1923"/>
      <c r="E30" s="1924"/>
      <c r="F30" s="1909"/>
      <c r="G30" s="1952"/>
      <c r="H30" s="1909"/>
      <c r="I30" s="1909"/>
      <c r="J30" s="1909"/>
      <c r="K30" s="1954" t="s">
        <v>483</v>
      </c>
      <c r="L30" s="1955">
        <f>SUM(L29:L29)</f>
        <v>51</v>
      </c>
      <c r="M30" s="1956" t="s">
        <v>481</v>
      </c>
      <c r="N30" s="1926"/>
      <c r="O30" s="1909"/>
      <c r="P30" s="1896"/>
      <c r="Q30" s="1896"/>
      <c r="R30" s="1896"/>
      <c r="S30" s="1896"/>
      <c r="T30" s="1896"/>
      <c r="U30" s="1896"/>
      <c r="V30" s="1896"/>
      <c r="W30" s="1896"/>
      <c r="X30" s="1896"/>
      <c r="Y30" s="1896"/>
      <c r="Z30" s="1895"/>
    </row>
    <row r="31" spans="1:28" x14ac:dyDescent="0.2">
      <c r="A31" s="1949"/>
      <c r="B31" s="1896"/>
      <c r="D31" s="1923"/>
      <c r="E31" s="1924"/>
      <c r="F31" s="1909"/>
      <c r="G31" s="1952"/>
      <c r="H31" s="1909"/>
      <c r="I31" s="1909"/>
      <c r="J31" s="1909"/>
      <c r="K31" s="1940"/>
      <c r="L31" s="1925"/>
      <c r="M31" s="1940"/>
      <c r="N31" s="1926"/>
      <c r="O31" s="1909"/>
      <c r="P31" s="1896"/>
      <c r="Q31" s="1896"/>
      <c r="R31" s="1896"/>
      <c r="S31" s="1896"/>
      <c r="T31" s="1896"/>
      <c r="U31" s="1896"/>
      <c r="V31" s="1896"/>
      <c r="W31" s="1896"/>
      <c r="X31" s="1896"/>
      <c r="Y31" s="1896"/>
      <c r="Z31" s="1895"/>
    </row>
    <row r="32" spans="1:28" x14ac:dyDescent="0.2">
      <c r="A32" s="1949"/>
      <c r="B32" s="1896"/>
      <c r="D32" s="1923"/>
      <c r="E32" s="1924"/>
      <c r="F32" s="1909" t="s">
        <v>484</v>
      </c>
      <c r="G32" s="1952"/>
      <c r="H32" s="1952" t="s">
        <v>485</v>
      </c>
      <c r="I32" s="1909"/>
      <c r="J32" s="1909"/>
      <c r="K32" s="1940" t="s">
        <v>486</v>
      </c>
      <c r="L32" s="1925">
        <f>L27*60/L30</f>
        <v>1.411764705882353</v>
      </c>
      <c r="M32" s="1940" t="s">
        <v>487</v>
      </c>
      <c r="N32" s="1926"/>
      <c r="O32" s="1909"/>
      <c r="P32" s="1896"/>
      <c r="Q32" s="1896"/>
      <c r="R32" s="1896"/>
      <c r="S32" s="1896"/>
      <c r="T32" s="1896"/>
      <c r="U32" s="1896"/>
      <c r="V32" s="1896"/>
      <c r="W32" s="1896"/>
      <c r="X32" s="1896"/>
      <c r="Y32" s="1896"/>
      <c r="Z32" s="1895"/>
    </row>
    <row r="33" spans="1:26" x14ac:dyDescent="0.2">
      <c r="A33" s="1949"/>
      <c r="B33" s="1896"/>
      <c r="D33" s="1923"/>
      <c r="E33" s="1924"/>
      <c r="F33" s="1909"/>
      <c r="G33" s="1952"/>
      <c r="H33" s="1909" t="s">
        <v>488</v>
      </c>
      <c r="I33" s="1909"/>
      <c r="J33" s="1909"/>
      <c r="K33" s="1940"/>
      <c r="L33" s="1925"/>
      <c r="M33" s="1940"/>
      <c r="N33" s="1926"/>
      <c r="O33" s="1909"/>
      <c r="P33" s="1896"/>
      <c r="Q33" s="1896"/>
      <c r="R33" s="1896"/>
      <c r="S33" s="1896"/>
      <c r="T33" s="1896"/>
      <c r="U33" s="1896"/>
      <c r="V33" s="1896"/>
      <c r="W33" s="1896"/>
      <c r="X33" s="1896"/>
      <c r="Y33" s="1896"/>
      <c r="Z33" s="1895"/>
    </row>
    <row r="34" spans="1:26" x14ac:dyDescent="0.2">
      <c r="A34" s="1949"/>
      <c r="B34" s="1896"/>
      <c r="D34" s="1923"/>
      <c r="E34" s="1924"/>
      <c r="F34" s="1909"/>
      <c r="G34" s="1952"/>
      <c r="H34" s="1909"/>
      <c r="I34" s="1909"/>
      <c r="J34" s="1909"/>
      <c r="K34" s="1940"/>
      <c r="L34" s="1925"/>
      <c r="M34" s="1924"/>
      <c r="N34" s="1926"/>
      <c r="O34" s="1909"/>
      <c r="P34" s="1896"/>
      <c r="Q34" s="1896"/>
      <c r="R34" s="1896"/>
      <c r="S34" s="1896"/>
      <c r="T34" s="1896"/>
      <c r="U34" s="1896"/>
      <c r="V34" s="1896"/>
      <c r="W34" s="1896"/>
      <c r="X34" s="1896"/>
      <c r="Y34" s="1896"/>
      <c r="Z34" s="1895"/>
    </row>
    <row r="35" spans="1:26" x14ac:dyDescent="0.2">
      <c r="A35" s="1959"/>
      <c r="D35" s="1923" t="s">
        <v>489</v>
      </c>
      <c r="E35" s="1924"/>
      <c r="F35" s="1952" t="s">
        <v>490</v>
      </c>
      <c r="G35" s="1952"/>
      <c r="H35" s="1909"/>
      <c r="I35" s="1909"/>
      <c r="J35" s="1909"/>
      <c r="K35" s="1924"/>
      <c r="L35" s="1924"/>
      <c r="M35" s="1924"/>
      <c r="N35" s="1926"/>
      <c r="O35" s="1909"/>
      <c r="P35" s="1896"/>
      <c r="Q35" s="1899"/>
      <c r="R35" s="1899"/>
      <c r="S35" s="1896"/>
      <c r="T35" s="1896"/>
      <c r="U35" s="1896"/>
      <c r="V35" s="1896"/>
      <c r="W35" s="1944"/>
      <c r="X35" s="1896"/>
      <c r="Y35" s="1896"/>
      <c r="Z35" s="1895"/>
    </row>
    <row r="36" spans="1:26" x14ac:dyDescent="0.2">
      <c r="A36" s="1959"/>
      <c r="D36" s="1923"/>
      <c r="E36" s="1924"/>
      <c r="F36" s="1909" t="s">
        <v>491</v>
      </c>
      <c r="G36" s="1909"/>
      <c r="H36" s="1909"/>
      <c r="I36" s="1909"/>
      <c r="J36" s="1909"/>
      <c r="K36" s="1924"/>
      <c r="L36" s="1924"/>
      <c r="M36" s="1924"/>
      <c r="N36" s="1960" t="s">
        <v>492</v>
      </c>
      <c r="O36" s="1909"/>
      <c r="P36" s="1896"/>
      <c r="Q36" s="1899"/>
      <c r="R36" s="1899"/>
      <c r="S36" s="1896"/>
      <c r="T36" s="1896"/>
      <c r="U36" s="1896"/>
      <c r="V36" s="1896"/>
      <c r="W36" s="1944"/>
      <c r="X36" s="1896"/>
      <c r="Y36" s="1896"/>
      <c r="Z36" s="1895"/>
    </row>
    <row r="37" spans="1:26" x14ac:dyDescent="0.2">
      <c r="A37" s="1959"/>
      <c r="D37" s="1923"/>
      <c r="E37" s="1924"/>
      <c r="F37" s="1953" t="s">
        <v>493</v>
      </c>
      <c r="G37" s="1909"/>
      <c r="H37" s="1909"/>
      <c r="I37" s="1909"/>
      <c r="J37" s="1909"/>
      <c r="K37" s="1924"/>
      <c r="L37" s="1924"/>
      <c r="M37" s="1924"/>
      <c r="N37" s="1926"/>
      <c r="O37" s="1909"/>
      <c r="P37" s="1896"/>
      <c r="Q37" s="1899"/>
      <c r="R37" s="1899"/>
      <c r="S37" s="1896"/>
      <c r="T37" s="1896"/>
      <c r="U37" s="1896"/>
      <c r="V37" s="1896"/>
      <c r="W37" s="1944"/>
      <c r="X37" s="1896"/>
      <c r="Y37" s="1896"/>
      <c r="Z37" s="1895"/>
    </row>
    <row r="38" spans="1:26" x14ac:dyDescent="0.2">
      <c r="A38" s="1961"/>
      <c r="D38" s="1923"/>
      <c r="E38" s="1924"/>
      <c r="F38" s="1909"/>
      <c r="G38" s="1909"/>
      <c r="H38" s="1909"/>
      <c r="I38" s="1909"/>
      <c r="J38" s="1909"/>
      <c r="K38" s="1924"/>
      <c r="L38" s="1924"/>
      <c r="M38" s="1924"/>
      <c r="N38" s="1926"/>
      <c r="O38" s="1909"/>
      <c r="P38" s="1896"/>
      <c r="Q38" s="1899"/>
      <c r="R38" s="1899"/>
      <c r="S38" s="1896"/>
      <c r="T38" s="1896"/>
      <c r="U38" s="1896"/>
      <c r="V38" s="1896"/>
      <c r="W38" s="1944"/>
      <c r="X38" s="1896"/>
      <c r="Y38" s="1896"/>
      <c r="Z38" s="1895"/>
    </row>
    <row r="39" spans="1:26" x14ac:dyDescent="0.2">
      <c r="A39" s="1961"/>
      <c r="D39" s="1948" t="s">
        <v>494</v>
      </c>
      <c r="E39" s="1911"/>
      <c r="F39" s="1928" t="s">
        <v>42</v>
      </c>
      <c r="G39" s="1928"/>
      <c r="H39" s="1909"/>
      <c r="I39" s="1909"/>
      <c r="J39" s="1909"/>
      <c r="K39" s="1924"/>
      <c r="L39" s="1924"/>
      <c r="M39" s="1924"/>
      <c r="N39" s="1926"/>
      <c r="O39" s="1909"/>
      <c r="P39" s="1896"/>
      <c r="Q39" s="1899"/>
      <c r="R39" s="1899"/>
      <c r="S39" s="1896"/>
      <c r="T39" s="1896"/>
      <c r="U39" s="1896"/>
      <c r="V39" s="1896"/>
      <c r="W39" s="1944"/>
      <c r="X39" s="1896"/>
      <c r="Y39" s="1896"/>
      <c r="Z39" s="1895"/>
    </row>
    <row r="40" spans="1:26" x14ac:dyDescent="0.2">
      <c r="A40" s="1959"/>
      <c r="D40" s="1923"/>
      <c r="E40" s="1924"/>
      <c r="F40" s="1909" t="s">
        <v>495</v>
      </c>
      <c r="G40" s="1909"/>
      <c r="H40" s="1909"/>
      <c r="I40" s="1909"/>
      <c r="J40" s="1909"/>
      <c r="K40" s="1940" t="s">
        <v>486</v>
      </c>
      <c r="L40" s="1925">
        <f>+L32</f>
        <v>1.411764705882353</v>
      </c>
      <c r="M40" s="1940" t="s">
        <v>496</v>
      </c>
      <c r="N40" s="1926"/>
      <c r="O40" s="1909"/>
      <c r="P40" s="1896"/>
      <c r="Q40" s="1896"/>
      <c r="R40" s="1896"/>
      <c r="S40" s="1896"/>
      <c r="T40" s="1896"/>
      <c r="U40" s="1896"/>
      <c r="V40" s="1896"/>
      <c r="W40" s="1900"/>
      <c r="X40" s="1896"/>
      <c r="Y40" s="1896"/>
      <c r="Z40" s="1895"/>
    </row>
    <row r="41" spans="1:26" x14ac:dyDescent="0.2">
      <c r="A41" s="1959"/>
      <c r="D41" s="1923"/>
      <c r="E41" s="1924"/>
      <c r="F41" s="1909" t="s">
        <v>497</v>
      </c>
      <c r="G41" s="1909"/>
      <c r="H41" s="1909"/>
      <c r="I41" s="1909"/>
      <c r="J41" s="1909"/>
      <c r="K41" s="1940" t="s">
        <v>498</v>
      </c>
      <c r="L41" s="1925">
        <f>L14*L40</f>
        <v>11.294117647058824</v>
      </c>
      <c r="M41" s="1940" t="s">
        <v>128</v>
      </c>
      <c r="N41" s="1926"/>
      <c r="O41" s="1896"/>
      <c r="P41" s="1896"/>
      <c r="Q41" s="1896"/>
      <c r="R41" s="1896"/>
      <c r="S41" s="1896"/>
      <c r="T41" s="1896"/>
      <c r="U41" s="1896"/>
      <c r="V41" s="1896"/>
      <c r="W41" s="1896"/>
      <c r="X41" s="1896"/>
      <c r="Y41" s="1896"/>
      <c r="Z41" s="1895"/>
    </row>
    <row r="42" spans="1:26" x14ac:dyDescent="0.2">
      <c r="A42" s="1959"/>
      <c r="D42" s="1923"/>
      <c r="E42" s="1924"/>
      <c r="F42" s="1909" t="s">
        <v>499</v>
      </c>
      <c r="G42" s="1909"/>
      <c r="H42" s="1909"/>
      <c r="I42" s="1909"/>
      <c r="J42" s="1909"/>
      <c r="K42" s="1924"/>
      <c r="L42" s="1925"/>
      <c r="M42" s="1924"/>
      <c r="N42" s="1926"/>
      <c r="O42" s="1959"/>
      <c r="P42" s="1959"/>
      <c r="Q42" s="1959"/>
      <c r="R42" s="1959"/>
      <c r="S42" s="1959"/>
      <c r="T42" s="1959"/>
      <c r="U42" s="1959"/>
      <c r="V42" s="1959"/>
      <c r="W42" s="1959"/>
      <c r="X42" s="1959"/>
      <c r="Y42" s="1959"/>
      <c r="Z42" s="1895"/>
    </row>
    <row r="43" spans="1:26" x14ac:dyDescent="0.2">
      <c r="A43" s="1959"/>
      <c r="D43" s="1923"/>
      <c r="E43" s="1924"/>
      <c r="F43" s="1909"/>
      <c r="G43" s="1909"/>
      <c r="H43" s="1953" t="s">
        <v>500</v>
      </c>
      <c r="I43" s="1909"/>
      <c r="J43" s="1909"/>
      <c r="K43" s="1940" t="s">
        <v>150</v>
      </c>
      <c r="L43" s="1962">
        <v>1</v>
      </c>
      <c r="M43" s="1940" t="s">
        <v>501</v>
      </c>
      <c r="N43" s="1926"/>
      <c r="O43" s="1959"/>
      <c r="P43" s="1959"/>
      <c r="Q43" s="1959"/>
      <c r="R43" s="1959"/>
      <c r="S43" s="1959"/>
      <c r="T43" s="1959"/>
      <c r="U43" s="1959"/>
      <c r="V43" s="1959"/>
      <c r="W43" s="1959"/>
      <c r="X43" s="1959"/>
      <c r="Y43" s="1959"/>
      <c r="Z43" s="1895"/>
    </row>
    <row r="44" spans="1:26" x14ac:dyDescent="0.2">
      <c r="A44" s="1959"/>
      <c r="D44" s="1923"/>
      <c r="E44" s="1924"/>
      <c r="F44" s="1909"/>
      <c r="G44" s="1909"/>
      <c r="H44" s="1953" t="s">
        <v>502</v>
      </c>
      <c r="I44" s="1909"/>
      <c r="J44" s="1909"/>
      <c r="K44" s="1940" t="s">
        <v>152</v>
      </c>
      <c r="L44" s="1962">
        <v>2</v>
      </c>
      <c r="M44" s="1940" t="s">
        <v>501</v>
      </c>
      <c r="N44" s="1926"/>
      <c r="O44" s="1959"/>
      <c r="P44" s="1959"/>
      <c r="Q44" s="1959"/>
      <c r="R44" s="1959"/>
      <c r="S44" s="1959"/>
      <c r="T44" s="1959"/>
      <c r="U44" s="1959"/>
      <c r="V44" s="1959"/>
      <c r="W44" s="1959"/>
      <c r="X44" s="1959"/>
      <c r="Y44" s="1959"/>
      <c r="Z44" s="1895"/>
    </row>
    <row r="45" spans="1:26" x14ac:dyDescent="0.2">
      <c r="A45" s="1959"/>
      <c r="D45" s="1923"/>
      <c r="E45" s="1924"/>
      <c r="F45" s="1909"/>
      <c r="G45" s="1909"/>
      <c r="H45" s="1909" t="s">
        <v>503</v>
      </c>
      <c r="I45" s="1909"/>
      <c r="J45" s="1909"/>
      <c r="K45" s="1940" t="s">
        <v>310</v>
      </c>
      <c r="L45" s="1962">
        <v>1</v>
      </c>
      <c r="M45" s="1940" t="s">
        <v>501</v>
      </c>
      <c r="N45" s="1926"/>
      <c r="O45" s="1959"/>
      <c r="P45" s="1959"/>
      <c r="Q45" s="1959"/>
      <c r="R45" s="1959"/>
      <c r="S45" s="1959"/>
      <c r="T45" s="1959"/>
      <c r="U45" s="1959"/>
      <c r="V45" s="1959"/>
      <c r="W45" s="1959"/>
      <c r="X45" s="1959"/>
      <c r="Y45" s="1959"/>
      <c r="Z45" s="1895"/>
    </row>
    <row r="46" spans="1:26" x14ac:dyDescent="0.2">
      <c r="A46" s="1959"/>
      <c r="D46" s="1923"/>
      <c r="E46" s="1924"/>
      <c r="F46" s="1909"/>
      <c r="G46" s="1909"/>
      <c r="H46" s="1909"/>
      <c r="I46" s="1909"/>
      <c r="J46" s="1909"/>
      <c r="K46" s="1924"/>
      <c r="L46" s="1925"/>
      <c r="M46" s="1924"/>
      <c r="N46" s="1926"/>
      <c r="O46" s="1959"/>
      <c r="P46" s="1959"/>
      <c r="Q46" s="1959"/>
      <c r="R46" s="1959"/>
      <c r="S46" s="1959"/>
      <c r="T46" s="1959"/>
      <c r="U46" s="1959"/>
      <c r="V46" s="1959"/>
      <c r="W46" s="1959"/>
      <c r="X46" s="1959"/>
      <c r="Y46" s="1959"/>
      <c r="Z46" s="1895"/>
    </row>
    <row r="47" spans="1:26" x14ac:dyDescent="0.2">
      <c r="A47" s="1959"/>
      <c r="D47" s="1923"/>
      <c r="E47" s="1924"/>
      <c r="F47" s="1928" t="s">
        <v>504</v>
      </c>
      <c r="G47" s="1928"/>
      <c r="H47" s="1909"/>
      <c r="I47" s="1909"/>
      <c r="J47" s="1909"/>
      <c r="K47" s="1924"/>
      <c r="L47" s="1925"/>
      <c r="M47" s="1924"/>
      <c r="N47" s="1926"/>
      <c r="O47" s="1959"/>
      <c r="P47" s="1959"/>
      <c r="Q47" s="1959"/>
      <c r="R47" s="1959"/>
      <c r="S47" s="1959"/>
      <c r="T47" s="1959"/>
      <c r="U47" s="1959"/>
      <c r="V47" s="1959"/>
      <c r="W47" s="1959"/>
      <c r="X47" s="1959"/>
      <c r="Y47" s="1959"/>
      <c r="Z47" s="1895"/>
    </row>
    <row r="48" spans="1:26" x14ac:dyDescent="0.2">
      <c r="A48" s="1959"/>
      <c r="D48" s="1923"/>
      <c r="E48" s="1924"/>
      <c r="F48" s="1909"/>
      <c r="G48" s="1909"/>
      <c r="H48" s="1928" t="s">
        <v>500</v>
      </c>
      <c r="I48" s="1953" t="s">
        <v>505</v>
      </c>
      <c r="J48" s="1909"/>
      <c r="K48" s="1940"/>
      <c r="L48" s="1957">
        <f>(L14*L43)/L41</f>
        <v>0.70833333333333326</v>
      </c>
      <c r="M48" s="1940" t="s">
        <v>247</v>
      </c>
      <c r="N48" s="1926"/>
      <c r="O48" s="1959"/>
      <c r="P48" s="1959"/>
      <c r="Q48" s="1896"/>
      <c r="R48" s="1959"/>
      <c r="S48" s="1959"/>
      <c r="T48" s="1963"/>
      <c r="U48" s="1959"/>
      <c r="V48" s="1959"/>
      <c r="W48" s="1959"/>
      <c r="X48" s="1959"/>
      <c r="Y48" s="1959"/>
      <c r="Z48" s="1895"/>
    </row>
    <row r="49" spans="1:26" x14ac:dyDescent="0.2">
      <c r="A49" s="1959"/>
      <c r="D49" s="1923"/>
      <c r="E49" s="1924"/>
      <c r="F49" s="1909"/>
      <c r="G49" s="1909"/>
      <c r="H49" s="1964" t="s">
        <v>502</v>
      </c>
      <c r="I49" s="1953" t="s">
        <v>506</v>
      </c>
      <c r="J49" s="1909"/>
      <c r="K49" s="1940"/>
      <c r="L49" s="1957">
        <f>(L14*L44)/L41</f>
        <v>1.4166666666666665</v>
      </c>
      <c r="M49" s="1940" t="s">
        <v>247</v>
      </c>
      <c r="N49" s="1926"/>
      <c r="O49" s="1959"/>
      <c r="P49" s="1959"/>
      <c r="Q49" s="1896"/>
      <c r="R49" s="1959"/>
      <c r="S49" s="1959"/>
      <c r="T49" s="1959"/>
      <c r="U49" s="1959"/>
      <c r="V49" s="1959"/>
      <c r="W49" s="1959"/>
      <c r="X49" s="1959"/>
      <c r="Y49" s="1959"/>
      <c r="Z49" s="1895"/>
    </row>
    <row r="50" spans="1:26" x14ac:dyDescent="0.2">
      <c r="A50" s="1959"/>
      <c r="D50" s="1923"/>
      <c r="E50" s="1924"/>
      <c r="F50" s="1909"/>
      <c r="G50" s="1909"/>
      <c r="H50" s="1928" t="s">
        <v>503</v>
      </c>
      <c r="I50" s="1953" t="s">
        <v>507</v>
      </c>
      <c r="J50" s="1909"/>
      <c r="K50" s="1940"/>
      <c r="L50" s="1957">
        <f>(L14*L45)/L41</f>
        <v>0.70833333333333326</v>
      </c>
      <c r="M50" s="1940" t="s">
        <v>247</v>
      </c>
      <c r="N50" s="1926"/>
      <c r="O50" s="1959"/>
      <c r="P50" s="1959"/>
      <c r="Q50" s="1896"/>
      <c r="R50" s="1959"/>
      <c r="S50" s="1959"/>
      <c r="T50" s="1959"/>
      <c r="U50" s="1959"/>
      <c r="V50" s="1959"/>
      <c r="W50" s="1959"/>
      <c r="X50" s="1959"/>
      <c r="Y50" s="1959"/>
      <c r="Z50" s="1895"/>
    </row>
    <row r="51" spans="1:26" x14ac:dyDescent="0.2">
      <c r="A51" s="1959"/>
      <c r="D51" s="1923"/>
      <c r="E51" s="1924"/>
      <c r="F51" s="1909"/>
      <c r="G51" s="1909"/>
      <c r="H51" s="1909"/>
      <c r="I51" s="1909"/>
      <c r="J51" s="1909"/>
      <c r="K51" s="1924"/>
      <c r="L51" s="1925"/>
      <c r="M51" s="1924"/>
      <c r="N51" s="1926"/>
      <c r="O51" s="1959"/>
      <c r="P51" s="1959"/>
      <c r="Q51" s="1959"/>
      <c r="R51" s="1959"/>
      <c r="S51" s="1959"/>
      <c r="T51" s="1959"/>
      <c r="U51" s="1959"/>
      <c r="V51" s="1959"/>
      <c r="W51" s="1959"/>
      <c r="X51" s="1959"/>
      <c r="Y51" s="1959"/>
      <c r="Z51" s="1895"/>
    </row>
    <row r="52" spans="1:26" x14ac:dyDescent="0.2">
      <c r="A52" s="1959"/>
      <c r="D52" s="1910" t="s">
        <v>508</v>
      </c>
      <c r="E52" s="1911"/>
      <c r="F52" s="1928" t="s">
        <v>509</v>
      </c>
      <c r="G52" s="1928"/>
      <c r="H52" s="1909"/>
      <c r="I52" s="1909"/>
      <c r="J52" s="1909"/>
      <c r="K52" s="1924"/>
      <c r="L52" s="1925"/>
      <c r="M52" s="1924"/>
      <c r="N52" s="1926"/>
      <c r="O52" s="1959"/>
      <c r="P52" s="1959"/>
      <c r="Q52" s="1959"/>
      <c r="R52" s="1959"/>
      <c r="S52" s="1959"/>
      <c r="T52" s="1959"/>
      <c r="U52" s="1959"/>
      <c r="V52" s="1959"/>
      <c r="W52" s="1959"/>
      <c r="X52" s="1959"/>
      <c r="Y52" s="1959"/>
      <c r="Z52" s="1895"/>
    </row>
    <row r="53" spans="1:26" x14ac:dyDescent="0.2">
      <c r="A53" s="1959"/>
      <c r="D53" s="1923"/>
      <c r="E53" s="1924"/>
      <c r="F53" s="1909" t="s">
        <v>510</v>
      </c>
      <c r="G53" s="1909"/>
      <c r="H53" s="1909"/>
      <c r="I53" s="1909"/>
      <c r="J53" s="1909"/>
      <c r="K53" s="1924"/>
      <c r="L53" s="1925"/>
      <c r="M53" s="1924"/>
      <c r="N53" s="1926"/>
      <c r="O53" s="1959"/>
      <c r="P53" s="1959"/>
      <c r="Q53" s="1959"/>
      <c r="R53" s="1959"/>
      <c r="S53" s="1959"/>
      <c r="T53" s="1959"/>
      <c r="U53" s="1959"/>
      <c r="V53" s="1959"/>
      <c r="W53" s="1959"/>
      <c r="X53" s="1959"/>
      <c r="Y53" s="1959"/>
      <c r="Z53" s="1895"/>
    </row>
    <row r="54" spans="1:26" x14ac:dyDescent="0.2">
      <c r="A54" s="1959"/>
      <c r="D54" s="1923"/>
      <c r="E54" s="1924"/>
      <c r="F54" s="1909"/>
      <c r="G54" s="1909"/>
      <c r="H54" s="1909"/>
      <c r="I54" s="1909"/>
      <c r="J54" s="1909"/>
      <c r="K54" s="1924"/>
      <c r="L54" s="1925"/>
      <c r="M54" s="1924"/>
      <c r="N54" s="1926"/>
      <c r="O54" s="1959"/>
      <c r="P54" s="1959"/>
      <c r="Q54" s="1959"/>
      <c r="R54" s="1959"/>
      <c r="S54" s="1959"/>
      <c r="T54" s="1959"/>
      <c r="U54" s="1959"/>
      <c r="V54" s="1959"/>
      <c r="W54" s="1959"/>
      <c r="X54" s="1959"/>
      <c r="Y54" s="1959"/>
      <c r="Z54" s="1895"/>
    </row>
    <row r="55" spans="1:26" x14ac:dyDescent="0.2">
      <c r="A55" s="1959"/>
      <c r="D55" s="1910" t="s">
        <v>511</v>
      </c>
      <c r="E55" s="1911"/>
      <c r="F55" s="1928" t="s">
        <v>512</v>
      </c>
      <c r="G55" s="1928"/>
      <c r="H55" s="1909"/>
      <c r="I55" s="1909"/>
      <c r="J55" s="1909"/>
      <c r="K55" s="1924"/>
      <c r="L55" s="1925"/>
      <c r="M55" s="1924"/>
      <c r="N55" s="1926"/>
      <c r="O55" s="1959"/>
      <c r="P55" s="1959"/>
      <c r="Q55" s="1959"/>
      <c r="R55" s="1959"/>
      <c r="S55" s="1959"/>
      <c r="T55" s="1959"/>
      <c r="U55" s="1959"/>
      <c r="V55" s="1959"/>
      <c r="W55" s="1959"/>
      <c r="X55" s="1959"/>
      <c r="Y55" s="1959"/>
      <c r="Z55" s="1895"/>
    </row>
    <row r="56" spans="1:26" x14ac:dyDescent="0.2">
      <c r="A56" s="1959"/>
      <c r="D56" s="1923"/>
      <c r="E56" s="1924"/>
      <c r="F56" s="1909"/>
      <c r="G56" s="1909"/>
      <c r="H56" s="1909"/>
      <c r="I56" s="1909"/>
      <c r="J56" s="1909"/>
      <c r="K56" s="1924"/>
      <c r="L56" s="1925"/>
      <c r="M56" s="1924"/>
      <c r="N56" s="1926"/>
      <c r="O56" s="1959"/>
      <c r="P56" s="1959"/>
      <c r="Q56" s="1959"/>
      <c r="R56" s="1959"/>
      <c r="S56" s="1959"/>
      <c r="T56" s="1959"/>
      <c r="U56" s="1959"/>
      <c r="V56" s="1959"/>
      <c r="W56" s="1959"/>
      <c r="X56" s="1959"/>
      <c r="Y56" s="1959"/>
      <c r="Z56" s="1895"/>
    </row>
    <row r="57" spans="1:26" x14ac:dyDescent="0.2">
      <c r="A57" s="1959"/>
      <c r="D57" s="1923"/>
      <c r="E57" s="1924"/>
      <c r="F57" s="1965"/>
      <c r="G57" s="1966"/>
      <c r="H57" s="1966"/>
      <c r="I57" s="1967"/>
      <c r="J57" s="1909"/>
      <c r="K57" s="1924"/>
      <c r="L57" s="1925"/>
      <c r="M57" s="1924"/>
      <c r="N57" s="1926"/>
      <c r="O57" s="1959"/>
      <c r="P57" s="1959"/>
      <c r="Q57" s="1959"/>
      <c r="R57" s="1959"/>
      <c r="S57" s="1959"/>
      <c r="T57" s="1959"/>
      <c r="U57" s="1959"/>
      <c r="V57" s="1959"/>
      <c r="W57" s="1959"/>
      <c r="X57" s="1959"/>
      <c r="Y57" s="1959"/>
      <c r="Z57" s="1895"/>
    </row>
    <row r="58" spans="1:26" x14ac:dyDescent="0.2">
      <c r="A58" s="1959"/>
      <c r="D58" s="1923"/>
      <c r="E58" s="1924"/>
      <c r="F58" s="1968"/>
      <c r="G58" s="3241"/>
      <c r="H58" s="3242"/>
      <c r="I58" s="1969"/>
      <c r="J58" s="1909"/>
      <c r="K58" s="1924"/>
      <c r="L58" s="1925"/>
      <c r="M58" s="1924"/>
      <c r="N58" s="1926"/>
      <c r="O58" s="1959"/>
      <c r="P58" s="1959"/>
      <c r="Q58" s="1959"/>
      <c r="R58" s="1959"/>
      <c r="S58" s="1959"/>
      <c r="T58" s="1959"/>
      <c r="U58" s="1959"/>
      <c r="V58" s="1959"/>
      <c r="W58" s="1959"/>
      <c r="X58" s="1959"/>
      <c r="Y58" s="1959"/>
      <c r="Z58" s="1895"/>
    </row>
    <row r="59" spans="1:26" x14ac:dyDescent="0.2">
      <c r="A59" s="1959"/>
      <c r="D59" s="1923"/>
      <c r="E59" s="1924"/>
      <c r="F59" s="1970"/>
      <c r="G59" s="1971"/>
      <c r="H59" s="1971"/>
      <c r="I59" s="1972"/>
      <c r="J59" s="1909"/>
      <c r="K59" s="1924"/>
      <c r="L59" s="1925"/>
      <c r="M59" s="1924"/>
      <c r="N59" s="1926"/>
      <c r="O59" s="1959"/>
      <c r="P59" s="1959"/>
      <c r="Q59" s="1959"/>
      <c r="R59" s="1959"/>
      <c r="S59" s="1959"/>
      <c r="T59" s="1959"/>
      <c r="U59" s="1959"/>
      <c r="V59" s="1959"/>
      <c r="W59" s="1959"/>
      <c r="X59" s="1959"/>
      <c r="Y59" s="1959"/>
      <c r="Z59" s="1895"/>
    </row>
    <row r="60" spans="1:26" ht="14.25" thickBot="1" x14ac:dyDescent="0.25">
      <c r="A60" s="1959"/>
      <c r="D60" s="1918"/>
      <c r="E60" s="1919"/>
      <c r="F60" s="1920"/>
      <c r="G60" s="1920"/>
      <c r="H60" s="1920"/>
      <c r="I60" s="1920"/>
      <c r="J60" s="1920"/>
      <c r="K60" s="1919"/>
      <c r="L60" s="1919"/>
      <c r="M60" s="1919"/>
      <c r="N60" s="1973"/>
      <c r="O60" s="1959"/>
      <c r="P60" s="1959"/>
      <c r="Q60" s="1959"/>
      <c r="R60" s="1959"/>
      <c r="S60" s="1959"/>
      <c r="T60" s="1959"/>
      <c r="U60" s="1959"/>
      <c r="V60" s="1959"/>
      <c r="W60" s="1959"/>
      <c r="X60" s="1959"/>
      <c r="Y60" s="1959"/>
      <c r="Z60" s="1895"/>
    </row>
    <row r="61" spans="1:26" x14ac:dyDescent="0.2">
      <c r="A61" s="1959"/>
      <c r="D61" s="1895"/>
      <c r="E61" s="1895"/>
      <c r="F61" s="1895"/>
      <c r="G61" s="1895"/>
      <c r="H61" s="1895"/>
      <c r="I61" s="1895"/>
      <c r="J61" s="1895"/>
      <c r="K61" s="1895"/>
      <c r="L61" s="1895"/>
      <c r="M61" s="1895"/>
      <c r="N61" s="1895"/>
      <c r="O61" s="1959"/>
      <c r="P61" s="1959"/>
      <c r="Q61" s="1959"/>
      <c r="R61" s="1959"/>
      <c r="S61" s="1959"/>
      <c r="T61" s="1959"/>
      <c r="U61" s="1959"/>
      <c r="V61" s="1959"/>
      <c r="W61" s="1959"/>
      <c r="X61" s="1959"/>
      <c r="Y61" s="1959"/>
      <c r="Z61" s="1895"/>
    </row>
    <row r="62" spans="1:26" x14ac:dyDescent="0.2">
      <c r="A62" s="1959"/>
      <c r="D62" s="1895"/>
      <c r="E62" s="1895"/>
      <c r="F62" s="1895"/>
      <c r="G62" s="1895"/>
      <c r="H62" s="1895"/>
      <c r="I62" s="1895"/>
      <c r="J62" s="1895"/>
      <c r="K62" s="1895"/>
      <c r="L62" s="1895"/>
      <c r="M62" s="1895"/>
      <c r="N62" s="1895"/>
      <c r="O62" s="1959"/>
      <c r="P62" s="1959"/>
      <c r="Q62" s="1959"/>
      <c r="R62" s="1959"/>
      <c r="S62" s="1959"/>
      <c r="T62" s="1959"/>
      <c r="U62" s="1959"/>
      <c r="V62" s="1959"/>
      <c r="W62" s="1959"/>
      <c r="X62" s="1959"/>
      <c r="Y62" s="1959"/>
      <c r="Z62" s="1895"/>
    </row>
    <row r="63" spans="1:26" x14ac:dyDescent="0.2">
      <c r="A63" s="1959"/>
      <c r="D63" s="1895"/>
      <c r="E63" s="1895"/>
      <c r="F63" s="1895"/>
      <c r="G63" s="1895"/>
      <c r="H63" s="1895"/>
      <c r="I63" s="1895"/>
      <c r="J63" s="1895"/>
      <c r="K63" s="1895"/>
      <c r="L63" s="1895"/>
      <c r="M63" s="1895"/>
      <c r="N63" s="1895"/>
      <c r="O63" s="1959"/>
      <c r="P63" s="1959"/>
      <c r="Q63" s="1959"/>
      <c r="R63" s="1959"/>
      <c r="S63" s="1959"/>
      <c r="T63" s="1959"/>
      <c r="U63" s="1959"/>
      <c r="V63" s="1959"/>
      <c r="W63" s="1959"/>
      <c r="X63" s="1959"/>
      <c r="Y63" s="1959"/>
      <c r="Z63" s="1895"/>
    </row>
    <row r="64" spans="1:26" x14ac:dyDescent="0.2">
      <c r="A64" s="1959"/>
      <c r="D64" s="1895"/>
      <c r="E64" s="1895"/>
      <c r="F64" s="1895"/>
      <c r="G64" s="1895"/>
      <c r="H64" s="1895"/>
      <c r="I64" s="1895"/>
      <c r="J64" s="1895"/>
      <c r="K64" s="1895"/>
      <c r="L64" s="1895"/>
      <c r="M64" s="1895"/>
      <c r="N64" s="1895"/>
      <c r="O64" s="1959"/>
      <c r="P64" s="1959"/>
      <c r="Q64" s="1959"/>
      <c r="R64" s="1959"/>
      <c r="S64" s="1959"/>
      <c r="T64" s="1959"/>
      <c r="U64" s="1959"/>
      <c r="V64" s="1959"/>
      <c r="W64" s="1959"/>
      <c r="X64" s="1959"/>
      <c r="Y64" s="1959"/>
      <c r="Z64" s="1895"/>
    </row>
    <row r="65" spans="1:26" x14ac:dyDescent="0.2">
      <c r="A65" s="1959"/>
      <c r="D65" s="1895"/>
      <c r="E65" s="1895"/>
      <c r="F65" s="1895"/>
      <c r="G65" s="1895"/>
      <c r="H65" s="1895"/>
      <c r="I65" s="1895"/>
      <c r="J65" s="1895"/>
      <c r="K65" s="1895"/>
      <c r="L65" s="1895"/>
      <c r="M65" s="1895"/>
      <c r="N65" s="1895"/>
      <c r="O65" s="1959"/>
      <c r="P65" s="1959"/>
      <c r="Q65" s="1959"/>
      <c r="R65" s="1959"/>
      <c r="S65" s="1959"/>
      <c r="T65" s="1959"/>
      <c r="U65" s="1959"/>
      <c r="V65" s="1959"/>
      <c r="W65" s="1959"/>
      <c r="X65" s="1959"/>
      <c r="Y65" s="1959"/>
      <c r="Z65" s="1895"/>
    </row>
    <row r="66" spans="1:26" x14ac:dyDescent="0.2">
      <c r="A66" s="1959"/>
      <c r="D66" s="1895"/>
      <c r="E66" s="1895"/>
      <c r="F66" s="1895"/>
      <c r="G66" s="1895"/>
      <c r="H66" s="1895"/>
      <c r="I66" s="1895"/>
      <c r="J66" s="1895"/>
      <c r="K66" s="1895"/>
      <c r="L66" s="1895"/>
      <c r="M66" s="1895"/>
      <c r="N66" s="1895"/>
      <c r="O66" s="1959"/>
      <c r="P66" s="1959"/>
      <c r="Q66" s="1959"/>
      <c r="R66" s="1959"/>
      <c r="S66" s="1959"/>
      <c r="T66" s="1959"/>
      <c r="U66" s="1959"/>
      <c r="V66" s="1959"/>
      <c r="W66" s="1959"/>
      <c r="X66" s="1959"/>
      <c r="Y66" s="1959"/>
      <c r="Z66" s="1895"/>
    </row>
    <row r="67" spans="1:26" x14ac:dyDescent="0.2">
      <c r="A67" s="1959"/>
      <c r="D67" s="1895"/>
      <c r="E67" s="1895"/>
      <c r="F67" s="1895"/>
      <c r="G67" s="1895"/>
      <c r="H67" s="1895"/>
      <c r="I67" s="1895"/>
      <c r="J67" s="1895"/>
      <c r="K67" s="1895"/>
      <c r="L67" s="1895"/>
      <c r="M67" s="1895"/>
      <c r="N67" s="1895"/>
      <c r="O67" s="1959"/>
      <c r="P67" s="1959"/>
      <c r="Q67" s="1959"/>
      <c r="R67" s="1959"/>
      <c r="S67" s="1959"/>
      <c r="T67" s="1959"/>
      <c r="U67" s="1959"/>
      <c r="V67" s="1959"/>
      <c r="W67" s="1959"/>
      <c r="X67" s="1959"/>
      <c r="Y67" s="1959"/>
      <c r="Z67" s="1895"/>
    </row>
    <row r="68" spans="1:26" x14ac:dyDescent="0.2">
      <c r="A68" s="1959"/>
      <c r="D68" s="1895"/>
      <c r="E68" s="1895"/>
      <c r="F68" s="1895"/>
      <c r="G68" s="1895"/>
      <c r="H68" s="1895"/>
      <c r="I68" s="1895"/>
      <c r="J68" s="1895"/>
      <c r="K68" s="1895"/>
      <c r="L68" s="1895"/>
      <c r="M68" s="1895"/>
      <c r="N68" s="1895"/>
      <c r="O68" s="1959"/>
      <c r="P68" s="1959"/>
      <c r="Q68" s="1959"/>
      <c r="R68" s="1959"/>
      <c r="S68" s="1959"/>
      <c r="T68" s="1959"/>
      <c r="U68" s="1959"/>
      <c r="V68" s="1959"/>
      <c r="W68" s="1959"/>
      <c r="X68" s="1959"/>
      <c r="Y68" s="1959"/>
      <c r="Z68" s="1895"/>
    </row>
    <row r="69" spans="1:26" x14ac:dyDescent="0.2">
      <c r="A69" s="1959"/>
      <c r="D69" s="1895"/>
      <c r="E69" s="1895"/>
      <c r="F69" s="1895"/>
      <c r="G69" s="1895"/>
      <c r="H69" s="1895"/>
      <c r="I69" s="1895"/>
      <c r="J69" s="1895"/>
      <c r="K69" s="1895"/>
      <c r="L69" s="1895"/>
      <c r="M69" s="1895"/>
      <c r="N69" s="1895"/>
      <c r="O69" s="1959"/>
      <c r="P69" s="1959"/>
      <c r="Q69" s="1959"/>
      <c r="R69" s="1959"/>
      <c r="S69" s="1959"/>
      <c r="T69" s="1959"/>
      <c r="U69" s="1959"/>
      <c r="V69" s="1959"/>
      <c r="W69" s="1959"/>
      <c r="X69" s="1959"/>
      <c r="Y69" s="1959"/>
      <c r="Z69" s="1895"/>
    </row>
    <row r="70" spans="1:26" x14ac:dyDescent="0.2">
      <c r="A70" s="1959"/>
      <c r="D70" s="1895"/>
      <c r="E70" s="1895"/>
      <c r="F70" s="1895"/>
      <c r="G70" s="1895"/>
      <c r="H70" s="1895"/>
      <c r="I70" s="1895"/>
      <c r="J70" s="1895"/>
      <c r="K70" s="1895"/>
      <c r="L70" s="1895"/>
      <c r="M70" s="1895"/>
      <c r="N70" s="1895"/>
      <c r="O70" s="1959"/>
      <c r="P70" s="1959"/>
      <c r="Q70" s="1959"/>
      <c r="R70" s="1959"/>
      <c r="S70" s="1959"/>
      <c r="T70" s="1959"/>
      <c r="U70" s="1959"/>
      <c r="V70" s="1959"/>
      <c r="W70" s="1959"/>
      <c r="X70" s="1959"/>
      <c r="Y70" s="1959"/>
      <c r="Z70" s="1895"/>
    </row>
    <row r="71" spans="1:26" x14ac:dyDescent="0.2">
      <c r="A71" s="1959"/>
      <c r="D71" s="1895"/>
      <c r="E71" s="1895"/>
      <c r="F71" s="1895"/>
      <c r="G71" s="1895"/>
      <c r="H71" s="1895"/>
      <c r="I71" s="1895"/>
      <c r="J71" s="1895"/>
      <c r="K71" s="1895"/>
      <c r="L71" s="1895"/>
      <c r="M71" s="1895"/>
      <c r="N71" s="1895"/>
      <c r="O71" s="1959"/>
      <c r="P71" s="1959"/>
      <c r="Q71" s="1959"/>
      <c r="R71" s="1959"/>
      <c r="S71" s="1959"/>
      <c r="T71" s="1959"/>
      <c r="U71" s="1959"/>
      <c r="V71" s="1959"/>
      <c r="W71" s="1959"/>
      <c r="X71" s="1959"/>
      <c r="Y71" s="1959"/>
      <c r="Z71" s="1895"/>
    </row>
    <row r="72" spans="1:26" x14ac:dyDescent="0.2">
      <c r="A72" s="1959"/>
      <c r="D72" s="1895"/>
      <c r="E72" s="1895"/>
      <c r="F72" s="1895"/>
      <c r="G72" s="1895"/>
      <c r="H72" s="1895"/>
      <c r="I72" s="1895"/>
      <c r="J72" s="1895"/>
      <c r="K72" s="1895"/>
      <c r="L72" s="1895"/>
      <c r="M72" s="1895"/>
      <c r="N72" s="1895"/>
      <c r="O72" s="1959"/>
      <c r="P72" s="1959"/>
      <c r="Q72" s="1959"/>
      <c r="R72" s="1959"/>
      <c r="S72" s="1959"/>
      <c r="T72" s="1959"/>
      <c r="U72" s="1959"/>
      <c r="V72" s="1959"/>
      <c r="W72" s="1959"/>
      <c r="X72" s="1959"/>
      <c r="Y72" s="1959"/>
      <c r="Z72" s="1895"/>
    </row>
    <row r="73" spans="1:26" x14ac:dyDescent="0.2">
      <c r="A73" s="1959"/>
      <c r="D73" s="1895"/>
      <c r="E73" s="1895"/>
      <c r="F73" s="1895"/>
      <c r="G73" s="1895"/>
      <c r="H73" s="1895"/>
      <c r="I73" s="1895"/>
      <c r="J73" s="1895"/>
      <c r="K73" s="1895"/>
      <c r="L73" s="1895"/>
      <c r="M73" s="1895"/>
      <c r="N73" s="1895"/>
      <c r="O73" s="1959"/>
      <c r="P73" s="1959"/>
      <c r="Q73" s="1959"/>
      <c r="R73" s="1959"/>
      <c r="S73" s="1959"/>
      <c r="T73" s="1959"/>
      <c r="U73" s="1959"/>
      <c r="V73" s="1959"/>
      <c r="W73" s="1959"/>
      <c r="X73" s="1959"/>
      <c r="Y73" s="1959"/>
      <c r="Z73" s="1895"/>
    </row>
    <row r="74" spans="1:26" x14ac:dyDescent="0.2">
      <c r="A74" s="1959"/>
      <c r="D74" s="1895"/>
      <c r="E74" s="1895"/>
      <c r="F74" s="1895"/>
      <c r="G74" s="1895"/>
      <c r="H74" s="1895"/>
      <c r="I74" s="1895"/>
      <c r="J74" s="1895"/>
      <c r="K74" s="1895"/>
      <c r="L74" s="1895"/>
      <c r="M74" s="1895"/>
      <c r="N74" s="1895"/>
      <c r="O74" s="1959"/>
      <c r="P74" s="1959"/>
      <c r="Q74" s="1959"/>
      <c r="R74" s="1959"/>
      <c r="S74" s="1959"/>
      <c r="T74" s="1959"/>
      <c r="U74" s="1959"/>
      <c r="V74" s="1959"/>
      <c r="W74" s="1959"/>
      <c r="X74" s="1959"/>
      <c r="Y74" s="1959"/>
      <c r="Z74" s="1895"/>
    </row>
    <row r="75" spans="1:26" x14ac:dyDescent="0.2">
      <c r="A75" s="1959"/>
      <c r="D75" s="1895"/>
      <c r="E75" s="1895"/>
      <c r="F75" s="1895"/>
      <c r="G75" s="1895"/>
      <c r="H75" s="1895"/>
      <c r="I75" s="1895"/>
      <c r="J75" s="1895"/>
      <c r="K75" s="1895"/>
      <c r="L75" s="1895"/>
      <c r="M75" s="1895"/>
      <c r="N75" s="1895"/>
      <c r="O75" s="1959"/>
      <c r="P75" s="1959"/>
      <c r="Q75" s="1959"/>
      <c r="R75" s="1959"/>
      <c r="S75" s="1959"/>
      <c r="T75" s="1959"/>
      <c r="U75" s="1959"/>
      <c r="V75" s="1959"/>
      <c r="W75" s="1959"/>
      <c r="X75" s="1959"/>
      <c r="Y75" s="1959"/>
      <c r="Z75" s="1895"/>
    </row>
    <row r="76" spans="1:26" x14ac:dyDescent="0.2">
      <c r="A76" s="1959"/>
      <c r="D76" s="1895"/>
      <c r="E76" s="1895"/>
      <c r="F76" s="1895"/>
      <c r="G76" s="1895"/>
      <c r="H76" s="1895"/>
      <c r="I76" s="1895"/>
      <c r="J76" s="1895"/>
      <c r="K76" s="1895"/>
      <c r="L76" s="1895"/>
      <c r="M76" s="1895"/>
      <c r="N76" s="1895"/>
      <c r="O76" s="1959"/>
      <c r="P76" s="1959"/>
      <c r="Q76" s="1959"/>
      <c r="R76" s="1959"/>
      <c r="S76" s="1959"/>
      <c r="T76" s="1959"/>
      <c r="U76" s="1959"/>
      <c r="V76" s="1959"/>
      <c r="W76" s="1959"/>
      <c r="X76" s="1959"/>
      <c r="Y76" s="1959"/>
      <c r="Z76" s="1895"/>
    </row>
    <row r="77" spans="1:26" x14ac:dyDescent="0.2">
      <c r="A77" s="1959"/>
      <c r="D77" s="1895"/>
      <c r="E77" s="1895"/>
      <c r="F77" s="1895"/>
      <c r="G77" s="1895"/>
      <c r="H77" s="1895"/>
      <c r="I77" s="1895"/>
      <c r="J77" s="1895"/>
      <c r="K77" s="1895"/>
      <c r="L77" s="1895"/>
      <c r="M77" s="1895"/>
      <c r="N77" s="1895"/>
      <c r="O77" s="1959"/>
      <c r="P77" s="1959"/>
      <c r="Q77" s="1959"/>
      <c r="R77" s="1959"/>
      <c r="S77" s="1959"/>
      <c r="T77" s="1959"/>
      <c r="U77" s="1959"/>
      <c r="V77" s="1959"/>
      <c r="W77" s="1959"/>
      <c r="X77" s="1959"/>
      <c r="Y77" s="1959"/>
      <c r="Z77" s="1895"/>
    </row>
    <row r="78" spans="1:26" x14ac:dyDescent="0.2">
      <c r="A78" s="1959"/>
      <c r="D78" s="1895"/>
      <c r="E78" s="1895"/>
      <c r="F78" s="1895"/>
      <c r="G78" s="1895"/>
      <c r="H78" s="1895"/>
      <c r="I78" s="1895"/>
      <c r="J78" s="1895"/>
      <c r="K78" s="1895"/>
      <c r="L78" s="1895"/>
      <c r="M78" s="1895"/>
      <c r="N78" s="1895"/>
      <c r="O78" s="1959"/>
      <c r="P78" s="1959"/>
      <c r="Q78" s="1959"/>
      <c r="R78" s="1959"/>
      <c r="S78" s="1959"/>
      <c r="T78" s="1959"/>
      <c r="U78" s="1959"/>
      <c r="V78" s="1959"/>
      <c r="W78" s="1959"/>
      <c r="X78" s="1959"/>
      <c r="Y78" s="1959"/>
      <c r="Z78" s="1895"/>
    </row>
    <row r="79" spans="1:26" x14ac:dyDescent="0.2">
      <c r="A79" s="1959"/>
      <c r="D79" s="1895"/>
      <c r="E79" s="1895"/>
      <c r="F79" s="1895"/>
      <c r="G79" s="1895"/>
      <c r="H79" s="1895"/>
      <c r="I79" s="1895"/>
      <c r="J79" s="1895"/>
      <c r="K79" s="1895"/>
      <c r="L79" s="1895"/>
      <c r="M79" s="1895"/>
      <c r="N79" s="1895"/>
      <c r="O79" s="1959"/>
      <c r="P79" s="1959"/>
      <c r="Q79" s="1959"/>
      <c r="R79" s="1959"/>
      <c r="S79" s="1959"/>
      <c r="T79" s="1959"/>
      <c r="U79" s="1959"/>
      <c r="V79" s="1959"/>
      <c r="W79" s="1959"/>
      <c r="X79" s="1959"/>
      <c r="Y79" s="1959"/>
      <c r="Z79" s="1895"/>
    </row>
    <row r="80" spans="1:26" x14ac:dyDescent="0.2">
      <c r="A80" s="1959"/>
      <c r="D80" s="1895"/>
      <c r="E80" s="1895"/>
      <c r="F80" s="1895"/>
      <c r="G80" s="1895"/>
      <c r="H80" s="1895"/>
      <c r="I80" s="1895"/>
      <c r="J80" s="1895"/>
      <c r="K80" s="1895"/>
      <c r="L80" s="1895"/>
      <c r="M80" s="1895"/>
      <c r="N80" s="1895"/>
      <c r="O80" s="1959"/>
      <c r="P80" s="1959"/>
      <c r="Q80" s="1959"/>
      <c r="R80" s="1959"/>
      <c r="S80" s="1959"/>
      <c r="T80" s="1959"/>
      <c r="U80" s="1959"/>
      <c r="V80" s="1959"/>
      <c r="W80" s="1959"/>
      <c r="X80" s="1959"/>
      <c r="Y80" s="1959"/>
      <c r="Z80" s="1895"/>
    </row>
    <row r="81" spans="1:26" x14ac:dyDescent="0.2">
      <c r="A81" s="1959"/>
      <c r="D81" s="1895"/>
      <c r="E81" s="1895"/>
      <c r="F81" s="1895"/>
      <c r="G81" s="1895"/>
      <c r="H81" s="1895"/>
      <c r="I81" s="1895"/>
      <c r="J81" s="1895"/>
      <c r="K81" s="1895"/>
      <c r="L81" s="1895"/>
      <c r="M81" s="1895"/>
      <c r="N81" s="1895"/>
      <c r="O81" s="1959"/>
      <c r="P81" s="1959"/>
      <c r="Q81" s="1959"/>
      <c r="R81" s="1959"/>
      <c r="S81" s="1959"/>
      <c r="T81" s="1959"/>
      <c r="U81" s="1959"/>
      <c r="V81" s="1959"/>
      <c r="W81" s="1959"/>
      <c r="X81" s="1959"/>
      <c r="Y81" s="1959"/>
      <c r="Z81" s="1895"/>
    </row>
    <row r="82" spans="1:26" x14ac:dyDescent="0.2">
      <c r="A82" s="1959"/>
      <c r="D82" s="1895"/>
      <c r="E82" s="1895"/>
      <c r="F82" s="1895"/>
      <c r="G82" s="1895"/>
      <c r="H82" s="1895"/>
      <c r="I82" s="1895"/>
      <c r="J82" s="1895"/>
      <c r="K82" s="1895"/>
      <c r="L82" s="1895"/>
      <c r="M82" s="1895"/>
      <c r="N82" s="1895"/>
      <c r="O82" s="1959"/>
      <c r="P82" s="1959"/>
      <c r="Q82" s="1959"/>
      <c r="R82" s="1959"/>
      <c r="S82" s="1959"/>
      <c r="T82" s="1959"/>
      <c r="U82" s="1959"/>
      <c r="V82" s="1959"/>
      <c r="W82" s="1959"/>
      <c r="X82" s="1959"/>
      <c r="Y82" s="1959"/>
      <c r="Z82" s="1895"/>
    </row>
    <row r="83" spans="1:26" x14ac:dyDescent="0.2">
      <c r="A83" s="1959"/>
      <c r="D83" s="1895"/>
      <c r="E83" s="1895"/>
      <c r="F83" s="1895"/>
      <c r="G83" s="1895"/>
      <c r="H83" s="1895"/>
      <c r="I83" s="1895"/>
      <c r="J83" s="1895"/>
      <c r="K83" s="1895"/>
      <c r="L83" s="1895"/>
      <c r="M83" s="1895"/>
      <c r="N83" s="1895"/>
      <c r="O83" s="1959"/>
      <c r="P83" s="1959"/>
      <c r="Q83" s="1959"/>
      <c r="R83" s="1959"/>
      <c r="S83" s="1959"/>
      <c r="T83" s="1959"/>
      <c r="U83" s="1959"/>
      <c r="V83" s="1959"/>
      <c r="W83" s="1959"/>
      <c r="X83" s="1959"/>
      <c r="Y83" s="1959"/>
      <c r="Z83" s="1895"/>
    </row>
    <row r="84" spans="1:26" x14ac:dyDescent="0.2">
      <c r="A84" s="1959"/>
      <c r="D84" s="1895"/>
      <c r="E84" s="1895"/>
      <c r="F84" s="1895"/>
      <c r="G84" s="1895"/>
      <c r="H84" s="1895"/>
      <c r="I84" s="1895"/>
      <c r="J84" s="1895"/>
      <c r="K84" s="1895"/>
      <c r="L84" s="1895"/>
      <c r="M84" s="1895"/>
      <c r="N84" s="1895"/>
      <c r="O84" s="1959"/>
      <c r="P84" s="1959"/>
      <c r="Q84" s="1959"/>
      <c r="R84" s="1959"/>
      <c r="S84" s="1959"/>
      <c r="T84" s="1959"/>
      <c r="U84" s="1959"/>
      <c r="V84" s="1959"/>
      <c r="W84" s="1959"/>
      <c r="X84" s="1959"/>
      <c r="Y84" s="1959"/>
      <c r="Z84" s="1895"/>
    </row>
    <row r="85" spans="1:26" x14ac:dyDescent="0.2">
      <c r="A85" s="1959"/>
      <c r="D85" s="1895"/>
      <c r="E85" s="1895"/>
      <c r="F85" s="1895"/>
      <c r="G85" s="1895"/>
      <c r="H85" s="1895"/>
      <c r="I85" s="1895"/>
      <c r="J85" s="1895"/>
      <c r="K85" s="1895"/>
      <c r="L85" s="1895"/>
      <c r="M85" s="1895"/>
      <c r="N85" s="1895"/>
      <c r="O85" s="1959"/>
      <c r="P85" s="1959"/>
      <c r="Q85" s="1959"/>
      <c r="R85" s="1959"/>
      <c r="S85" s="1959"/>
      <c r="T85" s="1959"/>
      <c r="U85" s="1959"/>
      <c r="V85" s="1959"/>
      <c r="W85" s="1959"/>
      <c r="X85" s="1959"/>
      <c r="Y85" s="1959"/>
      <c r="Z85" s="1895"/>
    </row>
    <row r="86" spans="1:26" x14ac:dyDescent="0.2">
      <c r="A86" s="1959"/>
      <c r="D86" s="1895"/>
      <c r="E86" s="1895"/>
      <c r="F86" s="1895"/>
      <c r="G86" s="1895"/>
      <c r="H86" s="1895"/>
      <c r="I86" s="1895"/>
      <c r="J86" s="1895"/>
      <c r="K86" s="1895"/>
      <c r="L86" s="1895"/>
      <c r="M86" s="1895"/>
      <c r="N86" s="1895"/>
      <c r="O86" s="1959"/>
      <c r="P86" s="1959"/>
      <c r="Q86" s="1959"/>
      <c r="R86" s="1959"/>
      <c r="S86" s="1959"/>
      <c r="T86" s="1959"/>
      <c r="U86" s="1959"/>
      <c r="V86" s="1959"/>
      <c r="W86" s="1959"/>
      <c r="X86" s="1959"/>
      <c r="Y86" s="1959"/>
      <c r="Z86" s="1895"/>
    </row>
    <row r="87" spans="1:26" x14ac:dyDescent="0.2">
      <c r="A87" s="1959"/>
      <c r="D87" s="1895"/>
      <c r="E87" s="1895"/>
      <c r="F87" s="1895"/>
      <c r="G87" s="1895"/>
      <c r="H87" s="1895"/>
      <c r="I87" s="1895"/>
      <c r="J87" s="1895"/>
      <c r="K87" s="1895"/>
      <c r="L87" s="1895"/>
      <c r="M87" s="1895"/>
      <c r="N87" s="1895"/>
      <c r="O87" s="1959"/>
      <c r="P87" s="1959"/>
      <c r="Q87" s="1959"/>
      <c r="R87" s="1959"/>
      <c r="S87" s="1959"/>
      <c r="T87" s="1959"/>
      <c r="U87" s="1959"/>
      <c r="V87" s="1959"/>
      <c r="W87" s="1959"/>
      <c r="X87" s="1959"/>
      <c r="Y87" s="1959"/>
      <c r="Z87" s="1895"/>
    </row>
    <row r="88" spans="1:26" x14ac:dyDescent="0.2">
      <c r="A88" s="1959"/>
      <c r="D88" s="1895"/>
      <c r="E88" s="1895"/>
      <c r="F88" s="1895"/>
      <c r="G88" s="1895"/>
      <c r="H88" s="1895"/>
      <c r="I88" s="1895"/>
      <c r="J88" s="1895"/>
      <c r="K88" s="1895"/>
      <c r="L88" s="1895"/>
      <c r="M88" s="1895"/>
      <c r="N88" s="1895"/>
      <c r="O88" s="1959"/>
      <c r="P88" s="1959"/>
      <c r="Q88" s="1959"/>
      <c r="R88" s="1959"/>
      <c r="S88" s="1959"/>
      <c r="T88" s="1959"/>
      <c r="U88" s="1959"/>
      <c r="V88" s="1959"/>
      <c r="W88" s="1959"/>
      <c r="X88" s="1959"/>
      <c r="Y88" s="1959"/>
      <c r="Z88" s="1895"/>
    </row>
    <row r="89" spans="1:26" x14ac:dyDescent="0.2">
      <c r="A89" s="1959"/>
      <c r="D89" s="1895"/>
      <c r="E89" s="1895"/>
      <c r="F89" s="1895"/>
      <c r="G89" s="1895"/>
      <c r="H89" s="1895"/>
      <c r="I89" s="1895"/>
      <c r="J89" s="1895"/>
      <c r="K89" s="1895"/>
      <c r="L89" s="1895"/>
      <c r="M89" s="1895"/>
      <c r="N89" s="1895"/>
      <c r="O89" s="1959"/>
      <c r="P89" s="1959"/>
      <c r="Q89" s="1959"/>
      <c r="R89" s="1959"/>
      <c r="S89" s="1959"/>
      <c r="T89" s="1959"/>
      <c r="U89" s="1959"/>
      <c r="V89" s="1959"/>
      <c r="W89" s="1959"/>
      <c r="X89" s="1959"/>
      <c r="Y89" s="1959"/>
      <c r="Z89" s="1895"/>
    </row>
    <row r="90" spans="1:26" x14ac:dyDescent="0.2">
      <c r="A90" s="1959"/>
      <c r="D90" s="1895"/>
      <c r="E90" s="1895"/>
      <c r="F90" s="1895"/>
      <c r="G90" s="1895"/>
      <c r="H90" s="1895"/>
      <c r="I90" s="1895"/>
      <c r="J90" s="1895"/>
      <c r="K90" s="1895"/>
      <c r="L90" s="1895"/>
      <c r="M90" s="1895"/>
      <c r="N90" s="1895"/>
      <c r="O90" s="1959"/>
      <c r="P90" s="1959"/>
      <c r="Q90" s="1959"/>
      <c r="R90" s="1959"/>
      <c r="S90" s="1959"/>
      <c r="T90" s="1959"/>
      <c r="U90" s="1959"/>
      <c r="V90" s="1959"/>
      <c r="W90" s="1959"/>
      <c r="X90" s="1959"/>
      <c r="Y90" s="1959"/>
      <c r="Z90" s="1895"/>
    </row>
    <row r="91" spans="1:26" x14ac:dyDescent="0.2">
      <c r="A91" s="1959"/>
      <c r="D91" s="1895"/>
      <c r="E91" s="1895"/>
      <c r="F91" s="1895"/>
      <c r="G91" s="1895"/>
      <c r="H91" s="1895"/>
      <c r="I91" s="1895"/>
      <c r="J91" s="1895"/>
      <c r="K91" s="1895"/>
      <c r="L91" s="1895"/>
      <c r="M91" s="1895"/>
      <c r="N91" s="1895"/>
      <c r="O91" s="1959"/>
      <c r="P91" s="1959"/>
      <c r="Q91" s="1959"/>
      <c r="R91" s="1959"/>
      <c r="S91" s="1959"/>
      <c r="T91" s="1959"/>
      <c r="U91" s="1959"/>
      <c r="V91" s="1959"/>
      <c r="W91" s="1959"/>
      <c r="X91" s="1959"/>
      <c r="Y91" s="1959"/>
      <c r="Z91" s="1895"/>
    </row>
    <row r="92" spans="1:26" x14ac:dyDescent="0.2">
      <c r="A92" s="1959"/>
      <c r="D92" s="1895"/>
      <c r="E92" s="1895"/>
      <c r="F92" s="1895"/>
      <c r="G92" s="1895"/>
      <c r="H92" s="1895"/>
      <c r="I92" s="1895"/>
      <c r="J92" s="1895"/>
      <c r="K92" s="1895"/>
      <c r="L92" s="1895"/>
      <c r="M92" s="1895"/>
      <c r="N92" s="1895"/>
      <c r="O92" s="1959"/>
      <c r="P92" s="1959"/>
      <c r="Q92" s="1959"/>
      <c r="R92" s="1959"/>
      <c r="S92" s="1959"/>
      <c r="T92" s="1959"/>
      <c r="U92" s="1959"/>
      <c r="V92" s="1959"/>
      <c r="W92" s="1959"/>
      <c r="X92" s="1959"/>
      <c r="Y92" s="1959"/>
      <c r="Z92" s="1895"/>
    </row>
    <row r="93" spans="1:26" x14ac:dyDescent="0.2">
      <c r="A93" s="1959"/>
      <c r="D93" s="1895"/>
      <c r="E93" s="1895"/>
      <c r="F93" s="1895"/>
      <c r="G93" s="1895"/>
      <c r="H93" s="1895"/>
      <c r="I93" s="1895"/>
      <c r="J93" s="1895"/>
      <c r="K93" s="1895"/>
      <c r="L93" s="1895"/>
      <c r="M93" s="1895"/>
      <c r="N93" s="1895"/>
      <c r="O93" s="1959"/>
      <c r="P93" s="1959"/>
      <c r="Q93" s="1959"/>
      <c r="R93" s="1959"/>
      <c r="S93" s="1959"/>
      <c r="T93" s="1959"/>
      <c r="U93" s="1959"/>
      <c r="V93" s="1959"/>
      <c r="W93" s="1959"/>
      <c r="X93" s="1959"/>
      <c r="Y93" s="1959"/>
      <c r="Z93" s="1895"/>
    </row>
    <row r="94" spans="1:26" x14ac:dyDescent="0.2">
      <c r="A94" s="1959"/>
      <c r="D94" s="1895"/>
      <c r="E94" s="1895"/>
      <c r="F94" s="1895"/>
      <c r="G94" s="1895"/>
      <c r="H94" s="1895"/>
      <c r="I94" s="1895"/>
      <c r="J94" s="1895"/>
      <c r="K94" s="1895"/>
      <c r="L94" s="1895"/>
      <c r="M94" s="1895"/>
      <c r="N94" s="1895"/>
      <c r="O94" s="1959"/>
      <c r="P94" s="1959"/>
      <c r="Q94" s="1959"/>
      <c r="R94" s="1959"/>
      <c r="S94" s="1959"/>
      <c r="T94" s="1959"/>
      <c r="U94" s="1959"/>
      <c r="V94" s="1959"/>
      <c r="W94" s="1959"/>
      <c r="X94" s="1959"/>
      <c r="Y94" s="1959"/>
      <c r="Z94" s="1895"/>
    </row>
    <row r="95" spans="1:26" x14ac:dyDescent="0.2">
      <c r="A95" s="1959"/>
      <c r="D95" s="1895"/>
      <c r="E95" s="1895"/>
      <c r="F95" s="1895"/>
      <c r="G95" s="1895"/>
      <c r="H95" s="1895"/>
      <c r="I95" s="1895"/>
      <c r="J95" s="1895"/>
      <c r="K95" s="1895"/>
      <c r="L95" s="1895"/>
      <c r="M95" s="1895"/>
      <c r="N95" s="1895"/>
      <c r="O95" s="1959"/>
      <c r="P95" s="1959"/>
      <c r="Q95" s="1959"/>
      <c r="R95" s="1959"/>
      <c r="S95" s="1959"/>
      <c r="T95" s="1959"/>
      <c r="U95" s="1959"/>
      <c r="V95" s="1959"/>
      <c r="W95" s="1959"/>
      <c r="X95" s="1959"/>
      <c r="Y95" s="1959"/>
      <c r="Z95" s="1895"/>
    </row>
    <row r="96" spans="1:26" x14ac:dyDescent="0.2">
      <c r="A96" s="1959"/>
      <c r="D96" s="1895"/>
      <c r="E96" s="1895"/>
      <c r="F96" s="1895"/>
      <c r="G96" s="1895"/>
      <c r="H96" s="1895"/>
      <c r="I96" s="1895"/>
      <c r="J96" s="1895"/>
      <c r="K96" s="1895"/>
      <c r="L96" s="1895"/>
      <c r="M96" s="1895"/>
      <c r="N96" s="1895"/>
      <c r="O96" s="1959"/>
      <c r="P96" s="1959"/>
      <c r="Q96" s="1959"/>
      <c r="R96" s="1959"/>
      <c r="S96" s="1959"/>
      <c r="T96" s="1959"/>
      <c r="U96" s="1959"/>
      <c r="V96" s="1959"/>
      <c r="W96" s="1959"/>
      <c r="X96" s="1959"/>
      <c r="Y96" s="1959"/>
      <c r="Z96" s="1895"/>
    </row>
    <row r="97" spans="1:26" x14ac:dyDescent="0.2">
      <c r="A97" s="1959"/>
      <c r="D97" s="1895"/>
      <c r="E97" s="1895"/>
      <c r="F97" s="1895"/>
      <c r="G97" s="1895"/>
      <c r="H97" s="1895"/>
      <c r="I97" s="1895"/>
      <c r="J97" s="1895"/>
      <c r="K97" s="1895"/>
      <c r="L97" s="1895"/>
      <c r="M97" s="1895"/>
      <c r="N97" s="1895"/>
      <c r="O97" s="1959"/>
      <c r="P97" s="1959"/>
      <c r="Q97" s="1959"/>
      <c r="R97" s="1959"/>
      <c r="S97" s="1959"/>
      <c r="T97" s="1959"/>
      <c r="U97" s="1959"/>
      <c r="V97" s="1959"/>
      <c r="W97" s="1959"/>
      <c r="X97" s="1959"/>
      <c r="Y97" s="1959"/>
      <c r="Z97" s="1895"/>
    </row>
    <row r="98" spans="1:26" x14ac:dyDescent="0.2">
      <c r="A98" s="1959"/>
      <c r="D98" s="1895"/>
      <c r="E98" s="1895"/>
      <c r="F98" s="1895"/>
      <c r="G98" s="1895"/>
      <c r="H98" s="1895"/>
      <c r="I98" s="1895"/>
      <c r="J98" s="1895"/>
      <c r="K98" s="1895"/>
      <c r="L98" s="1895"/>
      <c r="M98" s="1895"/>
      <c r="N98" s="1895"/>
      <c r="O98" s="1959"/>
      <c r="P98" s="1959"/>
      <c r="Q98" s="1959"/>
      <c r="R98" s="1959"/>
      <c r="S98" s="1959"/>
      <c r="T98" s="1959"/>
      <c r="U98" s="1959"/>
      <c r="V98" s="1959"/>
      <c r="W98" s="1959"/>
      <c r="X98" s="1959"/>
      <c r="Y98" s="1959"/>
      <c r="Z98" s="1895"/>
    </row>
    <row r="99" spans="1:26" x14ac:dyDescent="0.2">
      <c r="A99" s="1959"/>
      <c r="D99" s="1895"/>
      <c r="E99" s="1895"/>
      <c r="F99" s="1895"/>
      <c r="G99" s="1895"/>
      <c r="H99" s="1895"/>
      <c r="I99" s="1895"/>
      <c r="J99" s="1895"/>
      <c r="K99" s="1895"/>
      <c r="L99" s="1895"/>
      <c r="M99" s="1895"/>
      <c r="N99" s="1895"/>
      <c r="O99" s="1959"/>
      <c r="P99" s="1959"/>
      <c r="Q99" s="1959"/>
      <c r="R99" s="1959"/>
      <c r="S99" s="1959"/>
      <c r="T99" s="1959"/>
      <c r="U99" s="1959"/>
      <c r="V99" s="1959"/>
      <c r="W99" s="1959"/>
      <c r="X99" s="1959"/>
      <c r="Y99" s="1959"/>
      <c r="Z99" s="1895"/>
    </row>
    <row r="100" spans="1:26" x14ac:dyDescent="0.2">
      <c r="A100" s="1959"/>
      <c r="D100" s="1895"/>
      <c r="E100" s="1895"/>
      <c r="F100" s="1895"/>
      <c r="G100" s="1895"/>
      <c r="H100" s="1895"/>
      <c r="I100" s="1895"/>
      <c r="J100" s="1895"/>
      <c r="K100" s="1895"/>
      <c r="L100" s="1895"/>
      <c r="M100" s="1895"/>
      <c r="N100" s="1895"/>
      <c r="O100" s="1959"/>
      <c r="P100" s="1959"/>
      <c r="Q100" s="1959"/>
      <c r="R100" s="1959"/>
      <c r="S100" s="1959"/>
      <c r="T100" s="1959"/>
      <c r="U100" s="1959"/>
      <c r="V100" s="1959"/>
      <c r="W100" s="1959"/>
      <c r="X100" s="1959"/>
      <c r="Y100" s="1959"/>
      <c r="Z100" s="1895"/>
    </row>
    <row r="101" spans="1:26" x14ac:dyDescent="0.2">
      <c r="A101" s="1959"/>
      <c r="D101" s="1895"/>
      <c r="E101" s="1895"/>
      <c r="F101" s="1895"/>
      <c r="G101" s="1895"/>
      <c r="H101" s="1895"/>
      <c r="I101" s="1895"/>
      <c r="J101" s="1895"/>
      <c r="K101" s="1895"/>
      <c r="L101" s="1895"/>
      <c r="M101" s="1895"/>
      <c r="N101" s="1895"/>
      <c r="O101" s="1959"/>
      <c r="P101" s="1959"/>
      <c r="Q101" s="1959"/>
      <c r="R101" s="1959"/>
      <c r="S101" s="1959"/>
      <c r="T101" s="1959"/>
      <c r="U101" s="1959"/>
      <c r="V101" s="1959"/>
      <c r="W101" s="1959"/>
      <c r="X101" s="1959"/>
      <c r="Y101" s="1959"/>
      <c r="Z101" s="1895"/>
    </row>
    <row r="102" spans="1:26" x14ac:dyDescent="0.2">
      <c r="A102" s="1959"/>
      <c r="D102" s="1895"/>
      <c r="E102" s="1895"/>
      <c r="F102" s="1895"/>
      <c r="G102" s="1895"/>
      <c r="H102" s="1895"/>
      <c r="I102" s="1895"/>
      <c r="J102" s="1895"/>
      <c r="K102" s="1895"/>
      <c r="L102" s="1895"/>
      <c r="M102" s="1895"/>
      <c r="N102" s="1895"/>
      <c r="O102" s="1959"/>
      <c r="P102" s="1959"/>
      <c r="Q102" s="1959"/>
      <c r="R102" s="1959"/>
      <c r="S102" s="1959"/>
      <c r="T102" s="1959"/>
      <c r="U102" s="1959"/>
      <c r="V102" s="1959"/>
      <c r="W102" s="1959"/>
      <c r="X102" s="1959"/>
      <c r="Y102" s="1959"/>
      <c r="Z102" s="1895"/>
    </row>
    <row r="103" spans="1:26" x14ac:dyDescent="0.2">
      <c r="A103" s="1959"/>
      <c r="D103" s="1895"/>
      <c r="E103" s="1895"/>
      <c r="F103" s="1895"/>
      <c r="G103" s="1895"/>
      <c r="H103" s="1895"/>
      <c r="I103" s="1895"/>
      <c r="J103" s="1895"/>
      <c r="K103" s="1895"/>
      <c r="L103" s="1895"/>
      <c r="M103" s="1895"/>
      <c r="N103" s="1895"/>
      <c r="O103" s="1959"/>
      <c r="P103" s="1959"/>
      <c r="Q103" s="1959"/>
      <c r="R103" s="1959"/>
      <c r="S103" s="1959"/>
      <c r="T103" s="1959"/>
      <c r="U103" s="1959"/>
      <c r="V103" s="1959"/>
      <c r="W103" s="1959"/>
      <c r="X103" s="1959"/>
      <c r="Y103" s="1959"/>
      <c r="Z103" s="1895"/>
    </row>
    <row r="104" spans="1:26" x14ac:dyDescent="0.2">
      <c r="A104" s="1959"/>
      <c r="D104" s="1895"/>
      <c r="E104" s="1895"/>
      <c r="F104" s="1895"/>
      <c r="G104" s="1895"/>
      <c r="H104" s="1895"/>
      <c r="I104" s="1895"/>
      <c r="J104" s="1895"/>
      <c r="K104" s="1895"/>
      <c r="L104" s="1895"/>
      <c r="M104" s="1895"/>
      <c r="N104" s="1895"/>
      <c r="O104" s="1959"/>
      <c r="P104" s="1959"/>
      <c r="Q104" s="1959"/>
      <c r="R104" s="1959"/>
      <c r="S104" s="1959"/>
      <c r="T104" s="1959"/>
      <c r="U104" s="1959"/>
      <c r="V104" s="1959"/>
      <c r="W104" s="1959"/>
      <c r="X104" s="1959"/>
      <c r="Y104" s="1959"/>
      <c r="Z104" s="1895"/>
    </row>
    <row r="105" spans="1:26" x14ac:dyDescent="0.2">
      <c r="A105" s="1959"/>
      <c r="D105" s="1895"/>
      <c r="E105" s="1895"/>
      <c r="F105" s="1895"/>
      <c r="G105" s="1895"/>
      <c r="H105" s="1895"/>
      <c r="I105" s="1895"/>
      <c r="J105" s="1895"/>
      <c r="K105" s="1895"/>
      <c r="L105" s="1895"/>
      <c r="M105" s="1895"/>
      <c r="N105" s="1895"/>
      <c r="O105" s="1959"/>
      <c r="P105" s="1959"/>
      <c r="Q105" s="1959"/>
      <c r="R105" s="1959"/>
      <c r="S105" s="1959"/>
      <c r="T105" s="1959"/>
      <c r="U105" s="1959"/>
      <c r="V105" s="1959"/>
      <c r="W105" s="1959"/>
      <c r="X105" s="1959"/>
      <c r="Y105" s="1959"/>
      <c r="Z105" s="1895"/>
    </row>
    <row r="106" spans="1:26" x14ac:dyDescent="0.2">
      <c r="A106" s="1959"/>
      <c r="D106" s="1895"/>
      <c r="E106" s="1895"/>
      <c r="F106" s="1895"/>
      <c r="G106" s="1895"/>
      <c r="H106" s="1895"/>
      <c r="I106" s="1895"/>
      <c r="J106" s="1895"/>
      <c r="K106" s="1895"/>
      <c r="L106" s="1895"/>
      <c r="M106" s="1895"/>
      <c r="N106" s="1895"/>
      <c r="O106" s="1959"/>
      <c r="P106" s="1959"/>
      <c r="Q106" s="1959"/>
      <c r="R106" s="1959"/>
      <c r="S106" s="1959"/>
      <c r="T106" s="1959"/>
      <c r="U106" s="1959"/>
      <c r="V106" s="1959"/>
      <c r="W106" s="1959"/>
      <c r="X106" s="1959"/>
      <c r="Y106" s="1959"/>
      <c r="Z106" s="1895"/>
    </row>
    <row r="107" spans="1:26" x14ac:dyDescent="0.2">
      <c r="A107" s="1959"/>
      <c r="D107" s="1895"/>
      <c r="E107" s="1895"/>
      <c r="F107" s="1895"/>
      <c r="G107" s="1895"/>
      <c r="H107" s="1895"/>
      <c r="I107" s="1895"/>
      <c r="J107" s="1895"/>
      <c r="K107" s="1895"/>
      <c r="L107" s="1895"/>
      <c r="M107" s="1895"/>
      <c r="N107" s="1895"/>
      <c r="O107" s="1959"/>
      <c r="P107" s="1959"/>
      <c r="Q107" s="1959"/>
      <c r="R107" s="1959"/>
      <c r="S107" s="1959"/>
      <c r="T107" s="1959"/>
      <c r="U107" s="1959"/>
      <c r="V107" s="1959"/>
      <c r="W107" s="1959"/>
      <c r="X107" s="1959"/>
      <c r="Y107" s="1959"/>
      <c r="Z107" s="1895"/>
    </row>
    <row r="108" spans="1:26" x14ac:dyDescent="0.2">
      <c r="A108" s="1959"/>
      <c r="D108" s="1895"/>
      <c r="E108" s="1895"/>
      <c r="F108" s="1895"/>
      <c r="G108" s="1895"/>
      <c r="H108" s="1895"/>
      <c r="I108" s="1895"/>
      <c r="J108" s="1895"/>
      <c r="K108" s="1895"/>
      <c r="L108" s="1895"/>
      <c r="M108" s="1895"/>
      <c r="N108" s="1895"/>
      <c r="O108" s="1959"/>
      <c r="P108" s="1959"/>
      <c r="Q108" s="1959"/>
      <c r="R108" s="1959"/>
      <c r="S108" s="1959"/>
      <c r="T108" s="1959"/>
      <c r="U108" s="1959"/>
      <c r="V108" s="1959"/>
      <c r="W108" s="1959"/>
      <c r="X108" s="1959"/>
      <c r="Y108" s="1959"/>
      <c r="Z108" s="1895"/>
    </row>
    <row r="109" spans="1:26" x14ac:dyDescent="0.2">
      <c r="A109" s="1959"/>
      <c r="D109" s="1895"/>
      <c r="E109" s="1895"/>
      <c r="F109" s="1895"/>
      <c r="G109" s="1895"/>
      <c r="H109" s="1895"/>
      <c r="I109" s="1895"/>
      <c r="J109" s="1895"/>
      <c r="K109" s="1895"/>
      <c r="L109" s="1895"/>
      <c r="M109" s="1895"/>
      <c r="N109" s="1895"/>
      <c r="O109" s="1959"/>
      <c r="P109" s="1959"/>
      <c r="Q109" s="1959"/>
      <c r="R109" s="1959"/>
      <c r="S109" s="1959"/>
      <c r="T109" s="1959"/>
      <c r="U109" s="1959"/>
      <c r="V109" s="1959"/>
      <c r="W109" s="1959"/>
      <c r="X109" s="1959"/>
      <c r="Y109" s="1959"/>
      <c r="Z109" s="1895"/>
    </row>
    <row r="110" spans="1:26" x14ac:dyDescent="0.2">
      <c r="A110" s="1959"/>
      <c r="D110" s="1895"/>
      <c r="E110" s="1895"/>
      <c r="F110" s="1895"/>
      <c r="G110" s="1895"/>
      <c r="H110" s="1895"/>
      <c r="I110" s="1895"/>
      <c r="J110" s="1895"/>
      <c r="K110" s="1895"/>
      <c r="L110" s="1895"/>
      <c r="M110" s="1895"/>
      <c r="N110" s="1895"/>
      <c r="O110" s="1959"/>
      <c r="P110" s="1959"/>
      <c r="Q110" s="1959"/>
      <c r="R110" s="1959"/>
      <c r="S110" s="1959"/>
      <c r="T110" s="1959"/>
      <c r="U110" s="1959"/>
      <c r="V110" s="1959"/>
      <c r="W110" s="1959"/>
      <c r="X110" s="1959"/>
      <c r="Y110" s="1959"/>
      <c r="Z110" s="1895"/>
    </row>
    <row r="111" spans="1:26" x14ac:dyDescent="0.2">
      <c r="A111" s="1959"/>
      <c r="D111" s="1895"/>
      <c r="E111" s="1895"/>
      <c r="F111" s="1895"/>
      <c r="G111" s="1895"/>
      <c r="H111" s="1895"/>
      <c r="I111" s="1895"/>
      <c r="J111" s="1895"/>
      <c r="K111" s="1895"/>
      <c r="L111" s="1895"/>
      <c r="M111" s="1895"/>
      <c r="N111" s="1895"/>
      <c r="O111" s="1959"/>
      <c r="P111" s="1959"/>
      <c r="Q111" s="1959"/>
      <c r="R111" s="1959"/>
      <c r="S111" s="1959"/>
      <c r="T111" s="1959"/>
      <c r="U111" s="1959"/>
      <c r="V111" s="1959"/>
      <c r="W111" s="1959"/>
      <c r="X111" s="1959"/>
      <c r="Y111" s="1959"/>
      <c r="Z111" s="1895"/>
    </row>
    <row r="112" spans="1:26" x14ac:dyDescent="0.2">
      <c r="A112" s="1959"/>
      <c r="D112" s="1895"/>
      <c r="E112" s="1895"/>
      <c r="F112" s="1895"/>
      <c r="G112" s="1895"/>
      <c r="H112" s="1895"/>
      <c r="I112" s="1895"/>
      <c r="J112" s="1895"/>
      <c r="K112" s="1895"/>
      <c r="L112" s="1895"/>
      <c r="M112" s="1895"/>
      <c r="N112" s="1895"/>
      <c r="O112" s="1959"/>
      <c r="P112" s="1959"/>
      <c r="Q112" s="1959"/>
      <c r="R112" s="1959"/>
      <c r="S112" s="1959"/>
      <c r="T112" s="1959"/>
      <c r="U112" s="1959"/>
      <c r="V112" s="1959"/>
      <c r="W112" s="1959"/>
      <c r="X112" s="1959"/>
      <c r="Y112" s="1959"/>
      <c r="Z112" s="1895"/>
    </row>
    <row r="113" spans="1:26" x14ac:dyDescent="0.2">
      <c r="A113" s="1959"/>
      <c r="D113" s="1895"/>
      <c r="E113" s="1895"/>
      <c r="F113" s="1895"/>
      <c r="G113" s="1895"/>
      <c r="H113" s="1895"/>
      <c r="I113" s="1895"/>
      <c r="J113" s="1895"/>
      <c r="K113" s="1895"/>
      <c r="L113" s="1895"/>
      <c r="M113" s="1895"/>
      <c r="N113" s="1895"/>
      <c r="O113" s="1959"/>
      <c r="P113" s="1959"/>
      <c r="Q113" s="1959"/>
      <c r="R113" s="1959"/>
      <c r="S113" s="1959"/>
      <c r="T113" s="1959"/>
      <c r="U113" s="1959"/>
      <c r="V113" s="1959"/>
      <c r="W113" s="1959"/>
      <c r="X113" s="1959"/>
      <c r="Y113" s="1959"/>
      <c r="Z113" s="1895"/>
    </row>
    <row r="114" spans="1:26" x14ac:dyDescent="0.2">
      <c r="A114" s="1959"/>
      <c r="D114" s="1895"/>
      <c r="E114" s="1895"/>
      <c r="F114" s="1895"/>
      <c r="G114" s="1895"/>
      <c r="H114" s="1895"/>
      <c r="I114" s="1895"/>
      <c r="J114" s="1895"/>
      <c r="K114" s="1895"/>
      <c r="L114" s="1895"/>
      <c r="M114" s="1895"/>
      <c r="N114" s="1895"/>
      <c r="O114" s="1959"/>
      <c r="P114" s="1959"/>
      <c r="Q114" s="1959"/>
      <c r="R114" s="1959"/>
      <c r="S114" s="1959"/>
      <c r="T114" s="1959"/>
      <c r="U114" s="1959"/>
      <c r="V114" s="1959"/>
      <c r="W114" s="1959"/>
      <c r="X114" s="1959"/>
      <c r="Y114" s="1959"/>
      <c r="Z114" s="1895"/>
    </row>
    <row r="115" spans="1:26" x14ac:dyDescent="0.2">
      <c r="A115" s="1959"/>
      <c r="D115" s="1895"/>
      <c r="E115" s="1895"/>
      <c r="F115" s="1895"/>
      <c r="G115" s="1895"/>
      <c r="H115" s="1895"/>
      <c r="I115" s="1895"/>
      <c r="J115" s="1895"/>
      <c r="K115" s="1895"/>
      <c r="L115" s="1895"/>
      <c r="M115" s="1895"/>
      <c r="N115" s="1895"/>
      <c r="O115" s="1959"/>
      <c r="P115" s="1959"/>
      <c r="Q115" s="1959"/>
      <c r="R115" s="1959"/>
      <c r="S115" s="1959"/>
      <c r="T115" s="1959"/>
      <c r="U115" s="1959"/>
      <c r="V115" s="1959"/>
      <c r="W115" s="1959"/>
      <c r="X115" s="1959"/>
      <c r="Y115" s="1959"/>
      <c r="Z115" s="1895"/>
    </row>
    <row r="116" spans="1:26" x14ac:dyDescent="0.2">
      <c r="A116" s="1959"/>
      <c r="D116" s="1895"/>
      <c r="E116" s="1895"/>
      <c r="F116" s="1895"/>
      <c r="G116" s="1895"/>
      <c r="H116" s="1895"/>
      <c r="I116" s="1895"/>
      <c r="J116" s="1895"/>
      <c r="K116" s="1895"/>
      <c r="L116" s="1895"/>
      <c r="M116" s="1895"/>
      <c r="N116" s="1895"/>
      <c r="O116" s="1959"/>
      <c r="P116" s="1959"/>
      <c r="Q116" s="1959"/>
      <c r="R116" s="1959"/>
      <c r="S116" s="1959"/>
      <c r="T116" s="1959"/>
      <c r="U116" s="1959"/>
      <c r="V116" s="1959"/>
      <c r="W116" s="1959"/>
      <c r="X116" s="1959"/>
      <c r="Y116" s="1959"/>
      <c r="Z116" s="1895"/>
    </row>
    <row r="117" spans="1:26" x14ac:dyDescent="0.2">
      <c r="A117" s="1959"/>
      <c r="D117" s="1895"/>
      <c r="E117" s="1895"/>
      <c r="F117" s="1895"/>
      <c r="G117" s="1895"/>
      <c r="H117" s="1895"/>
      <c r="I117" s="1895"/>
      <c r="J117" s="1895"/>
      <c r="K117" s="1895"/>
      <c r="L117" s="1895"/>
      <c r="M117" s="1895"/>
      <c r="N117" s="1895"/>
      <c r="O117" s="1959"/>
      <c r="P117" s="1959"/>
      <c r="Q117" s="1959"/>
      <c r="R117" s="1959"/>
      <c r="S117" s="1959"/>
      <c r="T117" s="1959"/>
      <c r="U117" s="1959"/>
      <c r="V117" s="1959"/>
      <c r="W117" s="1959"/>
      <c r="X117" s="1959"/>
      <c r="Y117" s="1959"/>
      <c r="Z117" s="1895"/>
    </row>
    <row r="118" spans="1:26" x14ac:dyDescent="0.2">
      <c r="A118" s="1959"/>
      <c r="D118" s="1895"/>
      <c r="E118" s="1895"/>
      <c r="F118" s="1895"/>
      <c r="G118" s="1895"/>
      <c r="H118" s="1895"/>
      <c r="I118" s="1895"/>
      <c r="J118" s="1895"/>
      <c r="K118" s="1895"/>
      <c r="L118" s="1895"/>
      <c r="M118" s="1895"/>
      <c r="N118" s="1895"/>
      <c r="O118" s="1959"/>
      <c r="P118" s="1959"/>
      <c r="Q118" s="1959"/>
      <c r="R118" s="1959"/>
      <c r="S118" s="1959"/>
      <c r="T118" s="1959"/>
      <c r="U118" s="1959"/>
      <c r="V118" s="1959"/>
      <c r="W118" s="1959"/>
      <c r="X118" s="1959"/>
      <c r="Y118" s="1959"/>
      <c r="Z118" s="1895"/>
    </row>
    <row r="119" spans="1:26" x14ac:dyDescent="0.2">
      <c r="A119" s="1959"/>
      <c r="D119" s="1895"/>
      <c r="E119" s="1895"/>
      <c r="F119" s="1895"/>
      <c r="G119" s="1895"/>
      <c r="H119" s="1895"/>
      <c r="I119" s="1895"/>
      <c r="J119" s="1895"/>
      <c r="K119" s="1895"/>
      <c r="L119" s="1895"/>
      <c r="M119" s="1895"/>
      <c r="N119" s="1895"/>
      <c r="O119" s="1959"/>
      <c r="P119" s="1959"/>
      <c r="Q119" s="1959"/>
      <c r="R119" s="1959"/>
      <c r="S119" s="1959"/>
      <c r="T119" s="1959"/>
      <c r="U119" s="1959"/>
      <c r="V119" s="1959"/>
      <c r="W119" s="1959"/>
      <c r="X119" s="1959"/>
      <c r="Y119" s="1959"/>
      <c r="Z119" s="1895"/>
    </row>
    <row r="120" spans="1:26" x14ac:dyDescent="0.2">
      <c r="A120" s="1959"/>
      <c r="D120" s="1895"/>
      <c r="E120" s="1895"/>
      <c r="F120" s="1895"/>
      <c r="G120" s="1895"/>
      <c r="H120" s="1895"/>
      <c r="I120" s="1895"/>
      <c r="J120" s="1895"/>
      <c r="K120" s="1895"/>
      <c r="L120" s="1895"/>
      <c r="M120" s="1895"/>
      <c r="N120" s="1895"/>
      <c r="O120" s="1959"/>
      <c r="P120" s="1959"/>
      <c r="Q120" s="1959"/>
      <c r="R120" s="1959"/>
      <c r="S120" s="1959"/>
      <c r="T120" s="1959"/>
      <c r="U120" s="1959"/>
      <c r="V120" s="1959"/>
      <c r="W120" s="1959"/>
      <c r="X120" s="1959"/>
      <c r="Y120" s="1959"/>
      <c r="Z120" s="1895"/>
    </row>
    <row r="121" spans="1:26" x14ac:dyDescent="0.2">
      <c r="A121" s="1959"/>
      <c r="D121" s="1895"/>
      <c r="E121" s="1895"/>
      <c r="F121" s="1895"/>
      <c r="G121" s="1895"/>
      <c r="H121" s="1895"/>
      <c r="I121" s="1895"/>
      <c r="J121" s="1895"/>
      <c r="K121" s="1895"/>
      <c r="L121" s="1895"/>
      <c r="M121" s="1895"/>
      <c r="N121" s="1895"/>
      <c r="O121" s="1959"/>
      <c r="P121" s="1959"/>
      <c r="Q121" s="1959"/>
      <c r="R121" s="1959"/>
      <c r="S121" s="1959"/>
      <c r="T121" s="1959"/>
      <c r="U121" s="1959"/>
      <c r="V121" s="1959"/>
      <c r="W121" s="1959"/>
      <c r="X121" s="1959"/>
      <c r="Y121" s="1959"/>
      <c r="Z121" s="1895"/>
    </row>
    <row r="122" spans="1:26" x14ac:dyDescent="0.2">
      <c r="A122" s="1959"/>
      <c r="D122" s="1895"/>
      <c r="E122" s="1895"/>
      <c r="F122" s="1895"/>
      <c r="G122" s="1895"/>
      <c r="H122" s="1895"/>
      <c r="I122" s="1895"/>
      <c r="J122" s="1895"/>
      <c r="K122" s="1895"/>
      <c r="L122" s="1895"/>
      <c r="M122" s="1895"/>
      <c r="N122" s="1895"/>
      <c r="O122" s="1959"/>
      <c r="P122" s="1959"/>
      <c r="Q122" s="1959"/>
      <c r="R122" s="1959"/>
      <c r="S122" s="1959"/>
      <c r="T122" s="1959"/>
      <c r="U122" s="1959"/>
      <c r="V122" s="1959"/>
      <c r="W122" s="1959"/>
      <c r="X122" s="1959"/>
      <c r="Y122" s="1959"/>
      <c r="Z122" s="1895"/>
    </row>
    <row r="123" spans="1:26" x14ac:dyDescent="0.2">
      <c r="A123" s="1961"/>
      <c r="D123" s="1895"/>
      <c r="E123" s="1895"/>
      <c r="F123" s="1895"/>
      <c r="G123" s="1895"/>
      <c r="H123" s="1895"/>
      <c r="I123" s="1895"/>
      <c r="J123" s="1895"/>
      <c r="K123" s="1895"/>
      <c r="L123" s="1895"/>
      <c r="M123" s="1895"/>
      <c r="N123" s="1895"/>
      <c r="O123" s="1959"/>
      <c r="P123" s="1959"/>
      <c r="Q123" s="1959"/>
      <c r="R123" s="1959"/>
      <c r="S123" s="1959"/>
      <c r="T123" s="1959"/>
      <c r="U123" s="1959"/>
      <c r="V123" s="1959"/>
      <c r="W123" s="1959"/>
      <c r="X123" s="1959"/>
      <c r="Y123" s="1959"/>
      <c r="Z123" s="1895"/>
    </row>
    <row r="124" spans="1:26" x14ac:dyDescent="0.2">
      <c r="A124" s="1961"/>
      <c r="D124" s="1895"/>
      <c r="E124" s="1895"/>
      <c r="F124" s="1895"/>
      <c r="G124" s="1895"/>
      <c r="H124" s="1895"/>
      <c r="I124" s="1895"/>
      <c r="J124" s="1895"/>
      <c r="K124" s="1895"/>
      <c r="L124" s="1895"/>
      <c r="M124" s="1895"/>
      <c r="N124" s="1895"/>
      <c r="O124" s="1959"/>
      <c r="P124" s="1959"/>
      <c r="Q124" s="1959"/>
      <c r="R124" s="1959"/>
      <c r="S124" s="1959"/>
      <c r="T124" s="1959"/>
      <c r="U124" s="1959"/>
      <c r="V124" s="1959"/>
      <c r="W124" s="1959"/>
      <c r="X124" s="1959"/>
      <c r="Y124" s="1959"/>
      <c r="Z124" s="1895"/>
    </row>
    <row r="125" spans="1:26" x14ac:dyDescent="0.2">
      <c r="A125" s="1959"/>
      <c r="D125" s="1895"/>
      <c r="E125" s="1895"/>
      <c r="F125" s="1895"/>
      <c r="G125" s="1895"/>
      <c r="H125" s="1895"/>
      <c r="I125" s="1895"/>
      <c r="J125" s="1895"/>
      <c r="K125" s="1895"/>
      <c r="L125" s="1895"/>
      <c r="M125" s="1895"/>
      <c r="N125" s="1895"/>
      <c r="O125" s="1959"/>
      <c r="P125" s="1959"/>
      <c r="Q125" s="1959"/>
      <c r="R125" s="1959"/>
      <c r="S125" s="1959"/>
      <c r="T125" s="1959"/>
      <c r="U125" s="1959"/>
      <c r="V125" s="1959"/>
      <c r="W125" s="1959"/>
      <c r="X125" s="1959"/>
      <c r="Y125" s="1959"/>
      <c r="Z125" s="1895"/>
    </row>
    <row r="126" spans="1:26" x14ac:dyDescent="0.2">
      <c r="A126" s="1959"/>
      <c r="D126" s="1895"/>
      <c r="E126" s="1895"/>
      <c r="F126" s="1895"/>
      <c r="G126" s="1895"/>
      <c r="H126" s="1895"/>
      <c r="I126" s="1895"/>
      <c r="J126" s="1895"/>
      <c r="K126" s="1895"/>
      <c r="L126" s="1895"/>
      <c r="M126" s="1895"/>
      <c r="N126" s="1895"/>
      <c r="O126" s="1959"/>
      <c r="P126" s="1959"/>
      <c r="Q126" s="1959"/>
      <c r="R126" s="1959"/>
      <c r="S126" s="1959"/>
      <c r="T126" s="1959"/>
      <c r="U126" s="1959"/>
      <c r="V126" s="1959"/>
      <c r="W126" s="1959"/>
      <c r="X126" s="1959"/>
      <c r="Y126" s="1959"/>
      <c r="Z126" s="1895"/>
    </row>
    <row r="127" spans="1:26" x14ac:dyDescent="0.2">
      <c r="Y127" s="1894"/>
      <c r="Z127" s="1895"/>
    </row>
    <row r="128" spans="1:26" x14ac:dyDescent="0.2">
      <c r="Y128" s="1894"/>
      <c r="Z128" s="1895"/>
    </row>
    <row r="129" spans="25:26" x14ac:dyDescent="0.2">
      <c r="Y129" s="1894"/>
      <c r="Z129" s="1895"/>
    </row>
    <row r="130" spans="25:26" x14ac:dyDescent="0.2">
      <c r="Y130" s="1894"/>
      <c r="Z130" s="1895"/>
    </row>
    <row r="131" spans="25:26" x14ac:dyDescent="0.2">
      <c r="Y131" s="1894"/>
      <c r="Z131" s="1895"/>
    </row>
    <row r="132" spans="25:26" x14ac:dyDescent="0.2">
      <c r="Y132" s="1894"/>
      <c r="Z132" s="1895"/>
    </row>
    <row r="133" spans="25:26" x14ac:dyDescent="0.2">
      <c r="Y133" s="1894"/>
      <c r="Z133" s="1895"/>
    </row>
    <row r="134" spans="25:26" x14ac:dyDescent="0.2">
      <c r="Y134" s="1894"/>
      <c r="Z134" s="1895"/>
    </row>
    <row r="135" spans="25:26" x14ac:dyDescent="0.2">
      <c r="Y135" s="1894"/>
      <c r="Z135" s="1895"/>
    </row>
    <row r="136" spans="25:26" x14ac:dyDescent="0.2">
      <c r="Y136" s="1894"/>
      <c r="Z136" s="1895"/>
    </row>
    <row r="137" spans="25:26" x14ac:dyDescent="0.2">
      <c r="Y137" s="1894"/>
      <c r="Z137" s="1895"/>
    </row>
    <row r="138" spans="25:26" x14ac:dyDescent="0.2">
      <c r="Y138" s="1894"/>
      <c r="Z138" s="1895"/>
    </row>
    <row r="139" spans="25:26" x14ac:dyDescent="0.2">
      <c r="Y139" s="1894"/>
      <c r="Z139" s="1895"/>
    </row>
    <row r="140" spans="25:26" x14ac:dyDescent="0.2">
      <c r="Y140" s="1894"/>
      <c r="Z140" s="1895"/>
    </row>
    <row r="141" spans="25:26" x14ac:dyDescent="0.2">
      <c r="Y141" s="1894"/>
      <c r="Z141" s="1895"/>
    </row>
    <row r="142" spans="25:26" x14ac:dyDescent="0.2">
      <c r="Y142" s="1894"/>
      <c r="Z142" s="1895"/>
    </row>
    <row r="143" spans="25:26" x14ac:dyDescent="0.2">
      <c r="Y143" s="1894"/>
      <c r="Z143" s="1895"/>
    </row>
    <row r="144" spans="25:26" x14ac:dyDescent="0.2">
      <c r="Y144" s="1894"/>
      <c r="Z144" s="1895"/>
    </row>
    <row r="145" spans="25:26" x14ac:dyDescent="0.2">
      <c r="Y145" s="1894"/>
      <c r="Z145" s="1895"/>
    </row>
    <row r="146" spans="25:26" x14ac:dyDescent="0.2">
      <c r="Y146" s="1894"/>
      <c r="Z146" s="1895"/>
    </row>
    <row r="147" spans="25:26" x14ac:dyDescent="0.2">
      <c r="Y147" s="1894"/>
      <c r="Z147" s="1895"/>
    </row>
    <row r="148" spans="25:26" x14ac:dyDescent="0.2">
      <c r="Y148" s="1894"/>
      <c r="Z148" s="1895"/>
    </row>
    <row r="149" spans="25:26" x14ac:dyDescent="0.2">
      <c r="Y149" s="1894"/>
      <c r="Z149" s="1895"/>
    </row>
    <row r="150" spans="25:26" x14ac:dyDescent="0.2">
      <c r="Y150" s="1894"/>
      <c r="Z150" s="1895"/>
    </row>
    <row r="151" spans="25:26" x14ac:dyDescent="0.2">
      <c r="Y151" s="1894"/>
      <c r="Z151" s="1895"/>
    </row>
    <row r="152" spans="25:26" x14ac:dyDescent="0.2">
      <c r="Y152" s="1894"/>
      <c r="Z152" s="1895"/>
    </row>
    <row r="153" spans="25:26" x14ac:dyDescent="0.2">
      <c r="Y153" s="1894"/>
      <c r="Z153" s="1895"/>
    </row>
    <row r="154" spans="25:26" x14ac:dyDescent="0.2">
      <c r="Y154" s="1894"/>
      <c r="Z154" s="1895"/>
    </row>
    <row r="155" spans="25:26" x14ac:dyDescent="0.2">
      <c r="Y155" s="1894"/>
      <c r="Z155" s="1895"/>
    </row>
    <row r="156" spans="25:26" x14ac:dyDescent="0.2">
      <c r="Y156" s="1894"/>
      <c r="Z156" s="1895"/>
    </row>
    <row r="157" spans="25:26" x14ac:dyDescent="0.2">
      <c r="Y157" s="1894"/>
      <c r="Z157" s="1895"/>
    </row>
    <row r="158" spans="25:26" x14ac:dyDescent="0.2">
      <c r="Y158" s="1894"/>
      <c r="Z158" s="1895"/>
    </row>
    <row r="159" spans="25:26" x14ac:dyDescent="0.2">
      <c r="Y159" s="1894"/>
      <c r="Z159" s="1895"/>
    </row>
    <row r="160" spans="25:26" x14ac:dyDescent="0.2">
      <c r="Y160" s="1894"/>
      <c r="Z160" s="1895"/>
    </row>
    <row r="161" spans="25:26" x14ac:dyDescent="0.2">
      <c r="Y161" s="1894"/>
      <c r="Z161" s="1895"/>
    </row>
    <row r="162" spans="25:26" x14ac:dyDescent="0.2">
      <c r="Y162" s="1894"/>
      <c r="Z162" s="1895"/>
    </row>
    <row r="163" spans="25:26" x14ac:dyDescent="0.2">
      <c r="Y163" s="1894"/>
      <c r="Z163" s="1895"/>
    </row>
  </sheetData>
  <mergeCells count="2">
    <mergeCell ref="D2:N2"/>
    <mergeCell ref="G58:H58"/>
  </mergeCells>
  <printOptions horizontalCentered="1"/>
  <pageMargins left="0.7" right="0.25" top="0.75" bottom="0.25" header="0.3" footer="0.3"/>
  <pageSetup paperSize="9" scale="82" orientation="portrait" horizontalDpi="4294967293" r:id="rId1"/>
  <colBreaks count="1" manualBreakCount="1">
    <brk id="14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BR240"/>
  <sheetViews>
    <sheetView showGridLines="0" view="pageBreakPreview" topLeftCell="A158" zoomScaleSheetLayoutView="100" workbookViewId="0">
      <selection activeCell="O170" sqref="O170"/>
    </sheetView>
  </sheetViews>
  <sheetFormatPr defaultColWidth="9.7109375" defaultRowHeight="13.5" x14ac:dyDescent="0.2"/>
  <cols>
    <col min="1" max="1" width="9.7109375" style="2092"/>
    <col min="2" max="2" width="6.5703125" style="2092" bestFit="1" customWidth="1"/>
    <col min="3" max="3" width="1.7109375" style="2092" customWidth="1"/>
    <col min="4" max="4" width="17.42578125" style="2092" customWidth="1"/>
    <col min="5" max="5" width="12.5703125" style="2092" customWidth="1"/>
    <col min="6" max="6" width="12.7109375" style="2092" customWidth="1"/>
    <col min="7" max="7" width="13.28515625" style="2092" customWidth="1"/>
    <col min="8" max="8" width="7.42578125" style="2092" bestFit="1" customWidth="1"/>
    <col min="9" max="9" width="17" style="2092" customWidth="1"/>
    <col min="10" max="10" width="9.42578125" style="2092" bestFit="1" customWidth="1"/>
    <col min="11" max="11" width="12.5703125" style="2092" bestFit="1" customWidth="1"/>
    <col min="12" max="12" width="15.7109375" style="2092" customWidth="1"/>
    <col min="13" max="13" width="4.7109375" style="2092" customWidth="1"/>
    <col min="14" max="14" width="1.7109375" style="2092" customWidth="1"/>
    <col min="15" max="15" width="38.42578125" style="2107" customWidth="1"/>
    <col min="16" max="16" width="6.7109375" style="2092" customWidth="1"/>
    <col min="17" max="17" width="9" style="2092" customWidth="1"/>
    <col min="18" max="18" width="7.5703125" style="2092" customWidth="1"/>
    <col min="19" max="19" width="7.28515625" style="2092" customWidth="1"/>
    <col min="20" max="20" width="13.28515625" style="2092" customWidth="1"/>
    <col min="21" max="21" width="6.5703125" style="2092" customWidth="1"/>
    <col min="22" max="22" width="7.7109375" style="2092" customWidth="1"/>
    <col min="23" max="23" width="13.28515625" style="2092" customWidth="1"/>
    <col min="24" max="24" width="12.5703125" style="2092" customWidth="1"/>
    <col min="25" max="25" width="10.7109375" style="2092" customWidth="1"/>
    <col min="26" max="26" width="11.7109375" style="2092" customWidth="1"/>
    <col min="27" max="27" width="11.28515625" style="2092" customWidth="1"/>
    <col min="28" max="28" width="14.28515625" style="2092" customWidth="1"/>
    <col min="29" max="29" width="8.7109375" style="2092" customWidth="1"/>
    <col min="30" max="30" width="8.7109375" style="2094" customWidth="1"/>
    <col min="31" max="31" width="15.28515625" style="2092" customWidth="1"/>
    <col min="32" max="32" width="7.7109375" style="2092" customWidth="1"/>
    <col min="33" max="33" width="9.7109375" style="2092"/>
    <col min="34" max="34" width="10" style="2094" customWidth="1"/>
    <col min="35" max="35" width="10.7109375" style="2092" customWidth="1"/>
    <col min="36" max="36" width="11.7109375" style="2092" customWidth="1"/>
    <col min="37" max="37" width="10.7109375" style="2092" customWidth="1"/>
    <col min="38" max="38" width="14.28515625" style="2092" customWidth="1"/>
    <col min="39" max="39" width="15" style="2092" customWidth="1"/>
    <col min="40" max="40" width="11.5703125" style="2092" customWidth="1"/>
    <col min="41" max="41" width="11.7109375" style="2092" bestFit="1" customWidth="1"/>
    <col min="42" max="42" width="4.7109375" style="2092" customWidth="1"/>
    <col min="43" max="43" width="1.7109375" style="2092" customWidth="1"/>
    <col min="44" max="44" width="39.7109375" style="2092" customWidth="1"/>
    <col min="45" max="45" width="5.7109375" style="2092" customWidth="1"/>
    <col min="46" max="46" width="6.7109375" style="2092" customWidth="1"/>
    <col min="47" max="47" width="7.7109375" style="2092" customWidth="1"/>
    <col min="48" max="48" width="8.7109375" style="2092" bestFit="1" customWidth="1"/>
    <col min="49" max="50" width="14.7109375" style="2092" customWidth="1"/>
    <col min="51" max="51" width="9.42578125" style="2092" customWidth="1"/>
    <col min="52" max="52" width="10.28515625" style="2092" customWidth="1"/>
    <col min="53" max="53" width="16.7109375" style="2092" customWidth="1"/>
    <col min="54" max="54" width="12" style="2092" customWidth="1"/>
    <col min="55" max="56" width="6.5703125" style="2092" customWidth="1"/>
    <col min="57" max="57" width="6.7109375" style="2092" customWidth="1"/>
    <col min="58" max="58" width="13" style="2092" customWidth="1"/>
    <col min="59" max="59" width="16.28515625" style="2092" customWidth="1"/>
    <col min="60" max="60" width="9.7109375" style="2092"/>
    <col min="61" max="61" width="4.7109375" style="2092" customWidth="1"/>
    <col min="62" max="62" width="0.7109375" style="2092" customWidth="1"/>
    <col min="63" max="63" width="39.7109375" style="2092" customWidth="1"/>
    <col min="64" max="64" width="5.7109375" style="2092" customWidth="1"/>
    <col min="65" max="65" width="6.7109375" style="2092" customWidth="1"/>
    <col min="66" max="67" width="8.7109375" style="2092" customWidth="1"/>
    <col min="68" max="68" width="16.7109375" style="2092" customWidth="1"/>
    <col min="69" max="69" width="14.7109375" style="2093" customWidth="1"/>
    <col min="70" max="70" width="7.7109375" style="2120" bestFit="1" customWidth="1"/>
    <col min="71" max="16384" width="9.7109375" style="2092"/>
  </cols>
  <sheetData>
    <row r="1" spans="2:59" s="2092" customFormat="1" x14ac:dyDescent="0.2">
      <c r="O1" s="2107"/>
      <c r="Q1" s="2093">
        <v>-5</v>
      </c>
      <c r="R1" s="2093">
        <v>0</v>
      </c>
      <c r="S1" s="2093" t="e">
        <v>#VALUE!</v>
      </c>
      <c r="T1" s="2093">
        <v>0</v>
      </c>
      <c r="U1" s="2093">
        <v>0</v>
      </c>
      <c r="V1" s="2093">
        <v>0</v>
      </c>
      <c r="W1" s="2093">
        <v>0</v>
      </c>
      <c r="X1" s="2093">
        <v>0</v>
      </c>
      <c r="Y1" s="2093">
        <v>-3.4518071666783168E-2</v>
      </c>
      <c r="Z1" s="2093">
        <v>-42026.742094531655</v>
      </c>
      <c r="AA1" s="2093">
        <v>0</v>
      </c>
      <c r="AB1" s="2093">
        <v>-42026.742094531655</v>
      </c>
      <c r="AC1" s="2093">
        <v>0</v>
      </c>
      <c r="AD1" s="2093">
        <v>1.5000000000000001E-2</v>
      </c>
      <c r="AE1" s="2093" t="e">
        <v>#N/A</v>
      </c>
      <c r="AF1" s="2093">
        <v>0</v>
      </c>
      <c r="AG1" s="2093">
        <v>0</v>
      </c>
      <c r="AH1" s="2093">
        <v>0</v>
      </c>
      <c r="AI1" s="2093">
        <v>0</v>
      </c>
      <c r="AJ1" s="2093">
        <v>-14290</v>
      </c>
      <c r="AK1" s="2093">
        <v>11498.571428571428</v>
      </c>
      <c r="AL1" s="2093" t="e">
        <v>#N/A</v>
      </c>
      <c r="AM1" s="2093" t="e">
        <v>#N/A</v>
      </c>
    </row>
    <row r="2" spans="2:59" s="2092" customFormat="1" x14ac:dyDescent="0.2">
      <c r="B2" s="3245" t="str">
        <f>'RAB (2)'!E3</f>
        <v>: Renovasi Atap Gedung Paripurna DPRD Provsu</v>
      </c>
      <c r="C2" s="3246"/>
      <c r="D2" s="3246"/>
      <c r="E2" s="3246"/>
      <c r="F2" s="3246"/>
      <c r="G2" s="3246"/>
      <c r="H2" s="3246"/>
      <c r="I2" s="3246"/>
      <c r="J2" s="3246"/>
      <c r="K2" s="3247"/>
      <c r="O2" s="2107"/>
      <c r="AD2" s="2094"/>
      <c r="AH2" s="2094"/>
    </row>
    <row r="3" spans="2:59" s="2092" customFormat="1" x14ac:dyDescent="0.2">
      <c r="B3" s="3248"/>
      <c r="C3" s="3249"/>
      <c r="D3" s="3249"/>
      <c r="E3" s="3249"/>
      <c r="F3" s="3249"/>
      <c r="G3" s="3249"/>
      <c r="H3" s="3249"/>
      <c r="I3" s="3249"/>
      <c r="J3" s="3249"/>
      <c r="K3" s="3250"/>
      <c r="O3" s="2107"/>
      <c r="AD3" s="2094"/>
      <c r="AH3" s="2094"/>
    </row>
    <row r="4" spans="2:59" s="2092" customFormat="1" x14ac:dyDescent="0.2">
      <c r="B4" s="3251"/>
      <c r="C4" s="3252"/>
      <c r="D4" s="3252"/>
      <c r="E4" s="3252"/>
      <c r="F4" s="3252"/>
      <c r="G4" s="3252"/>
      <c r="H4" s="3252"/>
      <c r="I4" s="3252"/>
      <c r="J4" s="3252"/>
      <c r="K4" s="3253"/>
      <c r="M4" s="3254" t="s">
        <v>361</v>
      </c>
      <c r="N4" s="3255"/>
      <c r="O4" s="3255"/>
      <c r="P4" s="3255"/>
      <c r="Q4" s="3255"/>
      <c r="R4" s="3255"/>
      <c r="S4" s="3255"/>
      <c r="T4" s="3255"/>
      <c r="U4" s="3255"/>
      <c r="V4" s="3255"/>
      <c r="W4" s="3255"/>
      <c r="X4" s="3255"/>
      <c r="Y4" s="3255"/>
      <c r="Z4" s="3255"/>
      <c r="AA4" s="3255"/>
      <c r="AB4" s="3255"/>
      <c r="AC4" s="3255"/>
      <c r="AD4" s="3255"/>
      <c r="AE4" s="3255"/>
      <c r="AF4" s="3255"/>
      <c r="AG4" s="3255"/>
      <c r="AH4" s="3255"/>
      <c r="AI4" s="3255"/>
      <c r="AJ4" s="3255"/>
      <c r="AK4" s="3255"/>
      <c r="AL4" s="3255"/>
      <c r="AM4" s="3255"/>
      <c r="AN4" s="3255"/>
      <c r="BC4" s="2095"/>
      <c r="BD4" s="2096"/>
      <c r="BE4" s="2096"/>
      <c r="BF4" s="2096"/>
      <c r="BG4" s="2097"/>
    </row>
    <row r="5" spans="2:59" s="2092" customFormat="1" x14ac:dyDescent="0.2">
      <c r="M5" s="3254" t="str">
        <f>B2</f>
        <v>: Renovasi Atap Gedung Paripurna DPRD Provsu</v>
      </c>
      <c r="N5" s="3255"/>
      <c r="O5" s="3255"/>
      <c r="P5" s="3255"/>
      <c r="Q5" s="3255"/>
      <c r="R5" s="3255"/>
      <c r="S5" s="3255"/>
      <c r="T5" s="3255"/>
      <c r="U5" s="3255"/>
      <c r="V5" s="3255"/>
      <c r="W5" s="3255"/>
      <c r="X5" s="3255"/>
      <c r="Y5" s="3255"/>
      <c r="Z5" s="3255"/>
      <c r="AA5" s="3255"/>
      <c r="AB5" s="3255"/>
      <c r="AC5" s="3255"/>
      <c r="AD5" s="3255"/>
      <c r="AE5" s="3255"/>
      <c r="AF5" s="3255"/>
      <c r="AG5" s="3255"/>
      <c r="AH5" s="3255"/>
      <c r="AI5" s="3255"/>
      <c r="AJ5" s="3255"/>
      <c r="AK5" s="3255"/>
      <c r="AL5" s="3255"/>
      <c r="AM5" s="3255"/>
      <c r="AN5" s="3255"/>
      <c r="BC5" s="2095"/>
      <c r="BD5" s="2096"/>
      <c r="BE5" s="2096"/>
      <c r="BF5" s="2096"/>
      <c r="BG5" s="2097"/>
    </row>
    <row r="6" spans="2:59" s="2092" customFormat="1" x14ac:dyDescent="0.2">
      <c r="B6" s="2098" t="s">
        <v>362</v>
      </c>
      <c r="C6" s="2098"/>
      <c r="D6" s="2098"/>
      <c r="E6" s="2098"/>
      <c r="F6" s="2098"/>
      <c r="G6" s="2099"/>
      <c r="H6" s="2099"/>
      <c r="I6" s="2099"/>
      <c r="J6" s="2099"/>
      <c r="K6" s="2098"/>
      <c r="O6" s="2107"/>
      <c r="AD6" s="2094"/>
      <c r="AH6" s="2094"/>
      <c r="BC6" s="2100"/>
      <c r="BD6" s="2096"/>
      <c r="BE6" s="2096"/>
      <c r="BF6" s="2096"/>
      <c r="BG6" s="2097"/>
    </row>
    <row r="7" spans="2:59" s="2092" customFormat="1" hidden="1" x14ac:dyDescent="0.2">
      <c r="O7" s="2107"/>
    </row>
    <row r="8" spans="2:59" s="2092" customFormat="1" ht="14.25" hidden="1" thickTop="1" x14ac:dyDescent="0.2">
      <c r="B8" s="2288"/>
      <c r="C8" s="2251"/>
      <c r="D8" s="2250"/>
      <c r="E8" s="2250"/>
      <c r="F8" s="2250"/>
      <c r="G8" s="2250"/>
      <c r="H8" s="2251"/>
      <c r="I8" s="2251"/>
      <c r="J8" s="2251"/>
      <c r="K8" s="2252"/>
      <c r="O8" s="2107"/>
    </row>
    <row r="9" spans="2:59" s="2092" customFormat="1" hidden="1" x14ac:dyDescent="0.2">
      <c r="B9" s="2289" t="s">
        <v>12</v>
      </c>
      <c r="C9" s="2290"/>
      <c r="D9" s="2098" t="s">
        <v>363</v>
      </c>
      <c r="E9" s="2098"/>
      <c r="F9" s="2098"/>
      <c r="G9" s="2098"/>
      <c r="H9" s="2253" t="s">
        <v>364</v>
      </c>
      <c r="I9" s="2254" t="s">
        <v>365</v>
      </c>
      <c r="J9" s="2253" t="s">
        <v>366</v>
      </c>
      <c r="K9" s="2255" t="s">
        <v>367</v>
      </c>
      <c r="O9" s="2107"/>
      <c r="AD9" s="2094"/>
      <c r="AH9" s="2094"/>
    </row>
    <row r="10" spans="2:59" s="2092" customFormat="1" ht="14.25" hidden="1" thickBot="1" x14ac:dyDescent="0.25">
      <c r="B10" s="2291"/>
      <c r="C10" s="2257"/>
      <c r="D10" s="2256"/>
      <c r="E10" s="2256"/>
      <c r="F10" s="2256"/>
      <c r="G10" s="2256"/>
      <c r="H10" s="2257"/>
      <c r="I10" s="2257"/>
      <c r="J10" s="2257"/>
      <c r="K10" s="2258"/>
      <c r="O10" s="2107"/>
      <c r="AD10" s="2094"/>
      <c r="AH10" s="2094"/>
    </row>
    <row r="11" spans="2:59" s="2092" customFormat="1" ht="14.25" hidden="1" thickTop="1" x14ac:dyDescent="0.2">
      <c r="B11" s="2292"/>
      <c r="C11" s="2259"/>
      <c r="H11" s="2259"/>
      <c r="I11" s="2260"/>
      <c r="J11" s="2259"/>
      <c r="K11" s="2261"/>
      <c r="O11" s="2107"/>
      <c r="AD11" s="2094"/>
      <c r="AH11" s="2094"/>
    </row>
    <row r="12" spans="2:59" s="2092" customFormat="1" hidden="1" x14ac:dyDescent="0.2">
      <c r="B12" s="2289" t="s">
        <v>368</v>
      </c>
      <c r="C12" s="2290"/>
      <c r="D12" s="2293" t="s">
        <v>369</v>
      </c>
      <c r="H12" s="2259"/>
      <c r="I12" s="2260"/>
      <c r="J12" s="2259"/>
      <c r="K12" s="2261"/>
      <c r="O12" s="2107">
        <v>0.45</v>
      </c>
      <c r="AD12" s="2094"/>
      <c r="AH12" s="2094"/>
    </row>
    <row r="13" spans="2:59" s="2092" customFormat="1" hidden="1" x14ac:dyDescent="0.2">
      <c r="B13" s="2292" t="s">
        <v>370</v>
      </c>
      <c r="C13" s="2259"/>
      <c r="D13" s="2092" t="s">
        <v>371</v>
      </c>
      <c r="H13" s="2262" t="s">
        <v>372</v>
      </c>
      <c r="I13" s="2263"/>
      <c r="J13" s="2264"/>
      <c r="K13" s="2265"/>
      <c r="O13" s="2107">
        <f>O12*4</f>
        <v>1.8</v>
      </c>
      <c r="AD13" s="2094"/>
      <c r="AH13" s="2094"/>
    </row>
    <row r="14" spans="2:59" s="2092" customFormat="1" hidden="1" x14ac:dyDescent="0.2">
      <c r="B14" s="2292" t="s">
        <v>373</v>
      </c>
      <c r="C14" s="2259"/>
      <c r="D14" s="2092" t="s">
        <v>107</v>
      </c>
      <c r="H14" s="2266" t="s">
        <v>374</v>
      </c>
      <c r="I14" s="2267">
        <v>420</v>
      </c>
      <c r="J14" s="2266" t="s">
        <v>375</v>
      </c>
      <c r="K14" s="2261"/>
      <c r="O14" s="2107"/>
      <c r="AD14" s="2094"/>
      <c r="AH14" s="2094"/>
    </row>
    <row r="15" spans="2:59" s="2092" customFormat="1" hidden="1" x14ac:dyDescent="0.2">
      <c r="B15" s="2292" t="s">
        <v>376</v>
      </c>
      <c r="C15" s="2259"/>
      <c r="D15" s="2092" t="s">
        <v>307</v>
      </c>
      <c r="H15" s="2266" t="s">
        <v>377</v>
      </c>
      <c r="I15" s="2267">
        <v>60</v>
      </c>
      <c r="J15" s="2266" t="s">
        <v>378</v>
      </c>
      <c r="K15" s="2261"/>
      <c r="O15" s="2107"/>
      <c r="AD15" s="2094"/>
      <c r="AH15" s="2094"/>
      <c r="BC15" s="2100">
        <f>I19</f>
        <v>6</v>
      </c>
      <c r="BD15" s="2101">
        <f>I16</f>
        <v>6</v>
      </c>
      <c r="BE15" s="2102">
        <v>0</v>
      </c>
      <c r="BF15" s="2102">
        <f>I18</f>
        <v>3420583854.0708828</v>
      </c>
    </row>
    <row r="16" spans="2:59" s="2092" customFormat="1" hidden="1" x14ac:dyDescent="0.2">
      <c r="B16" s="2292" t="s">
        <v>379</v>
      </c>
      <c r="C16" s="2259"/>
      <c r="D16" s="2092" t="s">
        <v>380</v>
      </c>
      <c r="E16" s="2092" t="s">
        <v>381</v>
      </c>
      <c r="H16" s="2266" t="s">
        <v>41</v>
      </c>
      <c r="I16" s="2267">
        <v>6</v>
      </c>
      <c r="J16" s="2266" t="s">
        <v>231</v>
      </c>
      <c r="K16" s="2261"/>
      <c r="O16" s="2107"/>
      <c r="AD16" s="2094"/>
      <c r="AH16" s="2094"/>
      <c r="BC16" s="2103" t="s">
        <v>382</v>
      </c>
      <c r="BD16" s="2104">
        <f t="shared" ref="BD16:BD29" si="0">BD15-1</f>
        <v>5</v>
      </c>
      <c r="BE16" s="2105">
        <f t="shared" ref="BE16:BE29" si="1">BE15+1</f>
        <v>1</v>
      </c>
      <c r="BF16" s="2105">
        <f>BF15-(SUM(BD15:BD15)/BD30)*(BF15)</f>
        <v>2443274181.4792023</v>
      </c>
    </row>
    <row r="17" spans="2:58" s="2092" customFormat="1" hidden="1" x14ac:dyDescent="0.2">
      <c r="B17" s="2292"/>
      <c r="C17" s="2259"/>
      <c r="E17" s="2092" t="s">
        <v>383</v>
      </c>
      <c r="H17" s="2266" t="s">
        <v>384</v>
      </c>
      <c r="I17" s="2267">
        <f>12000/I16</f>
        <v>2000</v>
      </c>
      <c r="J17" s="2266" t="s">
        <v>247</v>
      </c>
      <c r="K17" s="2261"/>
      <c r="O17" s="2107"/>
      <c r="AD17" s="2094"/>
      <c r="AH17" s="2094"/>
      <c r="BC17" s="2100"/>
      <c r="BD17" s="2104">
        <f t="shared" si="0"/>
        <v>4</v>
      </c>
      <c r="BE17" s="2105">
        <f t="shared" si="1"/>
        <v>2</v>
      </c>
      <c r="BF17" s="2105">
        <f>BF15-(SUM(BD15:BD16)/BD30)*(BF15)</f>
        <v>1628849454.319468</v>
      </c>
    </row>
    <row r="18" spans="2:58" s="2092" customFormat="1" hidden="1" x14ac:dyDescent="0.2">
      <c r="B18" s="2292"/>
      <c r="C18" s="2259"/>
      <c r="E18" s="2092" t="s">
        <v>385</v>
      </c>
      <c r="H18" s="2266" t="s">
        <v>53</v>
      </c>
      <c r="I18" s="2268">
        <f>I21</f>
        <v>3420583854.0708828</v>
      </c>
      <c r="J18" s="2266" t="s">
        <v>386</v>
      </c>
      <c r="K18" s="2261"/>
      <c r="O18" s="2107"/>
      <c r="AD18" s="2094"/>
      <c r="AH18" s="2094"/>
      <c r="BC18" s="2100"/>
      <c r="BD18" s="2104">
        <f t="shared" si="0"/>
        <v>3</v>
      </c>
      <c r="BE18" s="2105">
        <f t="shared" si="1"/>
        <v>3</v>
      </c>
      <c r="BF18" s="2105">
        <f>BF15-(SUM(BD15:BD17)/BD30)*(BF15)</f>
        <v>977309672.59168053</v>
      </c>
    </row>
    <row r="19" spans="2:58" s="2092" customFormat="1" hidden="1" x14ac:dyDescent="0.2">
      <c r="B19" s="2292" t="s">
        <v>387</v>
      </c>
      <c r="C19" s="2259"/>
      <c r="D19" s="2092" t="s">
        <v>388</v>
      </c>
      <c r="E19" s="2092" t="s">
        <v>381</v>
      </c>
      <c r="H19" s="2266" t="s">
        <v>389</v>
      </c>
      <c r="I19" s="2269">
        <f>I16</f>
        <v>6</v>
      </c>
      <c r="J19" s="2120" t="s">
        <v>231</v>
      </c>
      <c r="K19" s="2270" t="str">
        <f>IF(I19=I16,"Alat Baru","Sewa Alat")</f>
        <v>Alat Baru</v>
      </c>
      <c r="L19" s="2092" t="s">
        <v>1233</v>
      </c>
      <c r="O19" s="2107"/>
      <c r="AD19" s="2094"/>
      <c r="AH19" s="2094"/>
      <c r="BC19" s="2100"/>
      <c r="BD19" s="2104">
        <f t="shared" si="0"/>
        <v>2</v>
      </c>
      <c r="BE19" s="2105">
        <f t="shared" si="1"/>
        <v>4</v>
      </c>
      <c r="BF19" s="2105">
        <f>BF15-(SUM(BD15:BD18)/BD30)*(BF15)</f>
        <v>488654836.29584074</v>
      </c>
    </row>
    <row r="20" spans="2:58" s="2092" customFormat="1" hidden="1" x14ac:dyDescent="0.2">
      <c r="B20" s="2292"/>
      <c r="C20" s="2259"/>
      <c r="D20" s="2294"/>
      <c r="E20" s="2092" t="s">
        <v>390</v>
      </c>
      <c r="H20" s="2266" t="s">
        <v>391</v>
      </c>
      <c r="I20" s="2271">
        <f>IF(I19=I16,I17,0.8*I17)</f>
        <v>2000</v>
      </c>
      <c r="J20" s="2266" t="s">
        <v>247</v>
      </c>
      <c r="K20" s="2272" t="str">
        <f>K19</f>
        <v>Alat Baru</v>
      </c>
      <c r="O20" s="2107"/>
      <c r="AD20" s="2094"/>
      <c r="AH20" s="2094"/>
      <c r="BC20" s="2100"/>
      <c r="BD20" s="2104">
        <f t="shared" si="0"/>
        <v>1</v>
      </c>
      <c r="BE20" s="2105">
        <f t="shared" si="1"/>
        <v>5</v>
      </c>
      <c r="BF20" s="2105">
        <f>BF15-(SUM(BD15:BD19)/BD30)*(BF15)</f>
        <v>162884945.43194675</v>
      </c>
    </row>
    <row r="21" spans="2:58" s="2092" customFormat="1" hidden="1" x14ac:dyDescent="0.2">
      <c r="B21" s="2292"/>
      <c r="C21" s="2259"/>
      <c r="D21" s="2294"/>
      <c r="E21" s="2092" t="s">
        <v>392</v>
      </c>
      <c r="H21" s="2266" t="s">
        <v>393</v>
      </c>
      <c r="I21" s="2271">
        <f>O27</f>
        <v>3420583854.0708828</v>
      </c>
      <c r="J21" s="2266" t="s">
        <v>386</v>
      </c>
      <c r="K21" s="2272" t="str">
        <f>K20</f>
        <v>Alat Baru</v>
      </c>
      <c r="O21" s="2107">
        <f>I21/13935</f>
        <v>245467.08676504361</v>
      </c>
      <c r="AD21" s="2094"/>
      <c r="AH21" s="2094"/>
      <c r="BC21" s="2100"/>
      <c r="BD21" s="2104">
        <f t="shared" si="0"/>
        <v>0</v>
      </c>
      <c r="BE21" s="2105">
        <f t="shared" si="1"/>
        <v>6</v>
      </c>
      <c r="BF21" s="2105">
        <f>BF15-(SUM(BD15:BD20)/BD30)*(BF15)</f>
        <v>0</v>
      </c>
    </row>
    <row r="22" spans="2:58" s="2092" customFormat="1" hidden="1" x14ac:dyDescent="0.2">
      <c r="B22" s="2295"/>
      <c r="C22" s="2290"/>
      <c r="D22" s="2293"/>
      <c r="H22" s="2259"/>
      <c r="I22" s="2260"/>
      <c r="J22" s="2259"/>
      <c r="K22" s="2261"/>
      <c r="O22" s="2107"/>
      <c r="AD22" s="2094"/>
      <c r="AH22" s="2094"/>
      <c r="BC22" s="2100"/>
      <c r="BD22" s="2104">
        <f t="shared" si="0"/>
        <v>-1</v>
      </c>
      <c r="BE22" s="2105">
        <f t="shared" si="1"/>
        <v>7</v>
      </c>
      <c r="BF22" s="2105">
        <f>BF15-(SUM(BD15:BD21)/BD30)*(BF15)</f>
        <v>0</v>
      </c>
    </row>
    <row r="23" spans="2:58" s="2092" customFormat="1" hidden="1" x14ac:dyDescent="0.2">
      <c r="B23" s="2289" t="s">
        <v>394</v>
      </c>
      <c r="C23" s="2290"/>
      <c r="D23" s="2293" t="s">
        <v>395</v>
      </c>
      <c r="H23" s="2259"/>
      <c r="I23" s="2260"/>
      <c r="J23" s="2259"/>
      <c r="K23" s="2261"/>
      <c r="O23" s="2107">
        <f>O21*14500</f>
        <v>3559272758.0931325</v>
      </c>
      <c r="AD23" s="2094"/>
      <c r="AH23" s="2094"/>
      <c r="BC23" s="2100"/>
      <c r="BD23" s="2104">
        <f t="shared" si="0"/>
        <v>-2</v>
      </c>
      <c r="BE23" s="2105">
        <f t="shared" si="1"/>
        <v>8</v>
      </c>
      <c r="BF23" s="2105">
        <f>BF15-(SUM(BD15:BD22)/BD30)*(BF15)</f>
        <v>162884945.43194675</v>
      </c>
    </row>
    <row r="24" spans="2:58" s="2092" customFormat="1" hidden="1" x14ac:dyDescent="0.2">
      <c r="B24" s="2292" t="s">
        <v>370</v>
      </c>
      <c r="C24" s="2259"/>
      <c r="D24" s="2092" t="s">
        <v>396</v>
      </c>
      <c r="E24" s="2092" t="s">
        <v>397</v>
      </c>
      <c r="H24" s="2266" t="s">
        <v>5</v>
      </c>
      <c r="I24" s="2271">
        <f>0.1*I18</f>
        <v>342058385.40708828</v>
      </c>
      <c r="J24" s="2266" t="s">
        <v>386</v>
      </c>
      <c r="K24" s="2261"/>
      <c r="O24" s="2107"/>
      <c r="AD24" s="2094"/>
      <c r="AH24" s="2094"/>
      <c r="BC24" s="2100"/>
      <c r="BD24" s="2104">
        <f t="shared" si="0"/>
        <v>-3</v>
      </c>
      <c r="BE24" s="2105">
        <f t="shared" si="1"/>
        <v>9</v>
      </c>
      <c r="BF24" s="2105">
        <f>BF15-(SUM(BD15:BD23)/BD30)*(BF15)</f>
        <v>488654836.29584074</v>
      </c>
    </row>
    <row r="25" spans="2:58" s="2092" customFormat="1" hidden="1" x14ac:dyDescent="0.2">
      <c r="B25" s="2292"/>
      <c r="C25" s="2259"/>
      <c r="H25" s="2259"/>
      <c r="I25" s="2259"/>
      <c r="J25" s="2259"/>
      <c r="K25" s="2261"/>
      <c r="O25" s="2107">
        <v>235902.33476350916</v>
      </c>
      <c r="AD25" s="2094"/>
      <c r="AH25" s="2094"/>
      <c r="BC25" s="2100"/>
      <c r="BD25" s="2104">
        <f t="shared" si="0"/>
        <v>-4</v>
      </c>
      <c r="BE25" s="2105">
        <f t="shared" si="1"/>
        <v>10</v>
      </c>
      <c r="BF25" s="2105">
        <f>BF15-(SUM(BD15:BD24)/BD30)*(BF15)</f>
        <v>977309672.59168053</v>
      </c>
    </row>
    <row r="26" spans="2:58" s="2092" customFormat="1" hidden="1" x14ac:dyDescent="0.2">
      <c r="B26" s="2292" t="s">
        <v>373</v>
      </c>
      <c r="C26" s="2259"/>
      <c r="D26" s="2092" t="s">
        <v>398</v>
      </c>
      <c r="F26" s="2273" t="s">
        <v>399</v>
      </c>
      <c r="H26" s="2266" t="s">
        <v>6</v>
      </c>
      <c r="I26" s="2274">
        <f>IF(I19=0,0,(I55/100*(1+I55/100)^I19)/((1+I55/100)^I19-1))</f>
        <v>0.22960738036266726</v>
      </c>
      <c r="J26" s="2266" t="s">
        <v>149</v>
      </c>
      <c r="K26" s="2261"/>
      <c r="O26" s="2107"/>
      <c r="AD26" s="2094"/>
      <c r="AH26" s="2094"/>
      <c r="BC26" s="2100"/>
      <c r="BD26" s="2104">
        <f t="shared" si="0"/>
        <v>-5</v>
      </c>
      <c r="BE26" s="2105">
        <f t="shared" si="1"/>
        <v>11</v>
      </c>
      <c r="BF26" s="2105">
        <f>BF15-(SUM(BD15:BD25)/BD30)*(BF15)</f>
        <v>1628849454.319468</v>
      </c>
    </row>
    <row r="27" spans="2:58" s="2092" customFormat="1" hidden="1" x14ac:dyDescent="0.2">
      <c r="B27" s="2292"/>
      <c r="C27" s="2259"/>
      <c r="F27" s="2099" t="s">
        <v>400</v>
      </c>
      <c r="H27" s="2259"/>
      <c r="I27" s="2260"/>
      <c r="J27" s="2259"/>
      <c r="K27" s="2261"/>
      <c r="O27" s="2107">
        <f>O25*14500</f>
        <v>3420583854.0708828</v>
      </c>
      <c r="AD27" s="2094"/>
      <c r="AH27" s="2094"/>
      <c r="BC27" s="2100"/>
      <c r="BD27" s="2104">
        <f t="shared" si="0"/>
        <v>-6</v>
      </c>
      <c r="BE27" s="2105">
        <f t="shared" si="1"/>
        <v>12</v>
      </c>
      <c r="BF27" s="2105">
        <f>BF15-(SUM(BD15:BD26)/BD30)*(BF15)</f>
        <v>2443274181.4792023</v>
      </c>
    </row>
    <row r="28" spans="2:58" s="2092" customFormat="1" hidden="1" x14ac:dyDescent="0.2">
      <c r="B28" s="2292" t="s">
        <v>376</v>
      </c>
      <c r="C28" s="2259"/>
      <c r="D28" s="2092" t="s">
        <v>401</v>
      </c>
      <c r="H28" s="2259"/>
      <c r="I28" s="2260"/>
      <c r="J28" s="2259"/>
      <c r="K28" s="2261"/>
      <c r="O28" s="2107"/>
      <c r="AD28" s="2094"/>
      <c r="AH28" s="2094"/>
      <c r="BC28" s="2100"/>
      <c r="BD28" s="2104">
        <f t="shared" si="0"/>
        <v>-7</v>
      </c>
      <c r="BE28" s="2105">
        <f t="shared" si="1"/>
        <v>13</v>
      </c>
      <c r="BF28" s="2105">
        <f>BF15-(SUM(BD15:BD27)/BD30)*(BF15)</f>
        <v>3420583854.0708828</v>
      </c>
    </row>
    <row r="29" spans="2:58" s="2092" customFormat="1" hidden="1" x14ac:dyDescent="0.2">
      <c r="B29" s="2292"/>
      <c r="C29" s="2259"/>
      <c r="D29" s="2092" t="s">
        <v>402</v>
      </c>
      <c r="F29" s="2273" t="s">
        <v>403</v>
      </c>
      <c r="H29" s="2266" t="s">
        <v>7</v>
      </c>
      <c r="I29" s="2260">
        <f>IF(I20=0,0,((I21-I24)*I26)/I20)</f>
        <v>353426.08411982318</v>
      </c>
      <c r="J29" s="2266" t="s">
        <v>386</v>
      </c>
      <c r="K29" s="2261"/>
      <c r="O29" s="2107"/>
      <c r="AD29" s="2094"/>
      <c r="AH29" s="2094"/>
      <c r="BC29" s="2100"/>
      <c r="BD29" s="2108">
        <f t="shared" si="0"/>
        <v>-8</v>
      </c>
      <c r="BE29" s="2109">
        <f t="shared" si="1"/>
        <v>14</v>
      </c>
      <c r="BF29" s="2109">
        <f>BF15-(SUM(BD15:BD28)/BD30)*(BF15)</f>
        <v>4560778472.0945101</v>
      </c>
    </row>
    <row r="30" spans="2:58" s="2092" customFormat="1" hidden="1" x14ac:dyDescent="0.2">
      <c r="B30" s="2292"/>
      <c r="C30" s="2259"/>
      <c r="F30" s="2099" t="s">
        <v>391</v>
      </c>
      <c r="H30" s="2259"/>
      <c r="I30" s="2260"/>
      <c r="J30" s="2259"/>
      <c r="K30" s="2261"/>
      <c r="O30" s="2107"/>
      <c r="AD30" s="2094"/>
      <c r="AH30" s="2094"/>
      <c r="BC30" s="2100"/>
      <c r="BD30" s="2110">
        <f>IF(BD16=0,SUM(BD15:BD16),IF(BD17=0,SUM(BD15:BD17),IF(BD18=0,SUM(BD15:BD18),IF(BD19=0,SUM(BD15:BD19),IF(BD20=0,SUM(BD15:BD20),IF(BD21=0,SUM(BD15:BD21),IF(BD22=0,SUM(BD15:BD22),+BE30)))))))</f>
        <v>21</v>
      </c>
      <c r="BE30" s="2111" t="str">
        <f>IF(BD23=0,SUM(BD15:BD23),IF(BD24=0,SUM(BD15:BD24),IF(BD25=0,SUM(BD15:BD25),IF(BD26=0,SUM(BD15:BD26),IF(BD27=0,SUM(BD15:BD27),IF(BD28=0,SUM(BD15:BD28),IF(BD29=0,SUM(BD15:BD29),"&gt; 15th ?")))))))</f>
        <v>&gt; 15th ?</v>
      </c>
      <c r="BF30" s="2112"/>
    </row>
    <row r="31" spans="2:58" s="2092" customFormat="1" hidden="1" x14ac:dyDescent="0.2">
      <c r="B31" s="2292"/>
      <c r="C31" s="2259"/>
      <c r="H31" s="2259"/>
      <c r="I31" s="2260"/>
      <c r="J31" s="2259"/>
      <c r="K31" s="2261"/>
      <c r="O31" s="2107"/>
      <c r="AD31" s="2094"/>
      <c r="AH31" s="2094"/>
      <c r="BC31" s="2100"/>
      <c r="BD31" s="2113" t="s">
        <v>404</v>
      </c>
      <c r="BE31" s="2114"/>
      <c r="BF31" s="2115" t="str">
        <f>IF(BC15=0,"Habis Umur",IF(BC15=BD15,"Alat Baru","Sewa Alat"))</f>
        <v>Alat Baru</v>
      </c>
    </row>
    <row r="32" spans="2:58" s="2092" customFormat="1" hidden="1" x14ac:dyDescent="0.2">
      <c r="B32" s="2292"/>
      <c r="C32" s="2259"/>
      <c r="D32" s="2092" t="s">
        <v>405</v>
      </c>
      <c r="E32" s="2275">
        <v>2E-3</v>
      </c>
      <c r="F32" s="2275" t="s">
        <v>406</v>
      </c>
      <c r="H32" s="2266" t="s">
        <v>63</v>
      </c>
      <c r="I32" s="2260">
        <f>IF(I20=0,0,(E32*I21)/I20)</f>
        <v>3420.5838540708828</v>
      </c>
      <c r="J32" s="2266" t="s">
        <v>386</v>
      </c>
      <c r="K32" s="2261"/>
      <c r="O32" s="2107"/>
      <c r="AD32" s="2094"/>
      <c r="AH32" s="2094"/>
      <c r="BC32" s="2100"/>
      <c r="BD32" s="2116" t="s">
        <v>407</v>
      </c>
      <c r="BE32" s="2117"/>
      <c r="BF32" s="3256">
        <f>IF(BD15-BC15=BE15,+BF15,IF(BD15-BC15=BE16,+BF16,IF(BD15-BC15=BE17,+BF17,IF(BD15-BC15=BE18,+BF18,IF(BD15-BC15=BE19,+BF19,IF(BD15-BC15=BE20,+BF20,IF(BD15-BC15=BE21,+BF21,IF(BD15-BC15=BE22,+BF22,""))))))))</f>
        <v>3420583854.0708828</v>
      </c>
    </row>
    <row r="33" spans="2:58" s="2092" customFormat="1" hidden="1" x14ac:dyDescent="0.2">
      <c r="B33" s="2292"/>
      <c r="C33" s="2259"/>
      <c r="F33" s="2092" t="s">
        <v>391</v>
      </c>
      <c r="H33" s="2259"/>
      <c r="I33" s="2260"/>
      <c r="J33" s="2259"/>
      <c r="K33" s="2261"/>
      <c r="O33" s="2107"/>
      <c r="AD33" s="2094"/>
      <c r="AH33" s="2094"/>
      <c r="BC33" s="2100"/>
      <c r="BD33" s="2118" t="s">
        <v>408</v>
      </c>
      <c r="BE33" s="2119"/>
      <c r="BF33" s="3256"/>
    </row>
    <row r="34" spans="2:58" s="2092" customFormat="1" hidden="1" x14ac:dyDescent="0.2">
      <c r="B34" s="2292"/>
      <c r="C34" s="2259"/>
      <c r="H34" s="2259"/>
      <c r="I34" s="2260"/>
      <c r="J34" s="2259"/>
      <c r="K34" s="2261"/>
      <c r="O34" s="2107"/>
      <c r="AD34" s="2094"/>
      <c r="AH34" s="2094"/>
    </row>
    <row r="35" spans="2:58" s="2092" customFormat="1" hidden="1" x14ac:dyDescent="0.2">
      <c r="B35" s="2292"/>
      <c r="C35" s="2259"/>
      <c r="D35" s="2293" t="s">
        <v>409</v>
      </c>
      <c r="F35" s="2120" t="s">
        <v>410</v>
      </c>
      <c r="H35" s="2266" t="s">
        <v>311</v>
      </c>
      <c r="I35" s="2276">
        <f>I32+I29</f>
        <v>356846.66797389404</v>
      </c>
      <c r="J35" s="2266" t="s">
        <v>386</v>
      </c>
      <c r="K35" s="2261"/>
      <c r="O35" s="2107"/>
      <c r="AD35" s="2094"/>
      <c r="AH35" s="2094"/>
    </row>
    <row r="36" spans="2:58" s="2092" customFormat="1" hidden="1" x14ac:dyDescent="0.2">
      <c r="B36" s="2292"/>
      <c r="C36" s="2259"/>
      <c r="H36" s="2259"/>
      <c r="I36" s="2260"/>
      <c r="J36" s="2259"/>
      <c r="K36" s="2261"/>
      <c r="O36" s="2107"/>
      <c r="AD36" s="2094"/>
      <c r="AH36" s="2094"/>
    </row>
    <row r="37" spans="2:58" s="2092" customFormat="1" hidden="1" x14ac:dyDescent="0.2">
      <c r="B37" s="2289" t="s">
        <v>411</v>
      </c>
      <c r="C37" s="2290"/>
      <c r="D37" s="2293" t="s">
        <v>412</v>
      </c>
      <c r="H37" s="2259"/>
      <c r="I37" s="2260"/>
      <c r="J37" s="2259"/>
      <c r="K37" s="2261"/>
      <c r="O37" s="2107"/>
      <c r="AD37" s="2094"/>
      <c r="AH37" s="2094"/>
    </row>
    <row r="38" spans="2:58" s="2092" customFormat="1" hidden="1" x14ac:dyDescent="0.2">
      <c r="B38" s="2295"/>
      <c r="C38" s="2290"/>
      <c r="D38" s="2293"/>
      <c r="H38" s="2259"/>
      <c r="I38" s="2260"/>
      <c r="J38" s="2259"/>
      <c r="K38" s="2261"/>
      <c r="O38" s="2107"/>
      <c r="AD38" s="2094"/>
      <c r="AH38" s="2094"/>
    </row>
    <row r="39" spans="2:58" s="2092" customFormat="1" hidden="1" x14ac:dyDescent="0.2">
      <c r="B39" s="2292" t="s">
        <v>370</v>
      </c>
      <c r="C39" s="2290"/>
      <c r="D39" s="2092" t="s">
        <v>413</v>
      </c>
      <c r="H39" s="2266" t="s">
        <v>313</v>
      </c>
      <c r="I39" s="2260">
        <f>0.125*I14*I59</f>
        <v>572092.5</v>
      </c>
      <c r="J39" s="2266" t="s">
        <v>386</v>
      </c>
      <c r="K39" s="2261"/>
      <c r="O39" s="2107"/>
      <c r="AD39" s="2094"/>
      <c r="AH39" s="2094"/>
    </row>
    <row r="40" spans="2:58" s="2092" customFormat="1" hidden="1" x14ac:dyDescent="0.2">
      <c r="B40" s="2292"/>
      <c r="C40" s="2290"/>
      <c r="H40" s="2259"/>
      <c r="I40" s="2259"/>
      <c r="J40" s="2259"/>
      <c r="K40" s="2261"/>
      <c r="O40" s="2107"/>
      <c r="AD40" s="2094"/>
      <c r="AH40" s="2094"/>
    </row>
    <row r="41" spans="2:58" s="2092" customFormat="1" hidden="1" x14ac:dyDescent="0.2">
      <c r="B41" s="2292" t="s">
        <v>373</v>
      </c>
      <c r="C41" s="2259"/>
      <c r="D41" s="2092" t="s">
        <v>414</v>
      </c>
      <c r="H41" s="2266" t="s">
        <v>31</v>
      </c>
      <c r="I41" s="2260">
        <f>(0.025)*I14*I60</f>
        <v>1050000</v>
      </c>
      <c r="J41" s="2266" t="s">
        <v>386</v>
      </c>
      <c r="K41" s="2261"/>
      <c r="O41" s="2107"/>
    </row>
    <row r="42" spans="2:58" s="2092" customFormat="1" hidden="1" x14ac:dyDescent="0.2">
      <c r="B42" s="2292"/>
      <c r="C42" s="2259"/>
      <c r="H42" s="2259"/>
      <c r="I42" s="2260"/>
      <c r="J42" s="2259"/>
      <c r="K42" s="2261"/>
      <c r="O42" s="2107"/>
    </row>
    <row r="43" spans="2:58" s="2092" customFormat="1" hidden="1" x14ac:dyDescent="0.2">
      <c r="B43" s="2292" t="s">
        <v>376</v>
      </c>
      <c r="C43" s="2259"/>
      <c r="D43" s="2092" t="s">
        <v>415</v>
      </c>
      <c r="E43" s="2273" t="s">
        <v>416</v>
      </c>
      <c r="F43" s="2273"/>
      <c r="H43" s="2266" t="s">
        <v>417</v>
      </c>
      <c r="I43" s="2260">
        <f>IF(I20=0,0,(0.125*I21)/I20)</f>
        <v>213786.49087943017</v>
      </c>
      <c r="J43" s="2266" t="s">
        <v>386</v>
      </c>
      <c r="K43" s="2261"/>
      <c r="O43" s="2107"/>
    </row>
    <row r="44" spans="2:58" s="2092" customFormat="1" hidden="1" x14ac:dyDescent="0.2">
      <c r="B44" s="2292"/>
      <c r="C44" s="2259"/>
      <c r="D44" s="2092" t="s">
        <v>418</v>
      </c>
      <c r="E44" s="2099" t="s">
        <v>391</v>
      </c>
      <c r="F44" s="2099"/>
      <c r="H44" s="2259"/>
      <c r="I44" s="2260"/>
      <c r="J44" s="2259"/>
      <c r="K44" s="2261"/>
      <c r="O44" s="2107"/>
    </row>
    <row r="45" spans="2:58" s="2092" customFormat="1" hidden="1" x14ac:dyDescent="0.2">
      <c r="B45" s="2292"/>
      <c r="C45" s="2259"/>
      <c r="H45" s="2259"/>
      <c r="I45" s="2259"/>
      <c r="J45" s="2259"/>
      <c r="K45" s="2261"/>
      <c r="O45" s="2107"/>
    </row>
    <row r="46" spans="2:58" s="2092" customFormat="1" hidden="1" x14ac:dyDescent="0.2">
      <c r="B46" s="2292" t="s">
        <v>379</v>
      </c>
      <c r="C46" s="2259"/>
      <c r="D46" s="2092" t="s">
        <v>419</v>
      </c>
      <c r="E46" s="2092" t="s">
        <v>420</v>
      </c>
      <c r="H46" s="2266" t="s">
        <v>151</v>
      </c>
      <c r="I46" s="2260">
        <f>1*I56</f>
        <v>28125</v>
      </c>
      <c r="J46" s="2266" t="s">
        <v>386</v>
      </c>
      <c r="K46" s="2261"/>
      <c r="O46" s="2107"/>
    </row>
    <row r="47" spans="2:58" s="2092" customFormat="1" hidden="1" x14ac:dyDescent="0.2">
      <c r="B47" s="2292" t="s">
        <v>387</v>
      </c>
      <c r="C47" s="2259"/>
      <c r="D47" s="2092" t="s">
        <v>98</v>
      </c>
      <c r="E47" s="2092" t="s">
        <v>421</v>
      </c>
      <c r="H47" s="2266" t="s">
        <v>310</v>
      </c>
      <c r="I47" s="2260">
        <f>3*I57</f>
        <v>67500</v>
      </c>
      <c r="J47" s="2266" t="s">
        <v>386</v>
      </c>
      <c r="K47" s="2261"/>
      <c r="O47" s="2107"/>
    </row>
    <row r="48" spans="2:58" s="2092" customFormat="1" hidden="1" x14ac:dyDescent="0.2">
      <c r="B48" s="2292"/>
      <c r="C48" s="2259"/>
      <c r="H48" s="2259"/>
      <c r="I48" s="2260"/>
      <c r="J48" s="2259"/>
      <c r="K48" s="2261"/>
      <c r="O48" s="2107"/>
    </row>
    <row r="49" spans="2:70" hidden="1" x14ac:dyDescent="0.2">
      <c r="B49" s="2295"/>
      <c r="C49" s="2290"/>
      <c r="D49" s="2293" t="s">
        <v>422</v>
      </c>
      <c r="F49" s="2120" t="s">
        <v>423</v>
      </c>
      <c r="H49" s="2266" t="s">
        <v>150</v>
      </c>
      <c r="I49" s="2276">
        <f>SUM(I39:I47)</f>
        <v>1931503.9908794302</v>
      </c>
      <c r="J49" s="2266" t="s">
        <v>386</v>
      </c>
      <c r="K49" s="2261"/>
      <c r="AD49" s="2092"/>
      <c r="AH49" s="2092"/>
      <c r="BQ49" s="2092"/>
      <c r="BR49" s="2092"/>
    </row>
    <row r="50" spans="2:70" hidden="1" x14ac:dyDescent="0.2">
      <c r="B50" s="2292"/>
      <c r="C50" s="2290"/>
      <c r="D50" s="2296"/>
      <c r="H50" s="2259"/>
      <c r="I50" s="2260"/>
      <c r="J50" s="2259"/>
      <c r="K50" s="2261"/>
      <c r="AD50" s="2092"/>
      <c r="AH50" s="2092"/>
      <c r="BQ50" s="2092"/>
      <c r="BR50" s="2092"/>
    </row>
    <row r="51" spans="2:70" hidden="1" x14ac:dyDescent="0.2">
      <c r="B51" s="2289" t="s">
        <v>424</v>
      </c>
      <c r="C51" s="2290"/>
      <c r="D51" s="2293" t="s">
        <v>425</v>
      </c>
      <c r="H51" s="2277" t="s">
        <v>426</v>
      </c>
      <c r="I51" s="2278">
        <f>I35+I49</f>
        <v>2288350.6588533241</v>
      </c>
      <c r="J51" s="2279" t="s">
        <v>386</v>
      </c>
      <c r="K51" s="2261"/>
      <c r="L51" s="2106"/>
      <c r="AD51" s="2092"/>
      <c r="AH51" s="2092"/>
      <c r="BQ51" s="2092"/>
      <c r="BR51" s="2092"/>
    </row>
    <row r="52" spans="2:70" hidden="1" x14ac:dyDescent="0.2">
      <c r="B52" s="2292"/>
      <c r="C52" s="2259"/>
      <c r="H52" s="2259"/>
      <c r="I52" s="2260"/>
      <c r="J52" s="2259"/>
      <c r="K52" s="2261"/>
      <c r="AD52" s="2092"/>
      <c r="AH52" s="2092"/>
      <c r="BQ52" s="2092"/>
      <c r="BR52" s="2092"/>
    </row>
    <row r="53" spans="2:70" hidden="1" x14ac:dyDescent="0.2">
      <c r="B53" s="2292"/>
      <c r="C53" s="2259"/>
      <c r="D53" s="2293"/>
      <c r="H53" s="2259"/>
      <c r="I53" s="2260"/>
      <c r="J53" s="2259"/>
      <c r="K53" s="2261"/>
      <c r="AD53" s="2092"/>
      <c r="AH53" s="2092"/>
      <c r="BQ53" s="2092"/>
      <c r="BR53" s="2092"/>
    </row>
    <row r="54" spans="2:70" hidden="1" x14ac:dyDescent="0.2">
      <c r="B54" s="2289" t="s">
        <v>427</v>
      </c>
      <c r="C54" s="2290"/>
      <c r="D54" s="2293" t="s">
        <v>428</v>
      </c>
      <c r="H54" s="2259"/>
      <c r="I54" s="2280"/>
      <c r="J54" s="2259"/>
      <c r="K54" s="2261"/>
      <c r="AD54" s="2092"/>
      <c r="AH54" s="2092"/>
      <c r="BQ54" s="2092"/>
      <c r="BR54" s="2092"/>
    </row>
    <row r="55" spans="2:70" hidden="1" x14ac:dyDescent="0.2">
      <c r="B55" s="2292" t="s">
        <v>370</v>
      </c>
      <c r="C55" s="2259"/>
      <c r="D55" s="2092" t="s">
        <v>358</v>
      </c>
      <c r="H55" s="2266" t="s">
        <v>429</v>
      </c>
      <c r="I55" s="2281">
        <f>ID!$D$9</f>
        <v>10</v>
      </c>
      <c r="J55" s="2266" t="s">
        <v>430</v>
      </c>
      <c r="K55" s="2261"/>
      <c r="AD55" s="2092"/>
      <c r="AH55" s="2092"/>
      <c r="BQ55" s="2092"/>
      <c r="BR55" s="2092"/>
    </row>
    <row r="56" spans="2:70" hidden="1" x14ac:dyDescent="0.2">
      <c r="B56" s="2292" t="s">
        <v>373</v>
      </c>
      <c r="C56" s="2259"/>
      <c r="D56" s="2092" t="s">
        <v>431</v>
      </c>
      <c r="G56" s="2282" t="str">
        <f>VLOOKUP(D56,'[65]Basic Price'!$C$8:$F$78,2,FALSE)</f>
        <v>L.05</v>
      </c>
      <c r="H56" s="2266" t="s">
        <v>432</v>
      </c>
      <c r="I56" s="2281">
        <f>VLOOKUP(D56,UPAH!$C$10:$G$15,5,FALSE)</f>
        <v>28125</v>
      </c>
      <c r="J56" s="2266" t="s">
        <v>433</v>
      </c>
      <c r="K56" s="2261"/>
      <c r="L56" s="2092">
        <f>I56*7</f>
        <v>196875</v>
      </c>
      <c r="AD56" s="2092"/>
      <c r="AH56" s="2092"/>
      <c r="BQ56" s="2092"/>
      <c r="BR56" s="2092"/>
    </row>
    <row r="57" spans="2:70" hidden="1" x14ac:dyDescent="0.2">
      <c r="B57" s="2292" t="s">
        <v>376</v>
      </c>
      <c r="C57" s="2259"/>
      <c r="D57" s="2092" t="s">
        <v>98</v>
      </c>
      <c r="G57" s="2282" t="str">
        <f>VLOOKUP(D57,'[65]Basic Price'!$C$8:$F$78,2,FALSE)</f>
        <v>L.06</v>
      </c>
      <c r="H57" s="2266" t="s">
        <v>434</v>
      </c>
      <c r="I57" s="2281">
        <f>VLOOKUP(D57,UPAH!$C$10:$G$15,5,FALSE)</f>
        <v>22500</v>
      </c>
      <c r="J57" s="2266" t="s">
        <v>433</v>
      </c>
      <c r="K57" s="2261"/>
      <c r="AD57" s="2092"/>
      <c r="AH57" s="2092"/>
      <c r="BQ57" s="2092"/>
      <c r="BR57" s="2092"/>
    </row>
    <row r="58" spans="2:70" hidden="1" x14ac:dyDescent="0.2">
      <c r="B58" s="2292" t="s">
        <v>379</v>
      </c>
      <c r="C58" s="2259"/>
      <c r="D58" s="2092" t="s">
        <v>435</v>
      </c>
      <c r="G58" s="2282" t="str">
        <f>VLOOKUP(D58,'[65]Basic Price'!$C$8:$F$78,2,FALSE)</f>
        <v>M.07</v>
      </c>
      <c r="H58" s="2266" t="s">
        <v>436</v>
      </c>
      <c r="I58" s="2281">
        <f>VLOOKUP(D58,BAHAN!$C$15:$G$98,5,FALSE)</f>
        <v>7650</v>
      </c>
      <c r="J58" s="2266" t="s">
        <v>58</v>
      </c>
      <c r="K58" s="2261"/>
      <c r="AD58" s="2092"/>
      <c r="AH58" s="2092"/>
      <c r="BQ58" s="2092"/>
      <c r="BR58" s="2092"/>
    </row>
    <row r="59" spans="2:70" hidden="1" x14ac:dyDescent="0.2">
      <c r="B59" s="2292" t="s">
        <v>387</v>
      </c>
      <c r="C59" s="2259"/>
      <c r="D59" s="2092" t="s">
        <v>437</v>
      </c>
      <c r="G59" s="2282" t="str">
        <f>VLOOKUP(D59,'[65]Basic Price'!$C$8:$F$78,2,FALSE)</f>
        <v>M.08</v>
      </c>
      <c r="H59" s="2266" t="s">
        <v>438</v>
      </c>
      <c r="I59" s="2281">
        <f>VLOOKUP(D59,BAHAN!$C$15:$G$98,5,FALSE)</f>
        <v>10897</v>
      </c>
      <c r="J59" s="2266" t="s">
        <v>58</v>
      </c>
      <c r="K59" s="2261"/>
      <c r="AD59" s="2092"/>
      <c r="AH59" s="2092"/>
      <c r="BQ59" s="2092"/>
      <c r="BR59" s="2092"/>
    </row>
    <row r="60" spans="2:70" hidden="1" x14ac:dyDescent="0.2">
      <c r="B60" s="2292" t="s">
        <v>439</v>
      </c>
      <c r="C60" s="2259"/>
      <c r="D60" s="2092" t="s">
        <v>440</v>
      </c>
      <c r="G60" s="2282" t="str">
        <f>VLOOKUP(D60,'[65]Basic Price'!$C$8:$F$78,2,FALSE)</f>
        <v>M.06</v>
      </c>
      <c r="H60" s="2266" t="s">
        <v>441</v>
      </c>
      <c r="I60" s="2281">
        <f>VLOOKUP(D60,BAHAN!$C$15:$G$98,5,FALSE)</f>
        <v>100000</v>
      </c>
      <c r="J60" s="2266" t="s">
        <v>58</v>
      </c>
      <c r="K60" s="2261"/>
      <c r="AD60" s="2092"/>
      <c r="AH60" s="2092"/>
      <c r="BQ60" s="2092"/>
      <c r="BR60" s="2092"/>
    </row>
    <row r="61" spans="2:70" hidden="1" x14ac:dyDescent="0.2">
      <c r="B61" s="2292" t="s">
        <v>442</v>
      </c>
      <c r="C61" s="2259"/>
      <c r="D61" s="2092" t="s">
        <v>443</v>
      </c>
      <c r="H61" s="2259"/>
      <c r="I61" s="2281"/>
      <c r="J61" s="2259"/>
      <c r="K61" s="2261"/>
      <c r="AD61" s="2092"/>
      <c r="AH61" s="2092"/>
      <c r="BQ61" s="2092"/>
      <c r="BR61" s="2092"/>
    </row>
    <row r="62" spans="2:70" hidden="1" x14ac:dyDescent="0.2">
      <c r="B62" s="2292"/>
      <c r="C62" s="2259"/>
      <c r="D62" s="2092" t="s">
        <v>444</v>
      </c>
      <c r="H62" s="2259"/>
      <c r="I62" s="2259"/>
      <c r="J62" s="2259"/>
      <c r="K62" s="2261"/>
      <c r="AD62" s="2092"/>
      <c r="AH62" s="2092"/>
      <c r="BQ62" s="2092"/>
      <c r="BR62" s="2092"/>
    </row>
    <row r="63" spans="2:70" ht="14.25" hidden="1" thickBot="1" x14ac:dyDescent="0.25">
      <c r="B63" s="2291"/>
      <c r="C63" s="2257"/>
      <c r="D63" s="2256"/>
      <c r="E63" s="2256"/>
      <c r="F63" s="2256"/>
      <c r="G63" s="2256"/>
      <c r="H63" s="2283"/>
      <c r="I63" s="2284"/>
      <c r="J63" s="2257"/>
      <c r="K63" s="2258"/>
      <c r="AD63" s="2092"/>
      <c r="AH63" s="2092"/>
      <c r="BQ63" s="2092"/>
      <c r="BR63" s="2092"/>
    </row>
    <row r="64" spans="2:70" ht="14.25" hidden="1" thickTop="1" x14ac:dyDescent="0.2"/>
    <row r="65" spans="2:70" hidden="1" x14ac:dyDescent="0.2">
      <c r="B65" s="2098" t="s">
        <v>362</v>
      </c>
      <c r="C65" s="2098"/>
      <c r="D65" s="2098"/>
      <c r="E65" s="2098"/>
      <c r="F65" s="2098"/>
      <c r="G65" s="2099"/>
      <c r="H65" s="2099"/>
      <c r="I65" s="2099"/>
      <c r="J65" s="2099"/>
      <c r="K65" s="2098"/>
      <c r="BC65" s="2100"/>
      <c r="BD65" s="2096"/>
      <c r="BE65" s="2096"/>
      <c r="BF65" s="2096"/>
      <c r="BG65" s="2097"/>
      <c r="BQ65" s="2092"/>
      <c r="BR65" s="2092"/>
    </row>
    <row r="66" spans="2:70" ht="14.25" hidden="1" thickBot="1" x14ac:dyDescent="0.25">
      <c r="AD66" s="2092"/>
      <c r="AH66" s="2092"/>
      <c r="BQ66" s="2092"/>
      <c r="BR66" s="2092"/>
    </row>
    <row r="67" spans="2:70" ht="14.25" hidden="1" thickTop="1" x14ac:dyDescent="0.2">
      <c r="B67" s="2288"/>
      <c r="C67" s="2251"/>
      <c r="D67" s="2250"/>
      <c r="E67" s="2250"/>
      <c r="F67" s="2250"/>
      <c r="G67" s="2250"/>
      <c r="H67" s="2251"/>
      <c r="I67" s="2251"/>
      <c r="J67" s="2251"/>
      <c r="K67" s="2252"/>
      <c r="AD67" s="2092"/>
      <c r="AH67" s="2092"/>
      <c r="BQ67" s="2092"/>
      <c r="BR67" s="2092"/>
    </row>
    <row r="68" spans="2:70" hidden="1" x14ac:dyDescent="0.2">
      <c r="B68" s="2289" t="s">
        <v>12</v>
      </c>
      <c r="C68" s="2290"/>
      <c r="D68" s="2098" t="s">
        <v>363</v>
      </c>
      <c r="E68" s="2098"/>
      <c r="F68" s="2098"/>
      <c r="G68" s="2098"/>
      <c r="H68" s="2253" t="s">
        <v>364</v>
      </c>
      <c r="I68" s="2254" t="s">
        <v>365</v>
      </c>
      <c r="J68" s="2253" t="s">
        <v>366</v>
      </c>
      <c r="K68" s="2255" t="s">
        <v>367</v>
      </c>
      <c r="BQ68" s="2092"/>
      <c r="BR68" s="2092"/>
    </row>
    <row r="69" spans="2:70" ht="14.25" hidden="1" thickBot="1" x14ac:dyDescent="0.25">
      <c r="B69" s="2291"/>
      <c r="C69" s="2257"/>
      <c r="D69" s="2256"/>
      <c r="E69" s="2256"/>
      <c r="F69" s="2256"/>
      <c r="G69" s="2256"/>
      <c r="H69" s="2257"/>
      <c r="I69" s="2257"/>
      <c r="J69" s="2257"/>
      <c r="K69" s="2258"/>
      <c r="BQ69" s="2092"/>
      <c r="BR69" s="2092"/>
    </row>
    <row r="70" spans="2:70" ht="14.25" hidden="1" thickTop="1" x14ac:dyDescent="0.2">
      <c r="B70" s="2292"/>
      <c r="C70" s="2259"/>
      <c r="H70" s="2259"/>
      <c r="I70" s="2260"/>
      <c r="J70" s="2259"/>
      <c r="K70" s="2261"/>
      <c r="BQ70" s="2092"/>
      <c r="BR70" s="2092"/>
    </row>
    <row r="71" spans="2:70" hidden="1" x14ac:dyDescent="0.2">
      <c r="B71" s="2289" t="s">
        <v>368</v>
      </c>
      <c r="C71" s="2290"/>
      <c r="D71" s="2293" t="s">
        <v>369</v>
      </c>
      <c r="H71" s="2259"/>
      <c r="I71" s="2260"/>
      <c r="J71" s="2259"/>
      <c r="K71" s="2261"/>
      <c r="O71" s="2107">
        <v>0.45</v>
      </c>
      <c r="BQ71" s="2092"/>
      <c r="BR71" s="2092"/>
    </row>
    <row r="72" spans="2:70" hidden="1" x14ac:dyDescent="0.2">
      <c r="B72" s="2292" t="s">
        <v>370</v>
      </c>
      <c r="C72" s="2259"/>
      <c r="D72" s="2092" t="s">
        <v>371</v>
      </c>
      <c r="H72" s="2262" t="s">
        <v>445</v>
      </c>
      <c r="I72" s="2263"/>
      <c r="J72" s="2264"/>
      <c r="K72" s="2265"/>
      <c r="O72" s="2107">
        <f>O71*4</f>
        <v>1.8</v>
      </c>
      <c r="BQ72" s="2092"/>
      <c r="BR72" s="2092"/>
    </row>
    <row r="73" spans="2:70" hidden="1" x14ac:dyDescent="0.2">
      <c r="B73" s="2292" t="s">
        <v>373</v>
      </c>
      <c r="C73" s="2259"/>
      <c r="D73" s="2092" t="s">
        <v>107</v>
      </c>
      <c r="H73" s="2266" t="s">
        <v>374</v>
      </c>
      <c r="I73" s="2267">
        <f>O73</f>
        <v>79.120180000000005</v>
      </c>
      <c r="J73" s="2266" t="s">
        <v>375</v>
      </c>
      <c r="K73" s="2261"/>
      <c r="L73" s="2092">
        <v>59</v>
      </c>
      <c r="M73" s="2092" t="s">
        <v>446</v>
      </c>
      <c r="O73" s="2107">
        <f>L73*1.34102</f>
        <v>79.120180000000005</v>
      </c>
      <c r="BQ73" s="2092"/>
      <c r="BR73" s="2092"/>
    </row>
    <row r="74" spans="2:70" hidden="1" x14ac:dyDescent="0.2">
      <c r="B74" s="2292" t="s">
        <v>376</v>
      </c>
      <c r="C74" s="2259"/>
      <c r="D74" s="2092" t="s">
        <v>307</v>
      </c>
      <c r="H74" s="2266" t="s">
        <v>377</v>
      </c>
      <c r="I74" s="2267">
        <v>120</v>
      </c>
      <c r="J74" s="2266" t="s">
        <v>378</v>
      </c>
      <c r="K74" s="2261"/>
      <c r="BC74" s="2100">
        <f>BD74</f>
        <v>6</v>
      </c>
      <c r="BD74" s="2101">
        <f>I75</f>
        <v>6</v>
      </c>
      <c r="BE74" s="2102">
        <v>0</v>
      </c>
      <c r="BF74" s="2102">
        <f>I77</f>
        <v>2591150000</v>
      </c>
      <c r="BQ74" s="2092"/>
      <c r="BR74" s="2092"/>
    </row>
    <row r="75" spans="2:70" hidden="1" x14ac:dyDescent="0.2">
      <c r="B75" s="2292" t="s">
        <v>379</v>
      </c>
      <c r="C75" s="2259"/>
      <c r="D75" s="2092" t="s">
        <v>380</v>
      </c>
      <c r="E75" s="2092" t="s">
        <v>381</v>
      </c>
      <c r="H75" s="2266" t="s">
        <v>41</v>
      </c>
      <c r="I75" s="2267">
        <v>6</v>
      </c>
      <c r="J75" s="2266" t="s">
        <v>231</v>
      </c>
      <c r="K75" s="2261"/>
      <c r="BC75" s="2103" t="s">
        <v>382</v>
      </c>
      <c r="BD75" s="2104">
        <f t="shared" ref="BD75:BD88" si="2">BD74-1</f>
        <v>5</v>
      </c>
      <c r="BE75" s="2105">
        <f t="shared" ref="BE75:BE88" si="3">BE74+1</f>
        <v>1</v>
      </c>
      <c r="BF75" s="2105">
        <f>BF74-(SUM(BD74:BD74)/BD89)*(BF74)</f>
        <v>1850821428.5714288</v>
      </c>
      <c r="BQ75" s="2092"/>
      <c r="BR75" s="2092"/>
    </row>
    <row r="76" spans="2:70" hidden="1" x14ac:dyDescent="0.2">
      <c r="B76" s="2292"/>
      <c r="C76" s="2259"/>
      <c r="E76" s="2092" t="s">
        <v>383</v>
      </c>
      <c r="H76" s="2266" t="s">
        <v>384</v>
      </c>
      <c r="I76" s="2267">
        <f>12000/I75</f>
        <v>2000</v>
      </c>
      <c r="J76" s="2266" t="s">
        <v>247</v>
      </c>
      <c r="K76" s="2261"/>
      <c r="BC76" s="2100"/>
      <c r="BD76" s="2104">
        <f t="shared" si="2"/>
        <v>4</v>
      </c>
      <c r="BE76" s="2105">
        <f t="shared" si="3"/>
        <v>2</v>
      </c>
      <c r="BF76" s="2105">
        <f>BF74-(SUM(BD74:BD75)/BD89)*(BF74)</f>
        <v>1233880952.3809524</v>
      </c>
      <c r="BQ76" s="2092"/>
      <c r="BR76" s="2092"/>
    </row>
    <row r="77" spans="2:70" hidden="1" x14ac:dyDescent="0.2">
      <c r="B77" s="2292"/>
      <c r="C77" s="2259"/>
      <c r="E77" s="2092" t="s">
        <v>385</v>
      </c>
      <c r="H77" s="2266" t="s">
        <v>53</v>
      </c>
      <c r="I77" s="2268">
        <f>O78</f>
        <v>2591150000</v>
      </c>
      <c r="J77" s="2266" t="s">
        <v>386</v>
      </c>
      <c r="K77" s="2261"/>
      <c r="L77" s="2092" t="s">
        <v>447</v>
      </c>
      <c r="BC77" s="2100"/>
      <c r="BD77" s="2104">
        <f t="shared" si="2"/>
        <v>3</v>
      </c>
      <c r="BE77" s="2105">
        <f t="shared" si="3"/>
        <v>3</v>
      </c>
      <c r="BF77" s="2105">
        <f>BF74-(SUM(BD74:BD76)/BD89)*(BF74)</f>
        <v>740328571.42857146</v>
      </c>
      <c r="BQ77" s="2092"/>
      <c r="BR77" s="2092"/>
    </row>
    <row r="78" spans="2:70" hidden="1" x14ac:dyDescent="0.2">
      <c r="B78" s="2292" t="s">
        <v>387</v>
      </c>
      <c r="C78" s="2259"/>
      <c r="D78" s="2092" t="s">
        <v>388</v>
      </c>
      <c r="E78" s="2092" t="s">
        <v>381</v>
      </c>
      <c r="H78" s="2266" t="s">
        <v>389</v>
      </c>
      <c r="I78" s="2269">
        <f>I75</f>
        <v>6</v>
      </c>
      <c r="J78" s="2120" t="s">
        <v>231</v>
      </c>
      <c r="K78" s="2270" t="str">
        <f>IF(I78=I75,"Alat Baru","Sewa Alat")</f>
        <v>Alat Baru</v>
      </c>
      <c r="L78" s="2092" t="s">
        <v>1233</v>
      </c>
      <c r="O78" s="2107">
        <f>178700*14500</f>
        <v>2591150000</v>
      </c>
      <c r="BC78" s="2100"/>
      <c r="BD78" s="2104">
        <f t="shared" si="2"/>
        <v>2</v>
      </c>
      <c r="BE78" s="2105">
        <f t="shared" si="3"/>
        <v>4</v>
      </c>
      <c r="BF78" s="2105">
        <f>BF74-(SUM(BD74:BD77)/BD89)*(BF74)</f>
        <v>370164285.71428585</v>
      </c>
      <c r="BQ78" s="2092"/>
      <c r="BR78" s="2092"/>
    </row>
    <row r="79" spans="2:70" hidden="1" x14ac:dyDescent="0.2">
      <c r="B79" s="2292"/>
      <c r="C79" s="2259"/>
      <c r="D79" s="2294"/>
      <c r="E79" s="2092" t="s">
        <v>390</v>
      </c>
      <c r="H79" s="2266" t="s">
        <v>391</v>
      </c>
      <c r="I79" s="2271">
        <f>IF(I78=I75,I76,0.8*I76)</f>
        <v>2000</v>
      </c>
      <c r="J79" s="2266" t="s">
        <v>247</v>
      </c>
      <c r="K79" s="2272" t="str">
        <f>K78</f>
        <v>Alat Baru</v>
      </c>
      <c r="BC79" s="2100"/>
      <c r="BD79" s="2104">
        <f t="shared" si="2"/>
        <v>1</v>
      </c>
      <c r="BE79" s="2105">
        <f t="shared" si="3"/>
        <v>5</v>
      </c>
      <c r="BF79" s="2105">
        <f>BF74-(SUM(BD74:BD78)/BD89)*(BF74)</f>
        <v>123388095.23809528</v>
      </c>
      <c r="BQ79" s="2092"/>
      <c r="BR79" s="2092"/>
    </row>
    <row r="80" spans="2:70" hidden="1" x14ac:dyDescent="0.2">
      <c r="B80" s="2292"/>
      <c r="C80" s="2259"/>
      <c r="D80" s="2294"/>
      <c r="E80" s="2092" t="s">
        <v>392</v>
      </c>
      <c r="H80" s="2266" t="s">
        <v>393</v>
      </c>
      <c r="I80" s="2271">
        <f>BF91</f>
        <v>2591150000</v>
      </c>
      <c r="J80" s="2266" t="s">
        <v>386</v>
      </c>
      <c r="K80" s="2272" t="str">
        <f>K79</f>
        <v>Alat Baru</v>
      </c>
      <c r="BC80" s="2100"/>
      <c r="BD80" s="2104">
        <f t="shared" si="2"/>
        <v>0</v>
      </c>
      <c r="BE80" s="2105">
        <f t="shared" si="3"/>
        <v>6</v>
      </c>
      <c r="BF80" s="2105">
        <f>BF74-(SUM(BD74:BD79)/BD89)*(BF74)</f>
        <v>0</v>
      </c>
      <c r="BQ80" s="2092"/>
      <c r="BR80" s="2092"/>
    </row>
    <row r="81" spans="2:70" hidden="1" x14ac:dyDescent="0.2">
      <c r="B81" s="2295"/>
      <c r="C81" s="2290"/>
      <c r="D81" s="2293"/>
      <c r="H81" s="2259"/>
      <c r="I81" s="2260"/>
      <c r="J81" s="2259"/>
      <c r="K81" s="2261"/>
      <c r="BC81" s="2100"/>
      <c r="BD81" s="2104">
        <f t="shared" si="2"/>
        <v>-1</v>
      </c>
      <c r="BE81" s="2105">
        <f t="shared" si="3"/>
        <v>7</v>
      </c>
      <c r="BF81" s="2105">
        <f>BF74-(SUM(BD74:BD80)/BD89)*(BF74)</f>
        <v>0</v>
      </c>
      <c r="BQ81" s="2092"/>
      <c r="BR81" s="2092"/>
    </row>
    <row r="82" spans="2:70" hidden="1" x14ac:dyDescent="0.2">
      <c r="B82" s="2289" t="s">
        <v>394</v>
      </c>
      <c r="C82" s="2290"/>
      <c r="D82" s="2293" t="s">
        <v>395</v>
      </c>
      <c r="H82" s="2259"/>
      <c r="I82" s="2260"/>
      <c r="J82" s="2259"/>
      <c r="K82" s="2261"/>
      <c r="BC82" s="2100"/>
      <c r="BD82" s="2104">
        <f t="shared" si="2"/>
        <v>-2</v>
      </c>
      <c r="BE82" s="2105">
        <f t="shared" si="3"/>
        <v>8</v>
      </c>
      <c r="BF82" s="2105">
        <f>BF74-(SUM(BD74:BD81)/BD89)*(BF74)</f>
        <v>123388095.23809528</v>
      </c>
      <c r="BQ82" s="2092"/>
      <c r="BR82" s="2092"/>
    </row>
    <row r="83" spans="2:70" hidden="1" x14ac:dyDescent="0.2">
      <c r="B83" s="2292" t="s">
        <v>370</v>
      </c>
      <c r="C83" s="2259"/>
      <c r="D83" s="2092" t="s">
        <v>396</v>
      </c>
      <c r="E83" s="2092" t="s">
        <v>397</v>
      </c>
      <c r="H83" s="2266" t="s">
        <v>5</v>
      </c>
      <c r="I83" s="2271">
        <f>0.1*I77</f>
        <v>259115000</v>
      </c>
      <c r="J83" s="2266" t="s">
        <v>386</v>
      </c>
      <c r="K83" s="2261"/>
      <c r="L83" s="2093">
        <f>[65]Analisa!H83</f>
        <v>485800</v>
      </c>
      <c r="BC83" s="2100"/>
      <c r="BD83" s="2104">
        <f t="shared" si="2"/>
        <v>-3</v>
      </c>
      <c r="BE83" s="2105">
        <f t="shared" si="3"/>
        <v>9</v>
      </c>
      <c r="BF83" s="2105">
        <f>BF74-(SUM(BD74:BD82)/BD89)*(BF74)</f>
        <v>370164285.71428585</v>
      </c>
      <c r="BQ83" s="2092"/>
      <c r="BR83" s="2092"/>
    </row>
    <row r="84" spans="2:70" hidden="1" x14ac:dyDescent="0.2">
      <c r="B84" s="2292"/>
      <c r="C84" s="2259"/>
      <c r="H84" s="2259"/>
      <c r="I84" s="2259"/>
      <c r="J84" s="2259"/>
      <c r="K84" s="2261"/>
      <c r="BC84" s="2100"/>
      <c r="BD84" s="2104">
        <f t="shared" si="2"/>
        <v>-4</v>
      </c>
      <c r="BE84" s="2105">
        <f t="shared" si="3"/>
        <v>10</v>
      </c>
      <c r="BF84" s="2105">
        <f>BF74-(SUM(BD74:BD83)/BD89)*(BF74)</f>
        <v>740328571.42857146</v>
      </c>
      <c r="BQ84" s="2092"/>
      <c r="BR84" s="2092"/>
    </row>
    <row r="85" spans="2:70" hidden="1" x14ac:dyDescent="0.2">
      <c r="B85" s="2292" t="s">
        <v>373</v>
      </c>
      <c r="C85" s="2259"/>
      <c r="D85" s="2092" t="s">
        <v>398</v>
      </c>
      <c r="F85" s="2273" t="s">
        <v>399</v>
      </c>
      <c r="H85" s="2266" t="s">
        <v>6</v>
      </c>
      <c r="I85" s="2274">
        <f>IF(I78=0,0,(I114/100*(1+I114/100)^I78)/((1+I114/100)^I78-1))</f>
        <v>0.22960738036266726</v>
      </c>
      <c r="J85" s="2266" t="s">
        <v>149</v>
      </c>
      <c r="K85" s="2261"/>
      <c r="BC85" s="2100"/>
      <c r="BD85" s="2104">
        <f t="shared" si="2"/>
        <v>-5</v>
      </c>
      <c r="BE85" s="2105">
        <f t="shared" si="3"/>
        <v>11</v>
      </c>
      <c r="BF85" s="2105">
        <f>BF74-(SUM(BD74:BD84)/BD89)*(BF74)</f>
        <v>1233880952.3809524</v>
      </c>
      <c r="BQ85" s="2092"/>
      <c r="BR85" s="2092"/>
    </row>
    <row r="86" spans="2:70" hidden="1" x14ac:dyDescent="0.2">
      <c r="B86" s="2292"/>
      <c r="C86" s="2259"/>
      <c r="F86" s="2099" t="s">
        <v>400</v>
      </c>
      <c r="H86" s="2259"/>
      <c r="I86" s="2260"/>
      <c r="J86" s="2259"/>
      <c r="K86" s="2261"/>
      <c r="BC86" s="2100"/>
      <c r="BD86" s="2104">
        <f t="shared" si="2"/>
        <v>-6</v>
      </c>
      <c r="BE86" s="2105">
        <f t="shared" si="3"/>
        <v>12</v>
      </c>
      <c r="BF86" s="2105">
        <f>BF74-(SUM(BD74:BD85)/BD89)*(BF74)</f>
        <v>1850821428.5714288</v>
      </c>
      <c r="BQ86" s="2092"/>
      <c r="BR86" s="2092"/>
    </row>
    <row r="87" spans="2:70" hidden="1" x14ac:dyDescent="0.2">
      <c r="B87" s="2292" t="s">
        <v>376</v>
      </c>
      <c r="C87" s="2259"/>
      <c r="D87" s="2092" t="s">
        <v>401</v>
      </c>
      <c r="H87" s="2259"/>
      <c r="I87" s="2260"/>
      <c r="J87" s="2259"/>
      <c r="K87" s="2261"/>
      <c r="BC87" s="2100"/>
      <c r="BD87" s="2104">
        <f t="shared" si="2"/>
        <v>-7</v>
      </c>
      <c r="BE87" s="2105">
        <f t="shared" si="3"/>
        <v>13</v>
      </c>
      <c r="BF87" s="2105">
        <f>BF74-(SUM(BD74:BD86)/BD89)*(BF74)</f>
        <v>2591150000</v>
      </c>
      <c r="BQ87" s="2092"/>
      <c r="BR87" s="2092"/>
    </row>
    <row r="88" spans="2:70" hidden="1" x14ac:dyDescent="0.2">
      <c r="B88" s="2292"/>
      <c r="C88" s="2259"/>
      <c r="D88" s="2092" t="s">
        <v>402</v>
      </c>
      <c r="F88" s="2273" t="s">
        <v>403</v>
      </c>
      <c r="H88" s="2266" t="s">
        <v>7</v>
      </c>
      <c r="I88" s="2260">
        <f>IF(I79=0,0,((I80-I83)*I85)/I79)</f>
        <v>267726.22363202635</v>
      </c>
      <c r="J88" s="2266" t="s">
        <v>386</v>
      </c>
      <c r="K88" s="2261"/>
      <c r="BC88" s="2100"/>
      <c r="BD88" s="2108">
        <f t="shared" si="2"/>
        <v>-8</v>
      </c>
      <c r="BE88" s="2109">
        <f t="shared" si="3"/>
        <v>14</v>
      </c>
      <c r="BF88" s="2109">
        <f>BF74-(SUM(BD74:BD87)/BD89)*(BF74)</f>
        <v>3454866666.6666665</v>
      </c>
      <c r="BQ88" s="2092"/>
      <c r="BR88" s="2092"/>
    </row>
    <row r="89" spans="2:70" hidden="1" x14ac:dyDescent="0.2">
      <c r="B89" s="2292"/>
      <c r="C89" s="2259"/>
      <c r="F89" s="2099" t="s">
        <v>391</v>
      </c>
      <c r="H89" s="2259"/>
      <c r="I89" s="2260"/>
      <c r="J89" s="2259"/>
      <c r="K89" s="2261"/>
      <c r="BC89" s="2100"/>
      <c r="BD89" s="2110">
        <f>IF(BD75=0,SUM(BD74:BD75),IF(BD76=0,SUM(BD74:BD76),IF(BD77=0,SUM(BD74:BD77),IF(BD78=0,SUM(BD74:BD78),IF(BD79=0,SUM(BD74:BD79),IF(BD80=0,SUM(BD74:BD80),IF(BD81=0,SUM(BD74:BD81),+BE89)))))))</f>
        <v>21</v>
      </c>
      <c r="BE89" s="2111" t="str">
        <f>IF(BD82=0,SUM(BD74:BD82),IF(BD83=0,SUM(BD74:BD83),IF(BD84=0,SUM(BD74:BD84),IF(BD85=0,SUM(BD74:BD85),IF(BD86=0,SUM(BD74:BD86),IF(BD87=0,SUM(BD74:BD87),IF(BD88=0,SUM(BD74:BD88),"&gt; 15th ?")))))))</f>
        <v>&gt; 15th ?</v>
      </c>
      <c r="BF89" s="2112"/>
      <c r="BQ89" s="2092"/>
      <c r="BR89" s="2092"/>
    </row>
    <row r="90" spans="2:70" hidden="1" x14ac:dyDescent="0.2">
      <c r="B90" s="2292"/>
      <c r="C90" s="2259"/>
      <c r="H90" s="2259"/>
      <c r="I90" s="2260"/>
      <c r="J90" s="2259"/>
      <c r="K90" s="2261"/>
      <c r="BC90" s="2100"/>
      <c r="BD90" s="2113" t="s">
        <v>404</v>
      </c>
      <c r="BE90" s="2114"/>
      <c r="BF90" s="2115" t="str">
        <f>IF(BC74=0,"Habis Umur",IF(BC74=BD74,"Alat Baru","Sewa Alat"))</f>
        <v>Alat Baru</v>
      </c>
      <c r="BQ90" s="2092"/>
      <c r="BR90" s="2092"/>
    </row>
    <row r="91" spans="2:70" hidden="1" x14ac:dyDescent="0.2">
      <c r="B91" s="2292"/>
      <c r="C91" s="2259"/>
      <c r="D91" s="2092" t="s">
        <v>405</v>
      </c>
      <c r="E91" s="2275">
        <v>2E-3</v>
      </c>
      <c r="F91" s="2275" t="s">
        <v>406</v>
      </c>
      <c r="H91" s="2266" t="s">
        <v>63</v>
      </c>
      <c r="I91" s="2260">
        <f>IF(I79=0,0,(E91*I80)/I79)</f>
        <v>2591.15</v>
      </c>
      <c r="J91" s="2266" t="s">
        <v>386</v>
      </c>
      <c r="K91" s="2261"/>
      <c r="BC91" s="2100"/>
      <c r="BD91" s="2116" t="s">
        <v>407</v>
      </c>
      <c r="BE91" s="2117"/>
      <c r="BF91" s="3256">
        <f>IF(BD74-BC74=BE74,+BF74,IF(BD74-BC74=BE75,+BF75,IF(BD74-BC74=BE76,+BF76,IF(BD74-BC74=BE77,+BF77,IF(BD74-BC74=BE78,+BF78,IF(BD74-BC74=BE79,+BF79,IF(BD74-BC74=BE80,+BF80,IF(BD74-BC74=BE81,+BF81,""))))))))</f>
        <v>2591150000</v>
      </c>
      <c r="BQ91" s="2092"/>
      <c r="BR91" s="2092"/>
    </row>
    <row r="92" spans="2:70" hidden="1" x14ac:dyDescent="0.2">
      <c r="B92" s="2292"/>
      <c r="C92" s="2259"/>
      <c r="F92" s="2092" t="s">
        <v>391</v>
      </c>
      <c r="H92" s="2259"/>
      <c r="I92" s="2260"/>
      <c r="J92" s="2259"/>
      <c r="K92" s="2261"/>
      <c r="BC92" s="2100"/>
      <c r="BD92" s="2118" t="s">
        <v>408</v>
      </c>
      <c r="BE92" s="2119"/>
      <c r="BF92" s="3256"/>
      <c r="BQ92" s="2092"/>
      <c r="BR92" s="2092"/>
    </row>
    <row r="93" spans="2:70" hidden="1" x14ac:dyDescent="0.2">
      <c r="B93" s="2292"/>
      <c r="C93" s="2259"/>
      <c r="H93" s="2259"/>
      <c r="I93" s="2260"/>
      <c r="J93" s="2259"/>
      <c r="K93" s="2261"/>
      <c r="BQ93" s="2092"/>
      <c r="BR93" s="2092"/>
    </row>
    <row r="94" spans="2:70" hidden="1" x14ac:dyDescent="0.2">
      <c r="B94" s="2292"/>
      <c r="C94" s="2259"/>
      <c r="D94" s="2293" t="s">
        <v>409</v>
      </c>
      <c r="F94" s="2120" t="s">
        <v>410</v>
      </c>
      <c r="H94" s="2266" t="s">
        <v>311</v>
      </c>
      <c r="I94" s="2276">
        <f>I91+I88</f>
        <v>270317.37363202637</v>
      </c>
      <c r="J94" s="2266" t="s">
        <v>386</v>
      </c>
      <c r="K94" s="2261"/>
      <c r="BQ94" s="2092"/>
      <c r="BR94" s="2092"/>
    </row>
    <row r="95" spans="2:70" hidden="1" x14ac:dyDescent="0.2">
      <c r="B95" s="2292"/>
      <c r="C95" s="2259"/>
      <c r="H95" s="2259"/>
      <c r="I95" s="2260"/>
      <c r="J95" s="2259"/>
      <c r="K95" s="2261"/>
      <c r="BQ95" s="2092"/>
      <c r="BR95" s="2092"/>
    </row>
    <row r="96" spans="2:70" hidden="1" x14ac:dyDescent="0.2">
      <c r="B96" s="2289" t="s">
        <v>411</v>
      </c>
      <c r="C96" s="2290"/>
      <c r="D96" s="2293" t="s">
        <v>412</v>
      </c>
      <c r="H96" s="2259"/>
      <c r="I96" s="2260"/>
      <c r="J96" s="2259"/>
      <c r="K96" s="2261"/>
      <c r="BQ96" s="2092"/>
      <c r="BR96" s="2092"/>
    </row>
    <row r="97" spans="2:70" hidden="1" x14ac:dyDescent="0.2">
      <c r="B97" s="2295"/>
      <c r="C97" s="2290"/>
      <c r="D97" s="2293"/>
      <c r="H97" s="2259"/>
      <c r="I97" s="2260"/>
      <c r="J97" s="2259"/>
      <c r="K97" s="2261"/>
      <c r="BQ97" s="2092"/>
      <c r="BR97" s="2092"/>
    </row>
    <row r="98" spans="2:70" hidden="1" x14ac:dyDescent="0.2">
      <c r="B98" s="2292" t="s">
        <v>370</v>
      </c>
      <c r="C98" s="2290"/>
      <c r="D98" s="2092" t="s">
        <v>413</v>
      </c>
      <c r="H98" s="2266" t="s">
        <v>313</v>
      </c>
      <c r="I98" s="2260">
        <f>0.125*I73*I118</f>
        <v>107771.5751825</v>
      </c>
      <c r="J98" s="2266" t="s">
        <v>386</v>
      </c>
      <c r="K98" s="2261"/>
      <c r="L98" s="2092">
        <f>I98/I118</f>
        <v>9.8900225000000006</v>
      </c>
      <c r="O98" s="2107">
        <f>L98*7</f>
        <v>69.230157500000004</v>
      </c>
      <c r="BQ98" s="2092"/>
      <c r="BR98" s="2092"/>
    </row>
    <row r="99" spans="2:70" hidden="1" x14ac:dyDescent="0.2">
      <c r="B99" s="2292"/>
      <c r="C99" s="2290"/>
      <c r="H99" s="2259"/>
      <c r="I99" s="2259"/>
      <c r="J99" s="2259"/>
      <c r="K99" s="2261"/>
      <c r="BQ99" s="2092"/>
      <c r="BR99" s="2092"/>
    </row>
    <row r="100" spans="2:70" hidden="1" x14ac:dyDescent="0.2">
      <c r="B100" s="2292" t="s">
        <v>373</v>
      </c>
      <c r="C100" s="2259"/>
      <c r="D100" s="2092" t="s">
        <v>414</v>
      </c>
      <c r="H100" s="2266" t="s">
        <v>31</v>
      </c>
      <c r="I100" s="2260">
        <f>(0.025)*I73*I119</f>
        <v>197800.45</v>
      </c>
      <c r="J100" s="2266" t="s">
        <v>386</v>
      </c>
      <c r="K100" s="2261"/>
      <c r="AD100" s="2092"/>
      <c r="AH100" s="2092"/>
      <c r="BQ100" s="2092"/>
      <c r="BR100" s="2092"/>
    </row>
    <row r="101" spans="2:70" hidden="1" x14ac:dyDescent="0.2">
      <c r="B101" s="2292"/>
      <c r="C101" s="2259"/>
      <c r="H101" s="2259"/>
      <c r="I101" s="2260"/>
      <c r="J101" s="2259"/>
      <c r="K101" s="2261"/>
      <c r="AD101" s="2092"/>
      <c r="AH101" s="2092"/>
      <c r="BQ101" s="2092"/>
      <c r="BR101" s="2092"/>
    </row>
    <row r="102" spans="2:70" hidden="1" x14ac:dyDescent="0.2">
      <c r="B102" s="2292" t="s">
        <v>376</v>
      </c>
      <c r="C102" s="2259"/>
      <c r="D102" s="2092" t="s">
        <v>415</v>
      </c>
      <c r="E102" s="2273" t="s">
        <v>416</v>
      </c>
      <c r="F102" s="2273"/>
      <c r="H102" s="2266" t="s">
        <v>417</v>
      </c>
      <c r="I102" s="2260">
        <f>IF(I79=0,0,(0.125*I80)/I79)</f>
        <v>161946.875</v>
      </c>
      <c r="J102" s="2266" t="s">
        <v>386</v>
      </c>
      <c r="K102" s="2261"/>
      <c r="AD102" s="2092"/>
      <c r="AH102" s="2092"/>
      <c r="BQ102" s="2092"/>
      <c r="BR102" s="2092"/>
    </row>
    <row r="103" spans="2:70" hidden="1" x14ac:dyDescent="0.2">
      <c r="B103" s="2292"/>
      <c r="C103" s="2259"/>
      <c r="D103" s="2092" t="s">
        <v>418</v>
      </c>
      <c r="E103" s="2099" t="s">
        <v>391</v>
      </c>
      <c r="F103" s="2099"/>
      <c r="H103" s="2259"/>
      <c r="I103" s="2260"/>
      <c r="J103" s="2259"/>
      <c r="K103" s="2261"/>
      <c r="AD103" s="2092"/>
      <c r="AH103" s="2092"/>
      <c r="BQ103" s="2092"/>
      <c r="BR103" s="2092"/>
    </row>
    <row r="104" spans="2:70" hidden="1" x14ac:dyDescent="0.2">
      <c r="B104" s="2292"/>
      <c r="C104" s="2259"/>
      <c r="H104" s="2259"/>
      <c r="I104" s="2259"/>
      <c r="J104" s="2259"/>
      <c r="K104" s="2261"/>
      <c r="AD104" s="2092"/>
      <c r="AH104" s="2092"/>
      <c r="BQ104" s="2092"/>
      <c r="BR104" s="2092"/>
    </row>
    <row r="105" spans="2:70" hidden="1" x14ac:dyDescent="0.2">
      <c r="B105" s="2292" t="s">
        <v>379</v>
      </c>
      <c r="C105" s="2259"/>
      <c r="D105" s="2092" t="s">
        <v>419</v>
      </c>
      <c r="E105" s="2092" t="s">
        <v>420</v>
      </c>
      <c r="H105" s="2266" t="s">
        <v>151</v>
      </c>
      <c r="I105" s="2260">
        <f>1*I115</f>
        <v>28125</v>
      </c>
      <c r="J105" s="2266" t="s">
        <v>386</v>
      </c>
      <c r="K105" s="2261"/>
      <c r="AD105" s="2092"/>
      <c r="AH105" s="2092"/>
      <c r="BQ105" s="2092"/>
      <c r="BR105" s="2092"/>
    </row>
    <row r="106" spans="2:70" hidden="1" x14ac:dyDescent="0.2">
      <c r="B106" s="2292" t="s">
        <v>387</v>
      </c>
      <c r="C106" s="2259"/>
      <c r="D106" s="2092" t="s">
        <v>98</v>
      </c>
      <c r="E106" s="2092" t="s">
        <v>421</v>
      </c>
      <c r="H106" s="2266" t="s">
        <v>310</v>
      </c>
      <c r="I106" s="2260">
        <f>3*I116</f>
        <v>67500</v>
      </c>
      <c r="J106" s="2266" t="s">
        <v>386</v>
      </c>
      <c r="K106" s="2261"/>
      <c r="AD106" s="2092"/>
      <c r="AH106" s="2092"/>
      <c r="BQ106" s="2092"/>
      <c r="BR106" s="2092"/>
    </row>
    <row r="107" spans="2:70" hidden="1" x14ac:dyDescent="0.2">
      <c r="B107" s="2292"/>
      <c r="C107" s="2259"/>
      <c r="H107" s="2259"/>
      <c r="I107" s="2260"/>
      <c r="J107" s="2259"/>
      <c r="K107" s="2261"/>
      <c r="AD107" s="2092"/>
      <c r="AH107" s="2092"/>
      <c r="BQ107" s="2092"/>
      <c r="BR107" s="2092"/>
    </row>
    <row r="108" spans="2:70" hidden="1" x14ac:dyDescent="0.2">
      <c r="B108" s="2295"/>
      <c r="C108" s="2290"/>
      <c r="D108" s="2293" t="s">
        <v>422</v>
      </c>
      <c r="F108" s="2120" t="s">
        <v>423</v>
      </c>
      <c r="H108" s="2266" t="s">
        <v>150</v>
      </c>
      <c r="I108" s="2276">
        <f>SUM(I98:I106)</f>
        <v>563143.90018250002</v>
      </c>
      <c r="J108" s="2266" t="s">
        <v>386</v>
      </c>
      <c r="K108" s="2261"/>
      <c r="AD108" s="2092"/>
      <c r="AH108" s="2092"/>
      <c r="BQ108" s="2092"/>
      <c r="BR108" s="2092"/>
    </row>
    <row r="109" spans="2:70" hidden="1" x14ac:dyDescent="0.2">
      <c r="B109" s="2292"/>
      <c r="C109" s="2290"/>
      <c r="D109" s="2296"/>
      <c r="H109" s="2259"/>
      <c r="I109" s="2260"/>
      <c r="J109" s="2259"/>
      <c r="K109" s="2261"/>
      <c r="AD109" s="2092"/>
      <c r="AH109" s="2092"/>
      <c r="BQ109" s="2092"/>
      <c r="BR109" s="2092"/>
    </row>
    <row r="110" spans="2:70" hidden="1" x14ac:dyDescent="0.2">
      <c r="B110" s="2289" t="s">
        <v>424</v>
      </c>
      <c r="C110" s="2290"/>
      <c r="D110" s="2293" t="s">
        <v>425</v>
      </c>
      <c r="H110" s="2277" t="s">
        <v>426</v>
      </c>
      <c r="I110" s="2278">
        <f>I94+I108</f>
        <v>833461.27381452639</v>
      </c>
      <c r="J110" s="2279" t="s">
        <v>386</v>
      </c>
      <c r="K110" s="2261"/>
      <c r="L110" s="2106"/>
      <c r="AD110" s="2092"/>
      <c r="AH110" s="2092"/>
      <c r="BQ110" s="2092"/>
      <c r="BR110" s="2092"/>
    </row>
    <row r="111" spans="2:70" hidden="1" x14ac:dyDescent="0.2">
      <c r="B111" s="2292"/>
      <c r="C111" s="2259"/>
      <c r="H111" s="2259"/>
      <c r="I111" s="2260"/>
      <c r="J111" s="2259"/>
      <c r="K111" s="2261"/>
      <c r="AD111" s="2092"/>
      <c r="AH111" s="2092"/>
      <c r="BQ111" s="2092"/>
      <c r="BR111" s="2092"/>
    </row>
    <row r="112" spans="2:70" hidden="1" x14ac:dyDescent="0.2">
      <c r="B112" s="2292"/>
      <c r="C112" s="2259"/>
      <c r="D112" s="2293"/>
      <c r="H112" s="2259"/>
      <c r="I112" s="2260"/>
      <c r="J112" s="2259"/>
      <c r="K112" s="2261"/>
      <c r="AD112" s="2092"/>
      <c r="AH112" s="2092"/>
      <c r="BQ112" s="2092"/>
      <c r="BR112" s="2092"/>
    </row>
    <row r="113" spans="2:70" hidden="1" x14ac:dyDescent="0.2">
      <c r="B113" s="2289" t="s">
        <v>427</v>
      </c>
      <c r="C113" s="2290"/>
      <c r="D113" s="2293" t="s">
        <v>428</v>
      </c>
      <c r="H113" s="2259"/>
      <c r="I113" s="2280"/>
      <c r="J113" s="2259"/>
      <c r="K113" s="2261"/>
      <c r="AD113" s="2092"/>
      <c r="AH113" s="2092"/>
      <c r="BQ113" s="2092"/>
      <c r="BR113" s="2092"/>
    </row>
    <row r="114" spans="2:70" hidden="1" x14ac:dyDescent="0.2">
      <c r="B114" s="2292" t="s">
        <v>370</v>
      </c>
      <c r="C114" s="2259"/>
      <c r="D114" s="2092" t="s">
        <v>358</v>
      </c>
      <c r="H114" s="2266" t="s">
        <v>429</v>
      </c>
      <c r="I114" s="2281">
        <f>ID!$D$9</f>
        <v>10</v>
      </c>
      <c r="J114" s="2266" t="s">
        <v>430</v>
      </c>
      <c r="K114" s="2261"/>
      <c r="AD114" s="2092"/>
      <c r="AH114" s="2092"/>
      <c r="BQ114" s="2092"/>
      <c r="BR114" s="2092"/>
    </row>
    <row r="115" spans="2:70" hidden="1" x14ac:dyDescent="0.2">
      <c r="B115" s="2292" t="s">
        <v>373</v>
      </c>
      <c r="C115" s="2259"/>
      <c r="D115" s="2092" t="s">
        <v>431</v>
      </c>
      <c r="G115" s="2282" t="str">
        <f>VLOOKUP(D115,'[65]Basic Price'!$C$8:$F$78,2,FALSE)</f>
        <v>L.05</v>
      </c>
      <c r="H115" s="2266" t="s">
        <v>432</v>
      </c>
      <c r="I115" s="2281">
        <f>VLOOKUP(D115,UPAH!$C$10:$G$15,5,FALSE)</f>
        <v>28125</v>
      </c>
      <c r="J115" s="2266" t="s">
        <v>433</v>
      </c>
      <c r="K115" s="2261"/>
      <c r="AD115" s="2092"/>
      <c r="AH115" s="2092"/>
      <c r="BQ115" s="2092"/>
      <c r="BR115" s="2092"/>
    </row>
    <row r="116" spans="2:70" hidden="1" x14ac:dyDescent="0.2">
      <c r="B116" s="2292" t="s">
        <v>376</v>
      </c>
      <c r="C116" s="2259"/>
      <c r="D116" s="2092" t="s">
        <v>98</v>
      </c>
      <c r="G116" s="2282" t="str">
        <f>VLOOKUP(D116,'[65]Basic Price'!$C$8:$F$78,2,FALSE)</f>
        <v>L.06</v>
      </c>
      <c r="H116" s="2266" t="s">
        <v>434</v>
      </c>
      <c r="I116" s="2281">
        <f>VLOOKUP(D116,UPAH!$C$10:$G$15,5,FALSE)</f>
        <v>22500</v>
      </c>
      <c r="J116" s="2266" t="s">
        <v>433</v>
      </c>
      <c r="K116" s="2261"/>
      <c r="AD116" s="2092"/>
      <c r="AH116" s="2092"/>
      <c r="BQ116" s="2092"/>
      <c r="BR116" s="2092"/>
    </row>
    <row r="117" spans="2:70" hidden="1" x14ac:dyDescent="0.2">
      <c r="B117" s="2292" t="s">
        <v>379</v>
      </c>
      <c r="C117" s="2259"/>
      <c r="D117" s="2092" t="s">
        <v>435</v>
      </c>
      <c r="G117" s="2282" t="str">
        <f>VLOOKUP(D117,'[65]Basic Price'!$C$8:$F$78,2,FALSE)</f>
        <v>M.07</v>
      </c>
      <c r="H117" s="2266" t="s">
        <v>436</v>
      </c>
      <c r="I117" s="2281">
        <f>VLOOKUP(D117,BAHAN!$C$15:$G$98,5,FALSE)</f>
        <v>7650</v>
      </c>
      <c r="J117" s="2266" t="s">
        <v>58</v>
      </c>
      <c r="K117" s="2261"/>
      <c r="AD117" s="2092"/>
      <c r="AH117" s="2092"/>
      <c r="BQ117" s="2092"/>
      <c r="BR117" s="2092"/>
    </row>
    <row r="118" spans="2:70" hidden="1" x14ac:dyDescent="0.2">
      <c r="B118" s="2292" t="s">
        <v>387</v>
      </c>
      <c r="C118" s="2259"/>
      <c r="D118" s="2092" t="s">
        <v>437</v>
      </c>
      <c r="G118" s="2282" t="str">
        <f>VLOOKUP(D118,'[65]Basic Price'!$C$8:$F$78,2,FALSE)</f>
        <v>M.08</v>
      </c>
      <c r="H118" s="2266" t="s">
        <v>438</v>
      </c>
      <c r="I118" s="2281">
        <f>VLOOKUP(D118,BAHAN!$C$15:$G$98,5,FALSE)</f>
        <v>10897</v>
      </c>
      <c r="J118" s="2266" t="s">
        <v>58</v>
      </c>
      <c r="K118" s="2261"/>
      <c r="AD118" s="2092"/>
      <c r="AH118" s="2092"/>
      <c r="BQ118" s="2092"/>
      <c r="BR118" s="2092"/>
    </row>
    <row r="119" spans="2:70" hidden="1" x14ac:dyDescent="0.2">
      <c r="B119" s="2292" t="s">
        <v>439</v>
      </c>
      <c r="C119" s="2259"/>
      <c r="D119" s="2092" t="s">
        <v>440</v>
      </c>
      <c r="G119" s="2282" t="str">
        <f>VLOOKUP(D119,'[65]Basic Price'!$C$8:$F$78,2,FALSE)</f>
        <v>M.06</v>
      </c>
      <c r="H119" s="2266" t="s">
        <v>441</v>
      </c>
      <c r="I119" s="2281">
        <f>VLOOKUP(D119,BAHAN!$C$15:$G$98,5,FALSE)</f>
        <v>100000</v>
      </c>
      <c r="J119" s="2266" t="s">
        <v>58</v>
      </c>
      <c r="K119" s="2261"/>
      <c r="AD119" s="2092"/>
      <c r="AH119" s="2092"/>
      <c r="BQ119" s="2092"/>
      <c r="BR119" s="2092"/>
    </row>
    <row r="120" spans="2:70" hidden="1" x14ac:dyDescent="0.2">
      <c r="B120" s="2292" t="s">
        <v>442</v>
      </c>
      <c r="C120" s="2259"/>
      <c r="D120" s="2092" t="s">
        <v>443</v>
      </c>
      <c r="H120" s="2259"/>
      <c r="I120" s="2281"/>
      <c r="J120" s="2259"/>
      <c r="K120" s="2261"/>
      <c r="AD120" s="2092"/>
      <c r="AH120" s="2092"/>
      <c r="BQ120" s="2092"/>
      <c r="BR120" s="2092"/>
    </row>
    <row r="121" spans="2:70" hidden="1" x14ac:dyDescent="0.2">
      <c r="B121" s="2292"/>
      <c r="C121" s="2259"/>
      <c r="D121" s="2092" t="s">
        <v>444</v>
      </c>
      <c r="H121" s="2259"/>
      <c r="I121" s="2259"/>
      <c r="J121" s="2259"/>
      <c r="K121" s="2261"/>
      <c r="AD121" s="2092"/>
      <c r="AH121" s="2092"/>
      <c r="BQ121" s="2092"/>
      <c r="BR121" s="2092"/>
    </row>
    <row r="122" spans="2:70" ht="14.25" hidden="1" thickBot="1" x14ac:dyDescent="0.25">
      <c r="B122" s="2291"/>
      <c r="C122" s="2257"/>
      <c r="D122" s="2256"/>
      <c r="E122" s="2256"/>
      <c r="F122" s="2256"/>
      <c r="G122" s="2256"/>
      <c r="H122" s="2283"/>
      <c r="I122" s="2284"/>
      <c r="J122" s="2257"/>
      <c r="K122" s="2258"/>
      <c r="AD122" s="2092"/>
      <c r="AH122" s="2092"/>
      <c r="BQ122" s="2092"/>
      <c r="BR122" s="2092"/>
    </row>
    <row r="123" spans="2:70" ht="14.25" hidden="1" thickTop="1" x14ac:dyDescent="0.2"/>
    <row r="124" spans="2:70" s="2121" customFormat="1" ht="12.75" hidden="1" customHeight="1" x14ac:dyDescent="0.2">
      <c r="B124" s="2098" t="s">
        <v>362</v>
      </c>
      <c r="C124" s="2098"/>
      <c r="D124" s="2098"/>
      <c r="E124" s="2098"/>
      <c r="F124" s="2098"/>
      <c r="G124" s="2099"/>
      <c r="H124" s="2099"/>
      <c r="I124" s="2099"/>
      <c r="J124" s="2099"/>
      <c r="K124" s="2098"/>
      <c r="O124" s="2148"/>
      <c r="AD124" s="2122"/>
      <c r="AH124" s="2122"/>
      <c r="BC124" s="2123"/>
      <c r="BG124" s="2124"/>
      <c r="BQ124" s="2125"/>
      <c r="BR124" s="2126"/>
    </row>
    <row r="125" spans="2:70" s="2121" customFormat="1" ht="12.75" customHeight="1" thickBot="1" x14ac:dyDescent="0.25">
      <c r="B125" s="2092"/>
      <c r="C125" s="2092"/>
      <c r="D125" s="2092"/>
      <c r="E125" s="2092"/>
      <c r="F125" s="2092"/>
      <c r="G125" s="2092"/>
      <c r="H125" s="2092"/>
      <c r="I125" s="2092"/>
      <c r="J125" s="2092"/>
      <c r="K125" s="2092"/>
      <c r="O125" s="2148"/>
      <c r="AD125" s="2122"/>
      <c r="AH125" s="2122"/>
      <c r="BC125" s="2123"/>
      <c r="BG125" s="2124"/>
      <c r="BQ125" s="2125"/>
      <c r="BR125" s="2126"/>
    </row>
    <row r="126" spans="2:70" s="2121" customFormat="1" ht="12.75" customHeight="1" thickTop="1" x14ac:dyDescent="0.2">
      <c r="B126" s="2288"/>
      <c r="C126" s="2251"/>
      <c r="D126" s="2250"/>
      <c r="E126" s="2250"/>
      <c r="F126" s="2250"/>
      <c r="G126" s="2250"/>
      <c r="H126" s="2251"/>
      <c r="I126" s="2251"/>
      <c r="J126" s="2251"/>
      <c r="K126" s="2252"/>
      <c r="O126" s="2148"/>
      <c r="AD126" s="2122"/>
      <c r="AH126" s="2122"/>
      <c r="BC126" s="2123"/>
      <c r="BG126" s="2124"/>
      <c r="BQ126" s="2125"/>
      <c r="BR126" s="2126"/>
    </row>
    <row r="127" spans="2:70" s="2121" customFormat="1" ht="12.75" customHeight="1" x14ac:dyDescent="0.2">
      <c r="B127" s="2289" t="s">
        <v>12</v>
      </c>
      <c r="C127" s="2290"/>
      <c r="D127" s="2098" t="s">
        <v>363</v>
      </c>
      <c r="E127" s="2098"/>
      <c r="F127" s="2098"/>
      <c r="G127" s="2098"/>
      <c r="H127" s="2253" t="s">
        <v>364</v>
      </c>
      <c r="I127" s="2254" t="s">
        <v>365</v>
      </c>
      <c r="J127" s="2253" t="s">
        <v>366</v>
      </c>
      <c r="K127" s="2255" t="s">
        <v>367</v>
      </c>
      <c r="O127" s="2148"/>
      <c r="AD127" s="2122"/>
      <c r="AH127" s="2122"/>
      <c r="BC127" s="2123"/>
      <c r="BG127" s="2124"/>
      <c r="BQ127" s="2125"/>
      <c r="BR127" s="2126"/>
    </row>
    <row r="128" spans="2:70" s="2121" customFormat="1" ht="12.75" customHeight="1" thickBot="1" x14ac:dyDescent="0.25">
      <c r="B128" s="2291"/>
      <c r="C128" s="2257"/>
      <c r="D128" s="2256"/>
      <c r="E128" s="2256"/>
      <c r="F128" s="2256"/>
      <c r="G128" s="2256"/>
      <c r="H128" s="2257"/>
      <c r="I128" s="2257"/>
      <c r="J128" s="2257"/>
      <c r="K128" s="2258"/>
      <c r="O128" s="2148"/>
      <c r="AD128" s="2122"/>
      <c r="AH128" s="2122"/>
      <c r="BC128" s="2123"/>
      <c r="BG128" s="2124"/>
      <c r="BQ128" s="2125"/>
      <c r="BR128" s="2126"/>
    </row>
    <row r="129" spans="2:70" s="2121" customFormat="1" ht="12.75" customHeight="1" thickTop="1" x14ac:dyDescent="0.2">
      <c r="B129" s="2292"/>
      <c r="C129" s="2259"/>
      <c r="D129" s="2092"/>
      <c r="E129" s="2092"/>
      <c r="F129" s="2092"/>
      <c r="G129" s="2092"/>
      <c r="H129" s="2259"/>
      <c r="I129" s="2260"/>
      <c r="J129" s="2259"/>
      <c r="K129" s="2261"/>
      <c r="O129" s="2148"/>
      <c r="AD129" s="2122"/>
      <c r="AH129" s="2122"/>
      <c r="BC129" s="2123"/>
      <c r="BG129" s="2124"/>
      <c r="BQ129" s="2125"/>
      <c r="BR129" s="2126"/>
    </row>
    <row r="130" spans="2:70" s="2121" customFormat="1" ht="12.75" customHeight="1" x14ac:dyDescent="0.2">
      <c r="B130" s="2289" t="s">
        <v>368</v>
      </c>
      <c r="C130" s="2290"/>
      <c r="D130" s="2293" t="s">
        <v>369</v>
      </c>
      <c r="E130" s="2092"/>
      <c r="F130" s="2092"/>
      <c r="G130" s="2092"/>
      <c r="H130" s="2259"/>
      <c r="I130" s="2260"/>
      <c r="J130" s="2259"/>
      <c r="K130" s="2261"/>
      <c r="O130" s="2148"/>
      <c r="AD130" s="2122"/>
      <c r="AH130" s="2122"/>
      <c r="BC130" s="2123"/>
      <c r="BG130" s="2124"/>
      <c r="BQ130" s="2125"/>
      <c r="BR130" s="2126"/>
    </row>
    <row r="131" spans="2:70" s="2121" customFormat="1" ht="12.75" customHeight="1" x14ac:dyDescent="0.2">
      <c r="B131" s="2292" t="s">
        <v>370</v>
      </c>
      <c r="C131" s="2259"/>
      <c r="D131" s="2092" t="s">
        <v>371</v>
      </c>
      <c r="E131" s="2092"/>
      <c r="F131" s="2092"/>
      <c r="G131" s="2092"/>
      <c r="H131" s="2262" t="s">
        <v>448</v>
      </c>
      <c r="I131" s="2263"/>
      <c r="J131" s="2264"/>
      <c r="K131" s="2255"/>
      <c r="O131" s="2148"/>
      <c r="AD131" s="2122"/>
      <c r="AH131" s="2122"/>
      <c r="BC131" s="2123"/>
      <c r="BG131" s="2124"/>
      <c r="BQ131" s="2125"/>
      <c r="BR131" s="2126"/>
    </row>
    <row r="132" spans="2:70" s="2121" customFormat="1" ht="12.75" customHeight="1" x14ac:dyDescent="0.2">
      <c r="B132" s="2292" t="s">
        <v>373</v>
      </c>
      <c r="C132" s="2259"/>
      <c r="D132" s="2092" t="s">
        <v>107</v>
      </c>
      <c r="E132" s="2092"/>
      <c r="F132" s="2092"/>
      <c r="G132" s="2092"/>
      <c r="H132" s="2266" t="s">
        <v>374</v>
      </c>
      <c r="I132" s="2267">
        <v>150</v>
      </c>
      <c r="J132" s="2266" t="s">
        <v>375</v>
      </c>
      <c r="K132" s="2261"/>
      <c r="O132" s="2148"/>
      <c r="AD132" s="2122"/>
      <c r="AH132" s="2122"/>
      <c r="BC132" s="2123"/>
      <c r="BG132" s="2124"/>
      <c r="BQ132" s="2125"/>
      <c r="BR132" s="2126"/>
    </row>
    <row r="133" spans="2:70" s="2121" customFormat="1" ht="12.75" customHeight="1" x14ac:dyDescent="0.2">
      <c r="B133" s="2292" t="s">
        <v>376</v>
      </c>
      <c r="C133" s="2259"/>
      <c r="D133" s="2092" t="s">
        <v>307</v>
      </c>
      <c r="E133" s="2092"/>
      <c r="F133" s="2092"/>
      <c r="G133" s="2092"/>
      <c r="H133" s="2266" t="s">
        <v>377</v>
      </c>
      <c r="I133" s="2267">
        <v>15</v>
      </c>
      <c r="J133" s="2266" t="s">
        <v>378</v>
      </c>
      <c r="K133" s="2261"/>
      <c r="O133" s="2148"/>
      <c r="AD133" s="2122"/>
      <c r="AH133" s="2122"/>
      <c r="BC133" s="2123">
        <f>I137</f>
        <v>5</v>
      </c>
      <c r="BD133" s="2127">
        <f>I134</f>
        <v>5</v>
      </c>
      <c r="BE133" s="2128">
        <v>0</v>
      </c>
      <c r="BF133" s="2128">
        <f>I136</f>
        <v>1851628700</v>
      </c>
      <c r="BG133" s="2129"/>
      <c r="BQ133" s="2125"/>
      <c r="BR133" s="2126"/>
    </row>
    <row r="134" spans="2:70" s="2121" customFormat="1" ht="12.75" customHeight="1" x14ac:dyDescent="0.2">
      <c r="B134" s="2292" t="s">
        <v>379</v>
      </c>
      <c r="C134" s="2259"/>
      <c r="D134" s="2092" t="s">
        <v>380</v>
      </c>
      <c r="E134" s="2092" t="s">
        <v>381</v>
      </c>
      <c r="F134" s="2092"/>
      <c r="G134" s="2092"/>
      <c r="H134" s="2266" t="s">
        <v>41</v>
      </c>
      <c r="I134" s="2267">
        <v>5</v>
      </c>
      <c r="J134" s="2266" t="s">
        <v>231</v>
      </c>
      <c r="K134" s="2261"/>
      <c r="O134" s="2148"/>
      <c r="AD134" s="2122"/>
      <c r="AH134" s="2122"/>
      <c r="BC134" s="2130" t="s">
        <v>449</v>
      </c>
      <c r="BD134" s="2131">
        <f t="shared" ref="BD134:BD147" si="4">BD133-1</f>
        <v>4</v>
      </c>
      <c r="BE134" s="2132">
        <f t="shared" ref="BE134:BE147" si="5">BE133+1</f>
        <v>1</v>
      </c>
      <c r="BF134" s="2132">
        <f>BF133-(SUM(BD133:BD133)/BD148)*(BF133)</f>
        <v>1234419133.3333335</v>
      </c>
      <c r="BG134" s="2124"/>
      <c r="BQ134" s="2125"/>
      <c r="BR134" s="2126"/>
    </row>
    <row r="135" spans="2:70" s="2121" customFormat="1" ht="12.75" customHeight="1" x14ac:dyDescent="0.2">
      <c r="B135" s="2292"/>
      <c r="C135" s="2259"/>
      <c r="D135" s="2092"/>
      <c r="E135" s="2092" t="s">
        <v>383</v>
      </c>
      <c r="F135" s="2092"/>
      <c r="G135" s="2092"/>
      <c r="H135" s="2266" t="s">
        <v>384</v>
      </c>
      <c r="I135" s="2267">
        <f>10000/I134</f>
        <v>2000</v>
      </c>
      <c r="J135" s="2266" t="s">
        <v>247</v>
      </c>
      <c r="K135" s="2261"/>
      <c r="O135" s="2148"/>
      <c r="AD135" s="2122"/>
      <c r="AH135" s="2122"/>
      <c r="BC135" s="2123"/>
      <c r="BD135" s="2131">
        <f t="shared" si="4"/>
        <v>3</v>
      </c>
      <c r="BE135" s="2132">
        <f t="shared" si="5"/>
        <v>2</v>
      </c>
      <c r="BF135" s="2132">
        <f>BF133-(SUM(BD133:BD134)/BD148)*(BF133)</f>
        <v>740651480</v>
      </c>
      <c r="BG135" s="2124"/>
      <c r="BQ135" s="2125"/>
      <c r="BR135" s="2126"/>
    </row>
    <row r="136" spans="2:70" s="2121" customFormat="1" ht="12.75" customHeight="1" x14ac:dyDescent="0.2">
      <c r="B136" s="2292"/>
      <c r="C136" s="2259"/>
      <c r="D136" s="2092"/>
      <c r="E136" s="2092" t="s">
        <v>385</v>
      </c>
      <c r="F136" s="2092"/>
      <c r="G136" s="2092"/>
      <c r="H136" s="2266" t="s">
        <v>53</v>
      </c>
      <c r="I136" s="2268">
        <v>1851628700</v>
      </c>
      <c r="J136" s="2266" t="s">
        <v>386</v>
      </c>
      <c r="K136" s="2261"/>
      <c r="L136" s="2125">
        <v>126800</v>
      </c>
      <c r="O136" s="2148"/>
      <c r="AD136" s="2122"/>
      <c r="AH136" s="2122"/>
      <c r="BC136" s="2123"/>
      <c r="BD136" s="2131">
        <f t="shared" si="4"/>
        <v>2</v>
      </c>
      <c r="BE136" s="2132">
        <f t="shared" si="5"/>
        <v>3</v>
      </c>
      <c r="BF136" s="2132">
        <f>BF133-(SUM(BD133:BD135)/BD148)*(BF133)</f>
        <v>370325740</v>
      </c>
      <c r="BG136" s="2124"/>
      <c r="BQ136" s="2125"/>
      <c r="BR136" s="2126"/>
    </row>
    <row r="137" spans="2:70" s="2121" customFormat="1" ht="12.75" customHeight="1" x14ac:dyDescent="0.2">
      <c r="B137" s="2292" t="s">
        <v>387</v>
      </c>
      <c r="C137" s="2259"/>
      <c r="D137" s="2092" t="s">
        <v>388</v>
      </c>
      <c r="E137" s="2092" t="s">
        <v>381</v>
      </c>
      <c r="F137" s="2092"/>
      <c r="G137" s="2092"/>
      <c r="H137" s="2266" t="s">
        <v>389</v>
      </c>
      <c r="I137" s="2285">
        <v>5</v>
      </c>
      <c r="J137" s="2120" t="s">
        <v>231</v>
      </c>
      <c r="K137" s="2270" t="str">
        <f>IF(I137=I134,"Alat Baru","Sewa Alat")</f>
        <v>Alat Baru</v>
      </c>
      <c r="O137" s="2107"/>
      <c r="AD137" s="2122"/>
      <c r="AH137" s="2122"/>
      <c r="BC137" s="2123"/>
      <c r="BD137" s="2131">
        <f t="shared" si="4"/>
        <v>1</v>
      </c>
      <c r="BE137" s="2132">
        <f t="shared" si="5"/>
        <v>4</v>
      </c>
      <c r="BF137" s="2132">
        <f>BF133-(SUM(BD133:BD136)/BD148)*(BF133)</f>
        <v>123441913.33333325</v>
      </c>
      <c r="BG137" s="2124"/>
      <c r="BQ137" s="2125"/>
      <c r="BR137" s="2126"/>
    </row>
    <row r="138" spans="2:70" s="2121" customFormat="1" ht="12.75" customHeight="1" x14ac:dyDescent="0.2">
      <c r="B138" s="2292"/>
      <c r="C138" s="2259"/>
      <c r="D138" s="2294"/>
      <c r="E138" s="2092" t="s">
        <v>390</v>
      </c>
      <c r="F138" s="2092"/>
      <c r="G138" s="2092"/>
      <c r="H138" s="2266" t="s">
        <v>391</v>
      </c>
      <c r="I138" s="2286">
        <f>IF(I137=I134,I135,0.8*I135)</f>
        <v>2000</v>
      </c>
      <c r="J138" s="2266" t="s">
        <v>247</v>
      </c>
      <c r="K138" s="2272" t="str">
        <f>K137</f>
        <v>Alat Baru</v>
      </c>
      <c r="O138" s="2148"/>
      <c r="AD138" s="2122"/>
      <c r="AH138" s="2122"/>
      <c r="BC138" s="2123"/>
      <c r="BD138" s="2131">
        <f t="shared" si="4"/>
        <v>0</v>
      </c>
      <c r="BE138" s="2132">
        <f t="shared" si="5"/>
        <v>5</v>
      </c>
      <c r="BF138" s="2132">
        <f>BF133-(SUM(BD133:BD137)/BD148)*(BF133)</f>
        <v>0</v>
      </c>
      <c r="BG138" s="2124"/>
      <c r="BQ138" s="2125"/>
      <c r="BR138" s="2126"/>
    </row>
    <row r="139" spans="2:70" s="2121" customFormat="1" ht="12.75" customHeight="1" x14ac:dyDescent="0.2">
      <c r="B139" s="2292"/>
      <c r="C139" s="2259"/>
      <c r="D139" s="2294"/>
      <c r="E139" s="2092" t="s">
        <v>392</v>
      </c>
      <c r="F139" s="2092"/>
      <c r="G139" s="2092"/>
      <c r="H139" s="2266" t="s">
        <v>393</v>
      </c>
      <c r="I139" s="2271">
        <f>BF150</f>
        <v>1851628700</v>
      </c>
      <c r="J139" s="2266" t="s">
        <v>386</v>
      </c>
      <c r="K139" s="2272" t="str">
        <f>K138</f>
        <v>Alat Baru</v>
      </c>
      <c r="L139" s="2125"/>
      <c r="O139" s="2148"/>
      <c r="AD139" s="2122"/>
      <c r="AH139" s="2122"/>
      <c r="BC139" s="2123"/>
      <c r="BD139" s="2131">
        <f t="shared" si="4"/>
        <v>-1</v>
      </c>
      <c r="BE139" s="2132">
        <f t="shared" si="5"/>
        <v>6</v>
      </c>
      <c r="BF139" s="2132">
        <f>BF133-(SUM(BD133:BD138)/BD148)*(BF133)</f>
        <v>0</v>
      </c>
      <c r="BG139" s="2124"/>
      <c r="BQ139" s="2125"/>
      <c r="BR139" s="2126"/>
    </row>
    <row r="140" spans="2:70" s="2121" customFormat="1" ht="12.75" customHeight="1" x14ac:dyDescent="0.2">
      <c r="B140" s="2295"/>
      <c r="C140" s="2290"/>
      <c r="D140" s="2293"/>
      <c r="E140" s="2092"/>
      <c r="F140" s="2092"/>
      <c r="G140" s="2092"/>
      <c r="H140" s="2259"/>
      <c r="I140" s="2260"/>
      <c r="J140" s="2259"/>
      <c r="K140" s="2261"/>
      <c r="L140" s="2133"/>
      <c r="O140" s="2148"/>
      <c r="AD140" s="2122"/>
      <c r="AH140" s="2122"/>
      <c r="BC140" s="2123"/>
      <c r="BD140" s="2131">
        <f t="shared" si="4"/>
        <v>-2</v>
      </c>
      <c r="BE140" s="2132">
        <f t="shared" si="5"/>
        <v>7</v>
      </c>
      <c r="BF140" s="2132">
        <f>BF133-(SUM(BD133:BD139)/BD148)*(BF133)</f>
        <v>123441913.33333325</v>
      </c>
      <c r="BG140" s="2124"/>
      <c r="BQ140" s="2125"/>
      <c r="BR140" s="2126"/>
    </row>
    <row r="141" spans="2:70" s="2121" customFormat="1" ht="12.75" customHeight="1" x14ac:dyDescent="0.2">
      <c r="B141" s="2289" t="s">
        <v>394</v>
      </c>
      <c r="C141" s="2290"/>
      <c r="D141" s="2293" t="s">
        <v>395</v>
      </c>
      <c r="E141" s="2092"/>
      <c r="F141" s="2092"/>
      <c r="G141" s="2092"/>
      <c r="H141" s="2259"/>
      <c r="I141" s="2260"/>
      <c r="J141" s="2259"/>
      <c r="K141" s="2261"/>
      <c r="L141" s="2125"/>
      <c r="O141" s="2148"/>
      <c r="AD141" s="2122"/>
      <c r="AH141" s="2122"/>
      <c r="BC141" s="2123"/>
      <c r="BD141" s="2131">
        <f t="shared" si="4"/>
        <v>-3</v>
      </c>
      <c r="BE141" s="2132">
        <f t="shared" si="5"/>
        <v>8</v>
      </c>
      <c r="BF141" s="2132">
        <f>BF133-(SUM(BD133:BD140)/BD148)*(BF133)</f>
        <v>370325740</v>
      </c>
      <c r="BG141" s="2124"/>
      <c r="BQ141" s="2125"/>
      <c r="BR141" s="2126"/>
    </row>
    <row r="142" spans="2:70" s="2121" customFormat="1" ht="12.75" customHeight="1" x14ac:dyDescent="0.2">
      <c r="B142" s="2292" t="s">
        <v>370</v>
      </c>
      <c r="C142" s="2259"/>
      <c r="D142" s="2092" t="s">
        <v>396</v>
      </c>
      <c r="E142" s="2092" t="s">
        <v>397</v>
      </c>
      <c r="F142" s="2092"/>
      <c r="G142" s="2092"/>
      <c r="H142" s="2266" t="s">
        <v>5</v>
      </c>
      <c r="I142" s="2271">
        <f>0.1*I136</f>
        <v>185162870</v>
      </c>
      <c r="J142" s="2266" t="s">
        <v>386</v>
      </c>
      <c r="K142" s="2261"/>
      <c r="O142" s="2148"/>
      <c r="AD142" s="2122"/>
      <c r="AH142" s="2122"/>
      <c r="BC142" s="2123"/>
      <c r="BD142" s="2131">
        <f t="shared" si="4"/>
        <v>-4</v>
      </c>
      <c r="BE142" s="2132">
        <f t="shared" si="5"/>
        <v>9</v>
      </c>
      <c r="BF142" s="2132">
        <f>BF133-(SUM(BD133:BD141)/BD148)*(BF133)</f>
        <v>740651480</v>
      </c>
      <c r="BG142" s="2124"/>
      <c r="BQ142" s="2125"/>
      <c r="BR142" s="2126"/>
    </row>
    <row r="143" spans="2:70" s="2121" customFormat="1" ht="12.75" customHeight="1" x14ac:dyDescent="0.2">
      <c r="B143" s="2292"/>
      <c r="C143" s="2259"/>
      <c r="D143" s="2092"/>
      <c r="E143" s="2092"/>
      <c r="F143" s="2092"/>
      <c r="G143" s="2092"/>
      <c r="H143" s="2259"/>
      <c r="I143" s="2259"/>
      <c r="J143" s="2259"/>
      <c r="K143" s="2261"/>
      <c r="O143" s="2148"/>
      <c r="AD143" s="2122"/>
      <c r="AH143" s="2122"/>
      <c r="BC143" s="2123"/>
      <c r="BD143" s="2131">
        <f t="shared" si="4"/>
        <v>-5</v>
      </c>
      <c r="BE143" s="2132">
        <f t="shared" si="5"/>
        <v>10</v>
      </c>
      <c r="BF143" s="2132">
        <f>BF133-(SUM(BD133:BD142)/BD148)*(BF133)</f>
        <v>1234419133.3333335</v>
      </c>
      <c r="BG143" s="2124"/>
      <c r="BQ143" s="2125"/>
      <c r="BR143" s="2126"/>
    </row>
    <row r="144" spans="2:70" s="2121" customFormat="1" ht="12.75" customHeight="1" x14ac:dyDescent="0.2">
      <c r="B144" s="2292" t="s">
        <v>373</v>
      </c>
      <c r="C144" s="2259"/>
      <c r="D144" s="2092" t="s">
        <v>398</v>
      </c>
      <c r="E144" s="2092"/>
      <c r="F144" s="2273" t="s">
        <v>399</v>
      </c>
      <c r="G144" s="2092"/>
      <c r="H144" s="2266" t="s">
        <v>6</v>
      </c>
      <c r="I144" s="2274">
        <f>IF(I137=0,0,(I173/100*(1+I173/100)^I137)/((1+I173/100)^I137-1))</f>
        <v>0.26379748079474524</v>
      </c>
      <c r="J144" s="2266" t="s">
        <v>149</v>
      </c>
      <c r="K144" s="2261"/>
      <c r="O144" s="2148"/>
      <c r="AD144" s="2122"/>
      <c r="AH144" s="2122"/>
      <c r="BC144" s="2123"/>
      <c r="BD144" s="2131">
        <f t="shared" si="4"/>
        <v>-6</v>
      </c>
      <c r="BE144" s="2132">
        <f t="shared" si="5"/>
        <v>11</v>
      </c>
      <c r="BF144" s="2132">
        <f>BF133-(SUM(BD133:BD143)/BD148)*(BF133)</f>
        <v>1851628700</v>
      </c>
      <c r="BG144" s="2124"/>
      <c r="BQ144" s="2125"/>
      <c r="BR144" s="2126"/>
    </row>
    <row r="145" spans="2:70" s="2121" customFormat="1" ht="12.75" customHeight="1" x14ac:dyDescent="0.2">
      <c r="B145" s="2292"/>
      <c r="C145" s="2259"/>
      <c r="D145" s="2092"/>
      <c r="E145" s="2092"/>
      <c r="F145" s="2099" t="s">
        <v>400</v>
      </c>
      <c r="G145" s="2092"/>
      <c r="H145" s="2259"/>
      <c r="I145" s="2260"/>
      <c r="J145" s="2259"/>
      <c r="K145" s="2261"/>
      <c r="O145" s="2148"/>
      <c r="AD145" s="2122"/>
      <c r="AH145" s="2122"/>
      <c r="BC145" s="2123"/>
      <c r="BD145" s="2131">
        <f t="shared" si="4"/>
        <v>-7</v>
      </c>
      <c r="BE145" s="2132">
        <f t="shared" si="5"/>
        <v>12</v>
      </c>
      <c r="BF145" s="2132">
        <f>BF133-(SUM(BD133:BD144)/BD148)*(BF133)</f>
        <v>2592280180</v>
      </c>
      <c r="BG145" s="2124"/>
      <c r="BQ145" s="2125"/>
      <c r="BR145" s="2126"/>
    </row>
    <row r="146" spans="2:70" s="2121" customFormat="1" ht="12.75" customHeight="1" x14ac:dyDescent="0.2">
      <c r="B146" s="2292" t="s">
        <v>376</v>
      </c>
      <c r="C146" s="2259"/>
      <c r="D146" s="2092" t="s">
        <v>401</v>
      </c>
      <c r="E146" s="2092"/>
      <c r="F146" s="2092"/>
      <c r="G146" s="2092"/>
      <c r="H146" s="2259"/>
      <c r="I146" s="2260"/>
      <c r="J146" s="2259"/>
      <c r="K146" s="2261"/>
      <c r="O146" s="2148"/>
      <c r="AD146" s="2122"/>
      <c r="AH146" s="2122"/>
      <c r="BC146" s="2123"/>
      <c r="BD146" s="2131">
        <f t="shared" si="4"/>
        <v>-8</v>
      </c>
      <c r="BE146" s="2132">
        <f t="shared" si="5"/>
        <v>13</v>
      </c>
      <c r="BF146" s="2132">
        <f>BF133-(SUM(BD133:BD145)/BD148)*(BF133)</f>
        <v>3456373573.3333335</v>
      </c>
      <c r="BG146" s="2124"/>
      <c r="BQ146" s="2125"/>
      <c r="BR146" s="2126"/>
    </row>
    <row r="147" spans="2:70" s="2121" customFormat="1" ht="12.75" customHeight="1" x14ac:dyDescent="0.2">
      <c r="B147" s="2292"/>
      <c r="C147" s="2259"/>
      <c r="D147" s="2092" t="s">
        <v>402</v>
      </c>
      <c r="E147" s="2092"/>
      <c r="F147" s="2273" t="s">
        <v>403</v>
      </c>
      <c r="G147" s="2092"/>
      <c r="H147" s="2266" t="s">
        <v>7</v>
      </c>
      <c r="I147" s="2260">
        <f>IF(I138=0,0,((I139-I142)*I144)/I138)</f>
        <v>219804.74389226211</v>
      </c>
      <c r="J147" s="2266" t="s">
        <v>386</v>
      </c>
      <c r="K147" s="2261"/>
      <c r="O147" s="2148"/>
      <c r="AD147" s="2122"/>
      <c r="AH147" s="2122"/>
      <c r="BC147" s="2123"/>
      <c r="BD147" s="2134">
        <f t="shared" si="4"/>
        <v>-9</v>
      </c>
      <c r="BE147" s="2135">
        <f t="shared" si="5"/>
        <v>14</v>
      </c>
      <c r="BF147" s="2135">
        <f>BF133-(SUM(BD133:BD146)/BD148)*(BF133)</f>
        <v>4443908880</v>
      </c>
      <c r="BG147" s="2124"/>
      <c r="BQ147" s="2125"/>
      <c r="BR147" s="2126"/>
    </row>
    <row r="148" spans="2:70" s="2121" customFormat="1" ht="12.75" customHeight="1" x14ac:dyDescent="0.2">
      <c r="B148" s="2292"/>
      <c r="C148" s="2259"/>
      <c r="D148" s="2092"/>
      <c r="E148" s="2092"/>
      <c r="F148" s="2099" t="s">
        <v>391</v>
      </c>
      <c r="G148" s="2092"/>
      <c r="H148" s="2259"/>
      <c r="I148" s="2260"/>
      <c r="J148" s="2259"/>
      <c r="K148" s="2261"/>
      <c r="O148" s="2148"/>
      <c r="AD148" s="2122"/>
      <c r="AH148" s="2122"/>
      <c r="BC148" s="2123"/>
      <c r="BD148" s="2136">
        <f>IF(BD134=0,SUM(BD133:BD134),IF(BD135=0,SUM(BD133:BD135),IF(BD136=0,SUM(BD133:BD136),IF(BD137=0,SUM(BD133:BD137),IF(BD138=0,SUM(BD133:BD138),IF(BD139=0,SUM(BD133:BD139),IF(BD140=0,SUM(BD133:BD140),+BE148)))))))</f>
        <v>15</v>
      </c>
      <c r="BE148" s="2137" t="str">
        <f>IF(BD141=0,SUM(BD133:BD141),IF(BD142=0,SUM(BD133:BD142),IF(BD143=0,SUM(BD133:BD143),IF(BD144=0,SUM(BD133:BD144),IF(BD145=0,SUM(BD133:BD145),IF(BD146=0,SUM(BD133:BD146),IF(BD147=0,SUM(BD133:BD147),"&gt; 15th ?")))))))</f>
        <v>&gt; 15th ?</v>
      </c>
      <c r="BF148" s="2138"/>
      <c r="BG148" s="2139"/>
      <c r="BQ148" s="2125"/>
      <c r="BR148" s="2126"/>
    </row>
    <row r="149" spans="2:70" s="2121" customFormat="1" ht="12.75" customHeight="1" x14ac:dyDescent="0.2">
      <c r="B149" s="2292"/>
      <c r="C149" s="2259"/>
      <c r="D149" s="2092"/>
      <c r="E149" s="2092"/>
      <c r="F149" s="2092"/>
      <c r="G149" s="2092"/>
      <c r="H149" s="2259"/>
      <c r="I149" s="2260"/>
      <c r="J149" s="2259"/>
      <c r="K149" s="2261"/>
      <c r="O149" s="2148"/>
      <c r="AD149" s="2122"/>
      <c r="AH149" s="2122"/>
      <c r="BC149" s="2123"/>
      <c r="BD149" s="2140" t="s">
        <v>404</v>
      </c>
      <c r="BE149" s="2141"/>
      <c r="BF149" s="2142" t="str">
        <f>IF(BC133=0,"Habis Umur",IF(BC133=BD133,"Alat Baru","Sewa Alat"))</f>
        <v>Alat Baru</v>
      </c>
      <c r="BG149" s="2139"/>
      <c r="BQ149" s="2125"/>
      <c r="BR149" s="2126"/>
    </row>
    <row r="150" spans="2:70" s="2121" customFormat="1" ht="12.75" customHeight="1" x14ac:dyDescent="0.2">
      <c r="B150" s="2292"/>
      <c r="C150" s="2259"/>
      <c r="D150" s="2092" t="s">
        <v>405</v>
      </c>
      <c r="E150" s="2275">
        <v>2E-3</v>
      </c>
      <c r="F150" s="2275" t="s">
        <v>406</v>
      </c>
      <c r="G150" s="2092"/>
      <c r="H150" s="2266" t="s">
        <v>63</v>
      </c>
      <c r="I150" s="2260">
        <f>IF(I138=0,0,($E$32*I139)/I138)</f>
        <v>1851.6287</v>
      </c>
      <c r="J150" s="2266" t="s">
        <v>386</v>
      </c>
      <c r="K150" s="2261"/>
      <c r="O150" s="2148"/>
      <c r="AD150" s="2122"/>
      <c r="AH150" s="2122"/>
      <c r="BC150" s="2123"/>
      <c r="BD150" s="2143" t="s">
        <v>407</v>
      </c>
      <c r="BE150" s="2144"/>
      <c r="BF150" s="3243">
        <f>IF(BD133-BC133=BE133,+BF133,IF(BD133-BC133=BE134,+BF134,IF(BD133-BC133=BE135,+BF135,IF(BD133-BC133=BE136,+BF136,IF(BD133-BC133=BE137,+BF137,IF(BD133-BC133=BE138,+BF138,IF(BD133-BC133=BE139,+BF139,IF(BD133-BC133=BE140,+BF140,""))))))))</f>
        <v>1851628700</v>
      </c>
      <c r="BG150" s="2145"/>
      <c r="BQ150" s="2125"/>
      <c r="BR150" s="2126"/>
    </row>
    <row r="151" spans="2:70" s="2121" customFormat="1" ht="12.75" customHeight="1" x14ac:dyDescent="0.2">
      <c r="B151" s="2292"/>
      <c r="C151" s="2259"/>
      <c r="D151" s="2092"/>
      <c r="E151" s="2092"/>
      <c r="F151" s="2092" t="s">
        <v>391</v>
      </c>
      <c r="G151" s="2092"/>
      <c r="H151" s="2259"/>
      <c r="I151" s="2260"/>
      <c r="J151" s="2259"/>
      <c r="K151" s="2261"/>
      <c r="O151" s="2148"/>
      <c r="AD151" s="2122"/>
      <c r="AH151" s="2122"/>
      <c r="BC151" s="2123"/>
      <c r="BD151" s="2146" t="s">
        <v>408</v>
      </c>
      <c r="BE151" s="2147"/>
      <c r="BF151" s="3244"/>
      <c r="BG151" s="2145"/>
      <c r="BQ151" s="2125"/>
      <c r="BR151" s="2126"/>
    </row>
    <row r="152" spans="2:70" s="2121" customFormat="1" ht="12.75" customHeight="1" x14ac:dyDescent="0.2">
      <c r="B152" s="2292"/>
      <c r="C152" s="2259"/>
      <c r="D152" s="2092"/>
      <c r="E152" s="2092"/>
      <c r="F152" s="2092"/>
      <c r="G152" s="2092"/>
      <c r="H152" s="2259"/>
      <c r="I152" s="2260"/>
      <c r="J152" s="2259"/>
      <c r="K152" s="2261"/>
      <c r="O152" s="2148"/>
      <c r="AD152" s="2122"/>
      <c r="AH152" s="2122"/>
      <c r="BC152" s="2123"/>
      <c r="BG152" s="2124"/>
      <c r="BQ152" s="2125"/>
      <c r="BR152" s="2126"/>
    </row>
    <row r="153" spans="2:70" s="2121" customFormat="1" ht="12.75" customHeight="1" x14ac:dyDescent="0.2">
      <c r="B153" s="2292"/>
      <c r="C153" s="2259"/>
      <c r="D153" s="2293" t="s">
        <v>409</v>
      </c>
      <c r="E153" s="2092"/>
      <c r="F153" s="2120" t="s">
        <v>410</v>
      </c>
      <c r="G153" s="2092"/>
      <c r="H153" s="2266" t="s">
        <v>311</v>
      </c>
      <c r="I153" s="2276">
        <f>I150+I147</f>
        <v>221656.37259226211</v>
      </c>
      <c r="J153" s="2266" t="s">
        <v>386</v>
      </c>
      <c r="K153" s="2261"/>
      <c r="O153" s="2148"/>
      <c r="AD153" s="2122"/>
      <c r="AH153" s="2122"/>
      <c r="BC153" s="2123"/>
      <c r="BG153" s="2124"/>
      <c r="BQ153" s="2125"/>
      <c r="BR153" s="2126"/>
    </row>
    <row r="154" spans="2:70" s="2121" customFormat="1" ht="12.75" customHeight="1" x14ac:dyDescent="0.2">
      <c r="B154" s="2292"/>
      <c r="C154" s="2259"/>
      <c r="D154" s="2092"/>
      <c r="E154" s="2092"/>
      <c r="F154" s="2092"/>
      <c r="G154" s="2092"/>
      <c r="H154" s="2259"/>
      <c r="I154" s="2260"/>
      <c r="J154" s="2259"/>
      <c r="K154" s="2261"/>
      <c r="O154" s="2148"/>
      <c r="AD154" s="2122"/>
      <c r="AH154" s="2122"/>
      <c r="BC154" s="2123"/>
      <c r="BG154" s="2124"/>
      <c r="BQ154" s="2125"/>
      <c r="BR154" s="2126"/>
    </row>
    <row r="155" spans="2:70" s="2121" customFormat="1" ht="12.75" customHeight="1" x14ac:dyDescent="0.2">
      <c r="B155" s="2289" t="s">
        <v>411</v>
      </c>
      <c r="C155" s="2290"/>
      <c r="D155" s="2293" t="s">
        <v>412</v>
      </c>
      <c r="E155" s="2092"/>
      <c r="F155" s="2092"/>
      <c r="G155" s="2092"/>
      <c r="H155" s="2259"/>
      <c r="I155" s="2260"/>
      <c r="J155" s="2259"/>
      <c r="K155" s="2261"/>
      <c r="O155" s="2148"/>
      <c r="AD155" s="2122"/>
      <c r="AH155" s="2122"/>
      <c r="BC155" s="2123"/>
      <c r="BG155" s="2124"/>
      <c r="BQ155" s="2125"/>
      <c r="BR155" s="2126"/>
    </row>
    <row r="156" spans="2:70" s="2121" customFormat="1" ht="12.75" customHeight="1" x14ac:dyDescent="0.2">
      <c r="B156" s="2295"/>
      <c r="C156" s="2290"/>
      <c r="D156" s="2293"/>
      <c r="E156" s="2092"/>
      <c r="F156" s="2092"/>
      <c r="G156" s="2092"/>
      <c r="H156" s="2259"/>
      <c r="I156" s="2260"/>
      <c r="J156" s="2259"/>
      <c r="K156" s="2261"/>
      <c r="O156" s="2148"/>
      <c r="AD156" s="2122"/>
      <c r="AH156" s="2122"/>
      <c r="BC156" s="2123"/>
      <c r="BG156" s="2124"/>
      <c r="BQ156" s="2125"/>
      <c r="BR156" s="2126"/>
    </row>
    <row r="157" spans="2:70" s="2121" customFormat="1" ht="12.75" customHeight="1" x14ac:dyDescent="0.2">
      <c r="B157" s="2292" t="s">
        <v>370</v>
      </c>
      <c r="C157" s="2290"/>
      <c r="D157" s="2092" t="s">
        <v>413</v>
      </c>
      <c r="E157" s="2092"/>
      <c r="F157" s="2092"/>
      <c r="G157" s="2092"/>
      <c r="H157" s="2266" t="s">
        <v>313</v>
      </c>
      <c r="I157" s="2260">
        <f>(0.125)*I132*I177</f>
        <v>204318.75</v>
      </c>
      <c r="J157" s="2266" t="s">
        <v>386</v>
      </c>
      <c r="K157" s="2261"/>
      <c r="O157" s="2148"/>
      <c r="AD157" s="2122"/>
      <c r="AH157" s="2122"/>
      <c r="BC157" s="2123"/>
      <c r="BG157" s="2124"/>
      <c r="BQ157" s="2125"/>
      <c r="BR157" s="2126"/>
    </row>
    <row r="158" spans="2:70" s="2121" customFormat="1" ht="12.75" customHeight="1" x14ac:dyDescent="0.2">
      <c r="B158" s="2292"/>
      <c r="C158" s="2290"/>
      <c r="D158" s="2092"/>
      <c r="E158" s="2092"/>
      <c r="F158" s="2092"/>
      <c r="G158" s="2092"/>
      <c r="H158" s="2259"/>
      <c r="I158" s="2259"/>
      <c r="J158" s="2259"/>
      <c r="K158" s="2261"/>
      <c r="O158" s="2148"/>
      <c r="AD158" s="2122"/>
      <c r="AH158" s="2122"/>
      <c r="BC158" s="2123"/>
      <c r="BG158" s="2124"/>
      <c r="BQ158" s="2125"/>
      <c r="BR158" s="2126"/>
    </row>
    <row r="159" spans="2:70" s="2121" customFormat="1" ht="12.75" customHeight="1" x14ac:dyDescent="0.2">
      <c r="B159" s="2292" t="s">
        <v>373</v>
      </c>
      <c r="C159" s="2259"/>
      <c r="D159" s="2092" t="s">
        <v>414</v>
      </c>
      <c r="E159" s="2092"/>
      <c r="F159" s="2092"/>
      <c r="G159" s="2092"/>
      <c r="H159" s="2266" t="s">
        <v>31</v>
      </c>
      <c r="I159" s="2260">
        <f>(0.025)*I132*I178</f>
        <v>375000</v>
      </c>
      <c r="J159" s="2266" t="s">
        <v>386</v>
      </c>
      <c r="K159" s="2261"/>
      <c r="O159" s="2148"/>
      <c r="AD159" s="2122"/>
      <c r="AH159" s="2122"/>
      <c r="BC159" s="2123"/>
      <c r="BG159" s="2124"/>
      <c r="BQ159" s="2125"/>
      <c r="BR159" s="2126"/>
    </row>
    <row r="160" spans="2:70" s="2121" customFormat="1" ht="12.75" customHeight="1" x14ac:dyDescent="0.2">
      <c r="B160" s="2292"/>
      <c r="C160" s="2259"/>
      <c r="D160" s="2092"/>
      <c r="E160" s="2092"/>
      <c r="F160" s="2092"/>
      <c r="G160" s="2092"/>
      <c r="H160" s="2259"/>
      <c r="I160" s="2260"/>
      <c r="J160" s="2259"/>
      <c r="K160" s="2261"/>
      <c r="O160" s="2148"/>
      <c r="AD160" s="2122"/>
      <c r="AH160" s="2122"/>
      <c r="BC160" s="2123"/>
      <c r="BG160" s="2124"/>
      <c r="BQ160" s="2125"/>
      <c r="BR160" s="2126"/>
    </row>
    <row r="161" spans="2:70" s="2121" customFormat="1" ht="12.75" customHeight="1" x14ac:dyDescent="0.2">
      <c r="B161" s="2292" t="s">
        <v>376</v>
      </c>
      <c r="C161" s="2259"/>
      <c r="D161" s="2092" t="s">
        <v>415</v>
      </c>
      <c r="E161" s="2273" t="s">
        <v>416</v>
      </c>
      <c r="F161" s="2273"/>
      <c r="G161" s="2092"/>
      <c r="H161" s="2266" t="s">
        <v>417</v>
      </c>
      <c r="I161" s="2260">
        <f>IF(I138=0,0,(0.125*I139)/I138)</f>
        <v>115726.79375</v>
      </c>
      <c r="J161" s="2266" t="s">
        <v>386</v>
      </c>
      <c r="K161" s="2261"/>
      <c r="O161" s="2148"/>
      <c r="AD161" s="2122"/>
      <c r="AH161" s="2122"/>
      <c r="BC161" s="2123"/>
      <c r="BG161" s="2124"/>
      <c r="BQ161" s="2125"/>
      <c r="BR161" s="2126"/>
    </row>
    <row r="162" spans="2:70" s="2121" customFormat="1" ht="12.75" customHeight="1" x14ac:dyDescent="0.2">
      <c r="B162" s="2292"/>
      <c r="C162" s="2259"/>
      <c r="D162" s="2092" t="s">
        <v>418</v>
      </c>
      <c r="E162" s="2099" t="s">
        <v>391</v>
      </c>
      <c r="F162" s="2099"/>
      <c r="G162" s="2092"/>
      <c r="H162" s="2259"/>
      <c r="I162" s="2260"/>
      <c r="J162" s="2259"/>
      <c r="K162" s="2261"/>
      <c r="O162" s="2148"/>
      <c r="AD162" s="2122"/>
      <c r="AH162" s="2122"/>
      <c r="BC162" s="2123"/>
      <c r="BG162" s="2124"/>
      <c r="BQ162" s="2125"/>
      <c r="BR162" s="2126"/>
    </row>
    <row r="163" spans="2:70" s="2121" customFormat="1" ht="12.75" customHeight="1" x14ac:dyDescent="0.2">
      <c r="B163" s="2292"/>
      <c r="C163" s="2259"/>
      <c r="D163" s="2092"/>
      <c r="E163" s="2092"/>
      <c r="F163" s="2092"/>
      <c r="G163" s="2092"/>
      <c r="H163" s="2259"/>
      <c r="I163" s="2259"/>
      <c r="J163" s="2259"/>
      <c r="K163" s="2261"/>
      <c r="O163" s="2148"/>
      <c r="AD163" s="2122"/>
      <c r="AH163" s="2122"/>
      <c r="BC163" s="2123"/>
      <c r="BG163" s="2124"/>
      <c r="BQ163" s="2125"/>
      <c r="BR163" s="2126"/>
    </row>
    <row r="164" spans="2:70" s="2121" customFormat="1" ht="12.75" customHeight="1" x14ac:dyDescent="0.2">
      <c r="B164" s="2292" t="s">
        <v>379</v>
      </c>
      <c r="C164" s="2259"/>
      <c r="D164" s="2092" t="s">
        <v>419</v>
      </c>
      <c r="E164" s="2092" t="s">
        <v>420</v>
      </c>
      <c r="F164" s="2092"/>
      <c r="G164" s="2092"/>
      <c r="H164" s="2266" t="s">
        <v>151</v>
      </c>
      <c r="I164" s="2260">
        <f>1*I174</f>
        <v>28125</v>
      </c>
      <c r="J164" s="2266" t="s">
        <v>386</v>
      </c>
      <c r="K164" s="2261"/>
      <c r="O164" s="2148"/>
      <c r="AD164" s="2122"/>
      <c r="AH164" s="2122"/>
      <c r="BC164" s="2123"/>
      <c r="BG164" s="2124"/>
      <c r="BQ164" s="2125"/>
      <c r="BR164" s="2126"/>
    </row>
    <row r="165" spans="2:70" s="2121" customFormat="1" ht="12.75" customHeight="1" x14ac:dyDescent="0.2">
      <c r="B165" s="2292" t="s">
        <v>387</v>
      </c>
      <c r="C165" s="2259"/>
      <c r="D165" s="2092" t="s">
        <v>98</v>
      </c>
      <c r="E165" s="2092" t="s">
        <v>421</v>
      </c>
      <c r="F165" s="2092"/>
      <c r="G165" s="2092"/>
      <c r="H165" s="2266" t="s">
        <v>310</v>
      </c>
      <c r="I165" s="2260">
        <f>1*I175</f>
        <v>22500</v>
      </c>
      <c r="J165" s="2266" t="s">
        <v>386</v>
      </c>
      <c r="K165" s="2261"/>
      <c r="O165" s="2148"/>
      <c r="AD165" s="2122"/>
      <c r="AH165" s="2122"/>
      <c r="BC165" s="2123"/>
      <c r="BG165" s="2124"/>
      <c r="BQ165" s="2125"/>
      <c r="BR165" s="2126"/>
    </row>
    <row r="166" spans="2:70" s="2121" customFormat="1" ht="12.75" customHeight="1" x14ac:dyDescent="0.2">
      <c r="B166" s="2292"/>
      <c r="C166" s="2259"/>
      <c r="D166" s="2092"/>
      <c r="E166" s="2092"/>
      <c r="F166" s="2092"/>
      <c r="G166" s="2092"/>
      <c r="H166" s="2259"/>
      <c r="I166" s="2260"/>
      <c r="J166" s="2259"/>
      <c r="K166" s="2261"/>
      <c r="O166" s="2148"/>
      <c r="AD166" s="2122"/>
      <c r="AH166" s="2122"/>
      <c r="BC166" s="2123"/>
      <c r="BG166" s="2124"/>
      <c r="BQ166" s="2125"/>
      <c r="BR166" s="2126"/>
    </row>
    <row r="167" spans="2:70" s="2121" customFormat="1" ht="12.75" customHeight="1" x14ac:dyDescent="0.2">
      <c r="B167" s="2295"/>
      <c r="C167" s="2290"/>
      <c r="D167" s="2293" t="s">
        <v>422</v>
      </c>
      <c r="E167" s="2092"/>
      <c r="F167" s="2120" t="s">
        <v>423</v>
      </c>
      <c r="G167" s="2092"/>
      <c r="H167" s="2266" t="s">
        <v>150</v>
      </c>
      <c r="I167" s="2276">
        <f>SUM(I157:I165)</f>
        <v>745670.54374999995</v>
      </c>
      <c r="J167" s="2266" t="s">
        <v>386</v>
      </c>
      <c r="K167" s="2261"/>
      <c r="O167" s="2148"/>
      <c r="AD167" s="2122"/>
      <c r="AH167" s="2122"/>
      <c r="BC167" s="2123"/>
      <c r="BG167" s="2124"/>
      <c r="BQ167" s="2125"/>
      <c r="BR167" s="2126"/>
    </row>
    <row r="168" spans="2:70" s="2121" customFormat="1" ht="12.75" customHeight="1" x14ac:dyDescent="0.2">
      <c r="B168" s="2292"/>
      <c r="C168" s="2290"/>
      <c r="D168" s="2296"/>
      <c r="E168" s="2092"/>
      <c r="F168" s="2092"/>
      <c r="G168" s="2092"/>
      <c r="H168" s="2259"/>
      <c r="I168" s="2260"/>
      <c r="J168" s="2259"/>
      <c r="K168" s="2261"/>
      <c r="O168" s="2148"/>
      <c r="AD168" s="2122"/>
      <c r="AH168" s="2122"/>
      <c r="BC168" s="2123"/>
      <c r="BG168" s="2124"/>
      <c r="BQ168" s="2125"/>
      <c r="BR168" s="2126"/>
    </row>
    <row r="169" spans="2:70" s="2121" customFormat="1" ht="12.75" customHeight="1" x14ac:dyDescent="0.2">
      <c r="B169" s="2289" t="s">
        <v>424</v>
      </c>
      <c r="C169" s="2290"/>
      <c r="D169" s="2293" t="s">
        <v>425</v>
      </c>
      <c r="E169" s="2092"/>
      <c r="F169" s="2092"/>
      <c r="G169" s="2092"/>
      <c r="H169" s="2277" t="s">
        <v>426</v>
      </c>
      <c r="I169" s="2278">
        <f>I153+I167</f>
        <v>967326.91634226206</v>
      </c>
      <c r="J169" s="2279" t="s">
        <v>386</v>
      </c>
      <c r="K169" s="2261"/>
      <c r="M169" s="2121">
        <f>0.1</f>
        <v>0.1</v>
      </c>
      <c r="O169" s="2148">
        <f>M169*I169</f>
        <v>96732.691634226212</v>
      </c>
      <c r="AD169" s="2122"/>
      <c r="AH169" s="2122"/>
      <c r="BC169" s="2123"/>
      <c r="BG169" s="2124"/>
      <c r="BQ169" s="2125"/>
      <c r="BR169" s="2126"/>
    </row>
    <row r="170" spans="2:70" s="2121" customFormat="1" ht="12.75" customHeight="1" x14ac:dyDescent="0.2">
      <c r="B170" s="2292"/>
      <c r="C170" s="2259"/>
      <c r="D170" s="2092"/>
      <c r="E170" s="2092"/>
      <c r="F170" s="2092"/>
      <c r="G170" s="2092"/>
      <c r="H170" s="2259"/>
      <c r="I170" s="2260"/>
      <c r="J170" s="2259"/>
      <c r="K170" s="2261"/>
      <c r="O170" s="2148"/>
      <c r="AD170" s="2122"/>
      <c r="AH170" s="2122"/>
      <c r="BC170" s="2123"/>
      <c r="BG170" s="2124"/>
      <c r="BQ170" s="2125"/>
      <c r="BR170" s="2126"/>
    </row>
    <row r="171" spans="2:70" s="2121" customFormat="1" ht="12.75" customHeight="1" x14ac:dyDescent="0.2">
      <c r="B171" s="2292"/>
      <c r="C171" s="2259"/>
      <c r="D171" s="2293"/>
      <c r="E171" s="2092"/>
      <c r="F171" s="2092"/>
      <c r="G171" s="2092"/>
      <c r="H171" s="2259"/>
      <c r="I171" s="2260"/>
      <c r="J171" s="2259"/>
      <c r="K171" s="2261"/>
      <c r="O171" s="2148"/>
      <c r="AD171" s="2122"/>
      <c r="AH171" s="2122"/>
      <c r="BC171" s="2123"/>
      <c r="BG171" s="2124"/>
      <c r="BQ171" s="2125"/>
      <c r="BR171" s="2126"/>
    </row>
    <row r="172" spans="2:70" s="2121" customFormat="1" ht="12.75" customHeight="1" x14ac:dyDescent="0.2">
      <c r="B172" s="2289" t="s">
        <v>427</v>
      </c>
      <c r="C172" s="2290"/>
      <c r="D172" s="2293" t="s">
        <v>428</v>
      </c>
      <c r="E172" s="2092"/>
      <c r="F172" s="2092"/>
      <c r="G172" s="2092"/>
      <c r="H172" s="2259"/>
      <c r="I172" s="2280"/>
      <c r="J172" s="2259"/>
      <c r="K172" s="2261"/>
      <c r="M172" s="2121">
        <f>M169*60</f>
        <v>6</v>
      </c>
      <c r="O172" s="2148"/>
      <c r="AD172" s="2122"/>
      <c r="AH172" s="2122"/>
      <c r="BC172" s="2123"/>
      <c r="BG172" s="2124"/>
      <c r="BQ172" s="2125"/>
      <c r="BR172" s="2126"/>
    </row>
    <row r="173" spans="2:70" s="2121" customFormat="1" ht="12.75" customHeight="1" x14ac:dyDescent="0.2">
      <c r="B173" s="2292" t="s">
        <v>370</v>
      </c>
      <c r="C173" s="2259"/>
      <c r="D173" s="2092" t="s">
        <v>358</v>
      </c>
      <c r="E173" s="2092"/>
      <c r="F173" s="2092"/>
      <c r="G173" s="2092"/>
      <c r="H173" s="2266" t="s">
        <v>429</v>
      </c>
      <c r="I173" s="2281">
        <f>ID!$D$9</f>
        <v>10</v>
      </c>
      <c r="J173" s="2266" t="s">
        <v>430</v>
      </c>
      <c r="K173" s="2261"/>
      <c r="O173" s="2148"/>
      <c r="AD173" s="2122"/>
      <c r="AH173" s="2122"/>
      <c r="BC173" s="2123"/>
      <c r="BG173" s="2124"/>
      <c r="BQ173" s="2125"/>
      <c r="BR173" s="2126"/>
    </row>
    <row r="174" spans="2:70" s="2121" customFormat="1" ht="12.75" customHeight="1" x14ac:dyDescent="0.2">
      <c r="B174" s="2292" t="s">
        <v>373</v>
      </c>
      <c r="C174" s="2259"/>
      <c r="D174" s="2092" t="s">
        <v>431</v>
      </c>
      <c r="E174" s="2092"/>
      <c r="F174" s="2092"/>
      <c r="G174" s="2282" t="str">
        <f>VLOOKUP(D174,'[65]Basic Price'!$C$8:$F$78,2,FALSE)</f>
        <v>L.05</v>
      </c>
      <c r="H174" s="2266" t="s">
        <v>432</v>
      </c>
      <c r="I174" s="2281">
        <f>VLOOKUP(D174,UPAH!$C$10:$G$15,5,FALSE)</f>
        <v>28125</v>
      </c>
      <c r="J174" s="2266" t="s">
        <v>433</v>
      </c>
      <c r="K174" s="2261"/>
      <c r="O174" s="2148"/>
      <c r="AD174" s="2122"/>
      <c r="AH174" s="2122"/>
      <c r="BC174" s="2123"/>
      <c r="BG174" s="2124"/>
      <c r="BQ174" s="2125"/>
      <c r="BR174" s="2126"/>
    </row>
    <row r="175" spans="2:70" s="2121" customFormat="1" ht="12.75" customHeight="1" x14ac:dyDescent="0.2">
      <c r="B175" s="2292" t="s">
        <v>376</v>
      </c>
      <c r="C175" s="2259"/>
      <c r="D175" s="2092" t="s">
        <v>98</v>
      </c>
      <c r="E175" s="2092"/>
      <c r="F175" s="2092"/>
      <c r="G175" s="2282" t="str">
        <f>VLOOKUP(D175,'[65]Basic Price'!$C$8:$F$78,2,FALSE)</f>
        <v>L.06</v>
      </c>
      <c r="H175" s="2266" t="s">
        <v>434</v>
      </c>
      <c r="I175" s="2281">
        <f>VLOOKUP(D175,UPAH!$C$10:$G$15,5,FALSE)</f>
        <v>22500</v>
      </c>
      <c r="J175" s="2266" t="s">
        <v>433</v>
      </c>
      <c r="K175" s="2261"/>
      <c r="O175" s="2148"/>
      <c r="AD175" s="2122"/>
      <c r="AH175" s="2122"/>
      <c r="BC175" s="2123"/>
      <c r="BG175" s="2124"/>
      <c r="BQ175" s="2125"/>
      <c r="BR175" s="2126"/>
    </row>
    <row r="176" spans="2:70" s="2121" customFormat="1" ht="12.75" customHeight="1" x14ac:dyDescent="0.2">
      <c r="B176" s="2292" t="s">
        <v>379</v>
      </c>
      <c r="C176" s="2259"/>
      <c r="D176" s="2092" t="s">
        <v>435</v>
      </c>
      <c r="E176" s="2092"/>
      <c r="F176" s="2092"/>
      <c r="G176" s="2282" t="str">
        <f>VLOOKUP(D176,'[65]Basic Price'!$C$8:$F$78,2,FALSE)</f>
        <v>M.07</v>
      </c>
      <c r="H176" s="2266" t="s">
        <v>436</v>
      </c>
      <c r="I176" s="2281">
        <f>VLOOKUP(D176,BAHAN!$C$15:$G$98,5,FALSE)</f>
        <v>7650</v>
      </c>
      <c r="J176" s="2266" t="s">
        <v>58</v>
      </c>
      <c r="K176" s="2261"/>
      <c r="O176" s="2148"/>
      <c r="AD176" s="2122"/>
      <c r="AH176" s="2122"/>
      <c r="BC176" s="2123"/>
      <c r="BG176" s="2124"/>
      <c r="BQ176" s="2125"/>
      <c r="BR176" s="2126"/>
    </row>
    <row r="177" spans="2:70" s="2121" customFormat="1" ht="12.75" customHeight="1" x14ac:dyDescent="0.2">
      <c r="B177" s="2292" t="s">
        <v>387</v>
      </c>
      <c r="C177" s="2259"/>
      <c r="D177" s="2092" t="s">
        <v>437</v>
      </c>
      <c r="E177" s="2092"/>
      <c r="F177" s="2092"/>
      <c r="G177" s="2282" t="str">
        <f>VLOOKUP(D177,'[65]Basic Price'!$C$8:$F$78,2,FALSE)</f>
        <v>M.08</v>
      </c>
      <c r="H177" s="2266" t="s">
        <v>438</v>
      </c>
      <c r="I177" s="2281">
        <f>VLOOKUP(D177,BAHAN!$C$15:$G$98,5,FALSE)</f>
        <v>10897</v>
      </c>
      <c r="J177" s="2266" t="s">
        <v>58</v>
      </c>
      <c r="K177" s="2261"/>
      <c r="O177" s="2148"/>
      <c r="AD177" s="2122"/>
      <c r="AH177" s="2122"/>
      <c r="BC177" s="2123"/>
      <c r="BG177" s="2124"/>
      <c r="BQ177" s="2125"/>
      <c r="BR177" s="2126"/>
    </row>
    <row r="178" spans="2:70" s="2121" customFormat="1" ht="12.75" customHeight="1" x14ac:dyDescent="0.2">
      <c r="B178" s="2292" t="s">
        <v>439</v>
      </c>
      <c r="C178" s="2259"/>
      <c r="D178" s="2092" t="s">
        <v>440</v>
      </c>
      <c r="E178" s="2092"/>
      <c r="F178" s="2092"/>
      <c r="G178" s="2282" t="str">
        <f>VLOOKUP(D178,'[65]Basic Price'!$C$8:$F$78,2,FALSE)</f>
        <v>M.06</v>
      </c>
      <c r="H178" s="2266" t="s">
        <v>441</v>
      </c>
      <c r="I178" s="2281">
        <f>VLOOKUP(D178,BAHAN!$C$15:$G$98,5,FALSE)</f>
        <v>100000</v>
      </c>
      <c r="J178" s="2266" t="s">
        <v>58</v>
      </c>
      <c r="K178" s="2261"/>
      <c r="O178" s="2148"/>
      <c r="AD178" s="2122"/>
      <c r="AH178" s="2122"/>
      <c r="BC178" s="2123"/>
      <c r="BG178" s="2124"/>
      <c r="BQ178" s="2125"/>
      <c r="BR178" s="2126"/>
    </row>
    <row r="179" spans="2:70" s="2121" customFormat="1" ht="12.75" customHeight="1" x14ac:dyDescent="0.2">
      <c r="B179" s="2292" t="s">
        <v>442</v>
      </c>
      <c r="C179" s="2259"/>
      <c r="D179" s="2092" t="s">
        <v>443</v>
      </c>
      <c r="E179" s="2092"/>
      <c r="F179" s="2092"/>
      <c r="G179" s="2092"/>
      <c r="H179" s="2259"/>
      <c r="I179" s="2281"/>
      <c r="J179" s="2259"/>
      <c r="K179" s="2261"/>
      <c r="O179" s="2148"/>
      <c r="AD179" s="2122"/>
      <c r="AH179" s="2122"/>
      <c r="BC179" s="2123"/>
      <c r="BG179" s="2124"/>
      <c r="BQ179" s="2125"/>
      <c r="BR179" s="2126"/>
    </row>
    <row r="180" spans="2:70" s="2121" customFormat="1" ht="12.75" customHeight="1" x14ac:dyDescent="0.2">
      <c r="B180" s="2292"/>
      <c r="C180" s="2259"/>
      <c r="D180" s="2092" t="s">
        <v>444</v>
      </c>
      <c r="E180" s="2092"/>
      <c r="F180" s="2092"/>
      <c r="G180" s="2092"/>
      <c r="H180" s="2259"/>
      <c r="I180" s="2259"/>
      <c r="J180" s="2259"/>
      <c r="K180" s="2261"/>
      <c r="O180" s="2148"/>
      <c r="AD180" s="2122"/>
      <c r="AH180" s="2122"/>
      <c r="BC180" s="2123"/>
      <c r="BG180" s="2124"/>
      <c r="BQ180" s="2125"/>
      <c r="BR180" s="2126"/>
    </row>
    <row r="181" spans="2:70" s="2121" customFormat="1" ht="12.75" customHeight="1" thickBot="1" x14ac:dyDescent="0.25">
      <c r="B181" s="2291"/>
      <c r="C181" s="2257"/>
      <c r="D181" s="2256"/>
      <c r="E181" s="2256"/>
      <c r="F181" s="2256"/>
      <c r="G181" s="2256"/>
      <c r="H181" s="2283"/>
      <c r="I181" s="2284"/>
      <c r="J181" s="2257"/>
      <c r="K181" s="2258"/>
      <c r="O181" s="2148"/>
      <c r="AD181" s="2122"/>
      <c r="AH181" s="2122"/>
      <c r="BC181" s="2123"/>
      <c r="BG181" s="2124"/>
      <c r="BQ181" s="2125"/>
      <c r="BR181" s="2126"/>
    </row>
    <row r="182" spans="2:70" ht="14.25" thickTop="1" x14ac:dyDescent="0.2"/>
    <row r="183" spans="2:70" s="2121" customFormat="1" ht="12.75" hidden="1" customHeight="1" x14ac:dyDescent="0.2">
      <c r="B183" s="2098" t="s">
        <v>362</v>
      </c>
      <c r="C183" s="2098"/>
      <c r="D183" s="2098"/>
      <c r="E183" s="2098"/>
      <c r="F183" s="2098"/>
      <c r="G183" s="2099"/>
      <c r="H183" s="2099"/>
      <c r="I183" s="2099"/>
      <c r="J183" s="2099"/>
      <c r="K183" s="2098"/>
      <c r="O183" s="2148"/>
      <c r="AD183" s="2122"/>
      <c r="AH183" s="2122"/>
      <c r="BC183" s="2123"/>
      <c r="BD183" s="2126"/>
      <c r="BE183" s="2126"/>
      <c r="BF183" s="2126"/>
      <c r="BG183" s="2124"/>
      <c r="BQ183" s="2125"/>
      <c r="BR183" s="2126"/>
    </row>
    <row r="184" spans="2:70" s="2121" customFormat="1" ht="12.75" hidden="1" customHeight="1" thickBot="1" x14ac:dyDescent="0.25">
      <c r="B184" s="2092"/>
      <c r="C184" s="2092"/>
      <c r="D184" s="2092"/>
      <c r="E184" s="2092"/>
      <c r="F184" s="2092"/>
      <c r="G184" s="2092"/>
      <c r="H184" s="2092"/>
      <c r="I184" s="2092"/>
      <c r="J184" s="2092"/>
      <c r="K184" s="2092"/>
      <c r="O184" s="2148"/>
      <c r="AD184" s="2122"/>
      <c r="AH184" s="2122"/>
      <c r="BC184" s="2123"/>
      <c r="BD184" s="2126"/>
      <c r="BE184" s="2126"/>
      <c r="BF184" s="2126"/>
      <c r="BG184" s="2124"/>
      <c r="BQ184" s="2125"/>
      <c r="BR184" s="2126"/>
    </row>
    <row r="185" spans="2:70" s="2121" customFormat="1" ht="12.75" hidden="1" customHeight="1" thickTop="1" x14ac:dyDescent="0.2">
      <c r="B185" s="2288"/>
      <c r="C185" s="2251"/>
      <c r="D185" s="2250"/>
      <c r="E185" s="2250"/>
      <c r="F185" s="2250"/>
      <c r="G185" s="2250"/>
      <c r="H185" s="2251"/>
      <c r="I185" s="2251"/>
      <c r="J185" s="2251"/>
      <c r="K185" s="2252"/>
      <c r="O185" s="2148"/>
      <c r="AD185" s="2122"/>
      <c r="AH185" s="2122"/>
      <c r="BC185" s="2123"/>
      <c r="BD185" s="2126"/>
      <c r="BE185" s="2126"/>
      <c r="BF185" s="2126"/>
      <c r="BG185" s="2124"/>
      <c r="BQ185" s="2125"/>
      <c r="BR185" s="2126"/>
    </row>
    <row r="186" spans="2:70" s="2121" customFormat="1" ht="12.75" hidden="1" customHeight="1" x14ac:dyDescent="0.2">
      <c r="B186" s="2289" t="s">
        <v>12</v>
      </c>
      <c r="C186" s="2290"/>
      <c r="D186" s="2098" t="s">
        <v>363</v>
      </c>
      <c r="E186" s="2098"/>
      <c r="F186" s="2098"/>
      <c r="G186" s="2098"/>
      <c r="H186" s="2253" t="s">
        <v>364</v>
      </c>
      <c r="I186" s="2254" t="s">
        <v>365</v>
      </c>
      <c r="J186" s="2253" t="s">
        <v>366</v>
      </c>
      <c r="K186" s="2255" t="s">
        <v>367</v>
      </c>
      <c r="O186" s="2148"/>
      <c r="AD186" s="2122"/>
      <c r="AH186" s="2122"/>
      <c r="BC186" s="2123"/>
      <c r="BD186" s="2126"/>
      <c r="BE186" s="2126"/>
      <c r="BF186" s="2126"/>
      <c r="BG186" s="2124"/>
      <c r="BQ186" s="2125"/>
      <c r="BR186" s="2126"/>
    </row>
    <row r="187" spans="2:70" s="2121" customFormat="1" ht="12.75" hidden="1" customHeight="1" thickBot="1" x14ac:dyDescent="0.25">
      <c r="B187" s="2291"/>
      <c r="C187" s="2257"/>
      <c r="D187" s="2256"/>
      <c r="E187" s="2256"/>
      <c r="F187" s="2256"/>
      <c r="G187" s="2256"/>
      <c r="H187" s="2257"/>
      <c r="I187" s="2257"/>
      <c r="J187" s="2257"/>
      <c r="K187" s="2258"/>
      <c r="O187" s="2148"/>
      <c r="AD187" s="2122"/>
      <c r="AH187" s="2122"/>
      <c r="BC187" s="2123"/>
      <c r="BD187" s="2126"/>
      <c r="BE187" s="2126"/>
      <c r="BF187" s="2126"/>
      <c r="BG187" s="2124"/>
      <c r="BQ187" s="2125"/>
      <c r="BR187" s="2126"/>
    </row>
    <row r="188" spans="2:70" s="2121" customFormat="1" ht="12.75" hidden="1" customHeight="1" thickTop="1" x14ac:dyDescent="0.2">
      <c r="B188" s="2292"/>
      <c r="C188" s="2259"/>
      <c r="D188" s="2092"/>
      <c r="E188" s="2092"/>
      <c r="F188" s="2092"/>
      <c r="G188" s="2092"/>
      <c r="H188" s="2259"/>
      <c r="I188" s="2260"/>
      <c r="J188" s="2259"/>
      <c r="K188" s="2261"/>
      <c r="O188" s="2148"/>
      <c r="AD188" s="2122"/>
      <c r="AH188" s="2122"/>
      <c r="BC188" s="2123"/>
      <c r="BD188" s="2126"/>
      <c r="BE188" s="2126"/>
      <c r="BF188" s="2126"/>
      <c r="BG188" s="2124"/>
      <c r="BQ188" s="2125"/>
      <c r="BR188" s="2126"/>
    </row>
    <row r="189" spans="2:70" s="2121" customFormat="1" ht="12.75" hidden="1" customHeight="1" x14ac:dyDescent="0.2">
      <c r="B189" s="2289" t="s">
        <v>368</v>
      </c>
      <c r="C189" s="2290"/>
      <c r="D189" s="2293" t="s">
        <v>369</v>
      </c>
      <c r="E189" s="2092"/>
      <c r="F189" s="2092"/>
      <c r="G189" s="2092"/>
      <c r="H189" s="2259"/>
      <c r="I189" s="2260"/>
      <c r="J189" s="2259"/>
      <c r="K189" s="2261"/>
      <c r="O189" s="2148"/>
      <c r="AD189" s="2122"/>
      <c r="AH189" s="2122"/>
      <c r="BC189" s="2123"/>
      <c r="BD189" s="2126"/>
      <c r="BE189" s="2126"/>
      <c r="BF189" s="2126"/>
      <c r="BG189" s="2124"/>
      <c r="BQ189" s="2125"/>
      <c r="BR189" s="2126"/>
    </row>
    <row r="190" spans="2:70" s="2121" customFormat="1" ht="12.75" hidden="1" customHeight="1" x14ac:dyDescent="0.2">
      <c r="B190" s="2292" t="s">
        <v>370</v>
      </c>
      <c r="C190" s="2259"/>
      <c r="D190" s="2092" t="s">
        <v>371</v>
      </c>
      <c r="E190" s="2092"/>
      <c r="F190" s="2092"/>
      <c r="G190" s="2092"/>
      <c r="H190" s="2262" t="s">
        <v>450</v>
      </c>
      <c r="I190" s="2263"/>
      <c r="J190" s="2264"/>
      <c r="K190" s="2255"/>
      <c r="O190" s="2148"/>
      <c r="AD190" s="2122"/>
      <c r="AH190" s="2122"/>
      <c r="BC190" s="2123"/>
      <c r="BD190" s="2126"/>
      <c r="BE190" s="2126"/>
      <c r="BF190" s="2126"/>
      <c r="BG190" s="2124"/>
      <c r="BQ190" s="2125"/>
      <c r="BR190" s="2126"/>
    </row>
    <row r="191" spans="2:70" s="2121" customFormat="1" ht="12.75" hidden="1" customHeight="1" x14ac:dyDescent="0.2">
      <c r="B191" s="2292" t="s">
        <v>373</v>
      </c>
      <c r="C191" s="2259"/>
      <c r="D191" s="2092" t="s">
        <v>107</v>
      </c>
      <c r="E191" s="2092"/>
      <c r="F191" s="2092"/>
      <c r="G191" s="2092"/>
      <c r="H191" s="2266" t="s">
        <v>374</v>
      </c>
      <c r="I191" s="2267">
        <v>40</v>
      </c>
      <c r="J191" s="2266" t="s">
        <v>375</v>
      </c>
      <c r="K191" s="2261"/>
      <c r="O191" s="2148"/>
      <c r="AD191" s="2122"/>
      <c r="AH191" s="2122"/>
      <c r="BC191" s="2123"/>
      <c r="BD191" s="2126"/>
      <c r="BE191" s="2126"/>
      <c r="BF191" s="2126"/>
      <c r="BG191" s="2124"/>
      <c r="BQ191" s="2125"/>
      <c r="BR191" s="2126"/>
    </row>
    <row r="192" spans="2:70" s="2121" customFormat="1" ht="12.75" hidden="1" customHeight="1" x14ac:dyDescent="0.2">
      <c r="B192" s="2292" t="s">
        <v>376</v>
      </c>
      <c r="C192" s="2259"/>
      <c r="D192" s="2092" t="s">
        <v>307</v>
      </c>
      <c r="E192" s="2092"/>
      <c r="F192" s="2092"/>
      <c r="G192" s="2092"/>
      <c r="H192" s="2266" t="s">
        <v>377</v>
      </c>
      <c r="I192" s="2287">
        <v>250</v>
      </c>
      <c r="J192" s="2266" t="s">
        <v>451</v>
      </c>
      <c r="K192" s="2261"/>
      <c r="O192" s="2148"/>
      <c r="AD192" s="2122"/>
      <c r="AH192" s="2122"/>
      <c r="BC192" s="2123">
        <f>I196</f>
        <v>5</v>
      </c>
      <c r="BD192" s="2127">
        <f>I193</f>
        <v>5</v>
      </c>
      <c r="BE192" s="2128">
        <v>0</v>
      </c>
      <c r="BF192" s="2128">
        <f>I195</f>
        <v>73019633</v>
      </c>
      <c r="BG192" s="2129"/>
      <c r="BQ192" s="2125"/>
      <c r="BR192" s="2126"/>
    </row>
    <row r="193" spans="2:70" s="2121" customFormat="1" ht="12.75" hidden="1" customHeight="1" x14ac:dyDescent="0.2">
      <c r="B193" s="2292" t="s">
        <v>379</v>
      </c>
      <c r="C193" s="2259"/>
      <c r="D193" s="2092" t="s">
        <v>380</v>
      </c>
      <c r="E193" s="2092" t="s">
        <v>381</v>
      </c>
      <c r="F193" s="2092"/>
      <c r="G193" s="2092"/>
      <c r="H193" s="2266" t="s">
        <v>41</v>
      </c>
      <c r="I193" s="2267">
        <v>5</v>
      </c>
      <c r="J193" s="2266" t="s">
        <v>231</v>
      </c>
      <c r="K193" s="2261"/>
      <c r="O193" s="2148"/>
      <c r="AD193" s="2122"/>
      <c r="AH193" s="2122"/>
      <c r="BC193" s="2130" t="s">
        <v>452</v>
      </c>
      <c r="BD193" s="2131">
        <f t="shared" ref="BD193:BD206" si="6">BD192-1</f>
        <v>4</v>
      </c>
      <c r="BE193" s="2132">
        <f t="shared" ref="BE193:BE206" si="7">BE192+1</f>
        <v>1</v>
      </c>
      <c r="BF193" s="2132">
        <f>BF192-(SUM(BD192:BD192)/BD207)*(BF192)</f>
        <v>48679755.333333336</v>
      </c>
      <c r="BG193" s="2124"/>
      <c r="BQ193" s="2125"/>
      <c r="BR193" s="2126"/>
    </row>
    <row r="194" spans="2:70" s="2121" customFormat="1" ht="12.75" hidden="1" customHeight="1" x14ac:dyDescent="0.2">
      <c r="B194" s="2292"/>
      <c r="C194" s="2259"/>
      <c r="D194" s="2092"/>
      <c r="E194" s="2092" t="s">
        <v>383</v>
      </c>
      <c r="F194" s="2092"/>
      <c r="G194" s="2092"/>
      <c r="H194" s="2266" t="s">
        <v>384</v>
      </c>
      <c r="I194" s="2267">
        <f>10000/I193</f>
        <v>2000</v>
      </c>
      <c r="J194" s="2266" t="s">
        <v>247</v>
      </c>
      <c r="K194" s="2261"/>
      <c r="L194" s="2121">
        <v>14602.75</v>
      </c>
      <c r="O194" s="2148"/>
      <c r="AD194" s="2122"/>
      <c r="AH194" s="2122"/>
      <c r="BC194" s="2123"/>
      <c r="BD194" s="2131">
        <f t="shared" si="6"/>
        <v>3</v>
      </c>
      <c r="BE194" s="2132">
        <f t="shared" si="7"/>
        <v>2</v>
      </c>
      <c r="BF194" s="2132">
        <f>BF192-(SUM(BD192:BD193)/BD207)*(BF192)</f>
        <v>29207853.200000003</v>
      </c>
      <c r="BG194" s="2124"/>
      <c r="BQ194" s="2125"/>
      <c r="BR194" s="2126"/>
    </row>
    <row r="195" spans="2:70" s="2121" customFormat="1" ht="12.75" hidden="1" customHeight="1" x14ac:dyDescent="0.2">
      <c r="B195" s="2292"/>
      <c r="C195" s="2259"/>
      <c r="D195" s="2092"/>
      <c r="E195" s="2092" t="s">
        <v>385</v>
      </c>
      <c r="F195" s="2092"/>
      <c r="G195" s="2092"/>
      <c r="H195" s="2266" t="s">
        <v>53</v>
      </c>
      <c r="I195" s="2268">
        <v>73019633</v>
      </c>
      <c r="J195" s="2266" t="s">
        <v>386</v>
      </c>
      <c r="K195" s="2261"/>
      <c r="L195" s="2121">
        <f>I195/L194</f>
        <v>5000.4028693225591</v>
      </c>
      <c r="O195" s="2148"/>
      <c r="AD195" s="2122"/>
      <c r="AH195" s="2122"/>
      <c r="BC195" s="2123"/>
      <c r="BD195" s="2131">
        <f t="shared" si="6"/>
        <v>2</v>
      </c>
      <c r="BE195" s="2132">
        <f t="shared" si="7"/>
        <v>3</v>
      </c>
      <c r="BF195" s="2132">
        <f>BF192-(SUM(BD192:BD194)/BD207)*(BF192)</f>
        <v>14603926.599999994</v>
      </c>
      <c r="BG195" s="2124"/>
      <c r="BQ195" s="2125"/>
      <c r="BR195" s="2126"/>
    </row>
    <row r="196" spans="2:70" s="2121" customFormat="1" ht="12.75" hidden="1" customHeight="1" x14ac:dyDescent="0.2">
      <c r="B196" s="2292" t="s">
        <v>387</v>
      </c>
      <c r="C196" s="2259"/>
      <c r="D196" s="2092" t="s">
        <v>388</v>
      </c>
      <c r="E196" s="2092" t="s">
        <v>381</v>
      </c>
      <c r="F196" s="2092"/>
      <c r="G196" s="2092"/>
      <c r="H196" s="2266" t="s">
        <v>389</v>
      </c>
      <c r="I196" s="2285">
        <v>5</v>
      </c>
      <c r="J196" s="2120" t="s">
        <v>231</v>
      </c>
      <c r="K196" s="2270" t="str">
        <f>IF(I196=I193,"Alat Baru","Sewa Alat")</f>
        <v>Alat Baru</v>
      </c>
      <c r="O196" s="2148"/>
      <c r="AD196" s="2122"/>
      <c r="AH196" s="2122"/>
      <c r="BC196" s="2123"/>
      <c r="BD196" s="2131">
        <f t="shared" si="6"/>
        <v>1</v>
      </c>
      <c r="BE196" s="2132">
        <f t="shared" si="7"/>
        <v>4</v>
      </c>
      <c r="BF196" s="2132">
        <f>BF192-(SUM(BD192:BD195)/BD207)*(BF192)</f>
        <v>4867975.5333333313</v>
      </c>
      <c r="BG196" s="2124"/>
      <c r="BQ196" s="2125"/>
      <c r="BR196" s="2126"/>
    </row>
    <row r="197" spans="2:70" s="2121" customFormat="1" ht="12.75" hidden="1" customHeight="1" x14ac:dyDescent="0.2">
      <c r="B197" s="2292"/>
      <c r="C197" s="2259"/>
      <c r="D197" s="2294"/>
      <c r="E197" s="2092" t="s">
        <v>390</v>
      </c>
      <c r="F197" s="2092"/>
      <c r="G197" s="2092"/>
      <c r="H197" s="2266" t="s">
        <v>391</v>
      </c>
      <c r="I197" s="2271">
        <f>IF(I196=I193,I194,0.8*I194)</f>
        <v>2000</v>
      </c>
      <c r="J197" s="2266" t="s">
        <v>247</v>
      </c>
      <c r="K197" s="2272" t="str">
        <f>K196</f>
        <v>Alat Baru</v>
      </c>
      <c r="O197" s="2148"/>
      <c r="AD197" s="2122"/>
      <c r="AH197" s="2122"/>
      <c r="BC197" s="2123"/>
      <c r="BD197" s="2131">
        <f t="shared" si="6"/>
        <v>0</v>
      </c>
      <c r="BE197" s="2132">
        <f t="shared" si="7"/>
        <v>5</v>
      </c>
      <c r="BF197" s="2132">
        <f>BF192-(SUM(BD192:BD196)/BD207)*(BF192)</f>
        <v>0</v>
      </c>
      <c r="BG197" s="2124"/>
      <c r="BQ197" s="2125"/>
      <c r="BR197" s="2126"/>
    </row>
    <row r="198" spans="2:70" s="2121" customFormat="1" ht="12.75" hidden="1" customHeight="1" x14ac:dyDescent="0.2">
      <c r="B198" s="2292"/>
      <c r="C198" s="2259"/>
      <c r="D198" s="2294"/>
      <c r="E198" s="2092" t="s">
        <v>392</v>
      </c>
      <c r="F198" s="2092"/>
      <c r="G198" s="2092"/>
      <c r="H198" s="2266" t="s">
        <v>393</v>
      </c>
      <c r="I198" s="2271">
        <f>BF209</f>
        <v>73019633</v>
      </c>
      <c r="J198" s="2266" t="s">
        <v>386</v>
      </c>
      <c r="K198" s="2272" t="str">
        <f>K197</f>
        <v>Alat Baru</v>
      </c>
      <c r="O198" s="2148"/>
      <c r="AD198" s="2122"/>
      <c r="AH198" s="2122"/>
      <c r="BC198" s="2123"/>
      <c r="BD198" s="2131">
        <f t="shared" si="6"/>
        <v>-1</v>
      </c>
      <c r="BE198" s="2132">
        <f t="shared" si="7"/>
        <v>6</v>
      </c>
      <c r="BF198" s="2132">
        <f>BF192-(SUM(BD192:BD197)/BD207)*(BF192)</f>
        <v>0</v>
      </c>
      <c r="BG198" s="2124"/>
      <c r="BQ198" s="2125"/>
      <c r="BR198" s="2126"/>
    </row>
    <row r="199" spans="2:70" s="2121" customFormat="1" ht="12.75" hidden="1" customHeight="1" x14ac:dyDescent="0.2">
      <c r="B199" s="2295"/>
      <c r="C199" s="2290"/>
      <c r="D199" s="2293"/>
      <c r="E199" s="2092"/>
      <c r="F199" s="2092"/>
      <c r="G199" s="2092"/>
      <c r="H199" s="2259"/>
      <c r="I199" s="2274"/>
      <c r="J199" s="2259"/>
      <c r="K199" s="2261"/>
      <c r="O199" s="2148"/>
      <c r="AD199" s="2122"/>
      <c r="AH199" s="2122"/>
      <c r="BC199" s="2123"/>
      <c r="BD199" s="2131">
        <f t="shared" si="6"/>
        <v>-2</v>
      </c>
      <c r="BE199" s="2132">
        <f t="shared" si="7"/>
        <v>7</v>
      </c>
      <c r="BF199" s="2132">
        <f>BF192-(SUM(BD192:BD198)/BD207)*(BF192)</f>
        <v>4867975.5333333313</v>
      </c>
      <c r="BG199" s="2124"/>
      <c r="BQ199" s="2125"/>
      <c r="BR199" s="2126"/>
    </row>
    <row r="200" spans="2:70" s="2121" customFormat="1" ht="12.75" hidden="1" customHeight="1" x14ac:dyDescent="0.2">
      <c r="B200" s="2289" t="s">
        <v>394</v>
      </c>
      <c r="C200" s="2290"/>
      <c r="D200" s="2293" t="s">
        <v>395</v>
      </c>
      <c r="E200" s="2092"/>
      <c r="F200" s="2092"/>
      <c r="G200" s="2092"/>
      <c r="H200" s="2259"/>
      <c r="I200" s="2274"/>
      <c r="J200" s="2259"/>
      <c r="K200" s="2261"/>
      <c r="O200" s="2148"/>
      <c r="AD200" s="2122"/>
      <c r="AH200" s="2122"/>
      <c r="BC200" s="2123"/>
      <c r="BD200" s="2131">
        <f t="shared" si="6"/>
        <v>-3</v>
      </c>
      <c r="BE200" s="2132">
        <f t="shared" si="7"/>
        <v>8</v>
      </c>
      <c r="BF200" s="2132">
        <f>BF192-(SUM(BD192:BD199)/BD207)*(BF192)</f>
        <v>14603926.599999994</v>
      </c>
      <c r="BG200" s="2124"/>
      <c r="BQ200" s="2125"/>
      <c r="BR200" s="2126"/>
    </row>
    <row r="201" spans="2:70" s="2121" customFormat="1" ht="12.75" hidden="1" customHeight="1" x14ac:dyDescent="0.2">
      <c r="B201" s="2292" t="s">
        <v>370</v>
      </c>
      <c r="C201" s="2259"/>
      <c r="D201" s="2092" t="s">
        <v>396</v>
      </c>
      <c r="E201" s="2092" t="s">
        <v>397</v>
      </c>
      <c r="F201" s="2092"/>
      <c r="G201" s="2092"/>
      <c r="H201" s="2266" t="s">
        <v>5</v>
      </c>
      <c r="I201" s="2271">
        <f>0.1*I195</f>
        <v>7301963.3000000007</v>
      </c>
      <c r="J201" s="2266" t="s">
        <v>386</v>
      </c>
      <c r="K201" s="2261"/>
      <c r="O201" s="2148"/>
      <c r="AD201" s="2122"/>
      <c r="AH201" s="2122"/>
      <c r="BC201" s="2123"/>
      <c r="BD201" s="2131">
        <f t="shared" si="6"/>
        <v>-4</v>
      </c>
      <c r="BE201" s="2132">
        <f t="shared" si="7"/>
        <v>9</v>
      </c>
      <c r="BF201" s="2132">
        <f>BF192-(SUM(BD192:BD200)/BD207)*(BF192)</f>
        <v>29207853.200000003</v>
      </c>
      <c r="BG201" s="2124"/>
      <c r="BQ201" s="2125"/>
      <c r="BR201" s="2126"/>
    </row>
    <row r="202" spans="2:70" s="2121" customFormat="1" ht="12.75" hidden="1" customHeight="1" x14ac:dyDescent="0.2">
      <c r="B202" s="2292"/>
      <c r="C202" s="2259"/>
      <c r="D202" s="2092"/>
      <c r="E202" s="2092"/>
      <c r="F202" s="2092"/>
      <c r="G202" s="2092"/>
      <c r="H202" s="2259"/>
      <c r="I202" s="2259"/>
      <c r="J202" s="2259"/>
      <c r="K202" s="2261"/>
      <c r="O202" s="2148"/>
      <c r="AD202" s="2122"/>
      <c r="AH202" s="2122"/>
      <c r="BC202" s="2123"/>
      <c r="BD202" s="2131">
        <f t="shared" si="6"/>
        <v>-5</v>
      </c>
      <c r="BE202" s="2132">
        <f t="shared" si="7"/>
        <v>10</v>
      </c>
      <c r="BF202" s="2132">
        <f>BF192-(SUM(BD192:BD201)/BD207)*(BF192)</f>
        <v>48679755.333333336</v>
      </c>
      <c r="BG202" s="2124"/>
      <c r="BQ202" s="2125"/>
      <c r="BR202" s="2126"/>
    </row>
    <row r="203" spans="2:70" s="2121" customFormat="1" ht="12.75" hidden="1" customHeight="1" x14ac:dyDescent="0.2">
      <c r="B203" s="2292" t="s">
        <v>373</v>
      </c>
      <c r="C203" s="2259"/>
      <c r="D203" s="2092" t="s">
        <v>398</v>
      </c>
      <c r="E203" s="2092"/>
      <c r="F203" s="2273" t="s">
        <v>399</v>
      </c>
      <c r="G203" s="2092"/>
      <c r="H203" s="2266" t="s">
        <v>6</v>
      </c>
      <c r="I203" s="2274">
        <f>IF(I196=0,0,(I232/100*(1+I232/100)^I196)/((1+I232/100)^I196-1))</f>
        <v>0.26379748079474524</v>
      </c>
      <c r="J203" s="2266" t="s">
        <v>149</v>
      </c>
      <c r="K203" s="2261"/>
      <c r="O203" s="2148"/>
      <c r="AD203" s="2122"/>
      <c r="AH203" s="2122"/>
      <c r="BC203" s="2123"/>
      <c r="BD203" s="2131">
        <f t="shared" si="6"/>
        <v>-6</v>
      </c>
      <c r="BE203" s="2132">
        <f t="shared" si="7"/>
        <v>11</v>
      </c>
      <c r="BF203" s="2132">
        <f>BF192-(SUM(BD192:BD202)/BD207)*(BF192)</f>
        <v>73019633</v>
      </c>
      <c r="BG203" s="2124"/>
      <c r="BQ203" s="2125"/>
      <c r="BR203" s="2126"/>
    </row>
    <row r="204" spans="2:70" s="2121" customFormat="1" ht="12.75" hidden="1" customHeight="1" x14ac:dyDescent="0.2">
      <c r="B204" s="2292"/>
      <c r="C204" s="2259"/>
      <c r="D204" s="2092"/>
      <c r="E204" s="2092"/>
      <c r="F204" s="2099" t="s">
        <v>400</v>
      </c>
      <c r="G204" s="2092"/>
      <c r="H204" s="2259"/>
      <c r="I204" s="2260"/>
      <c r="J204" s="2259"/>
      <c r="K204" s="2261"/>
      <c r="O204" s="2148"/>
      <c r="AD204" s="2122"/>
      <c r="AH204" s="2122"/>
      <c r="BC204" s="2123"/>
      <c r="BD204" s="2131">
        <f t="shared" si="6"/>
        <v>-7</v>
      </c>
      <c r="BE204" s="2132">
        <f t="shared" si="7"/>
        <v>12</v>
      </c>
      <c r="BF204" s="2132">
        <f>BF192-(SUM(BD192:BD203)/BD207)*(BF192)</f>
        <v>102227486.2</v>
      </c>
      <c r="BG204" s="2124"/>
      <c r="BQ204" s="2125"/>
      <c r="BR204" s="2126"/>
    </row>
    <row r="205" spans="2:70" s="2121" customFormat="1" ht="12.75" hidden="1" customHeight="1" x14ac:dyDescent="0.2">
      <c r="B205" s="2292" t="s">
        <v>376</v>
      </c>
      <c r="C205" s="2259"/>
      <c r="D205" s="2092" t="s">
        <v>401</v>
      </c>
      <c r="E205" s="2092"/>
      <c r="F205" s="2092"/>
      <c r="G205" s="2092"/>
      <c r="H205" s="2259"/>
      <c r="I205" s="2260"/>
      <c r="J205" s="2259"/>
      <c r="K205" s="2261"/>
      <c r="O205" s="2148"/>
      <c r="AD205" s="2122"/>
      <c r="AH205" s="2122"/>
      <c r="BC205" s="2123"/>
      <c r="BD205" s="2131">
        <f t="shared" si="6"/>
        <v>-8</v>
      </c>
      <c r="BE205" s="2132">
        <f t="shared" si="7"/>
        <v>13</v>
      </c>
      <c r="BF205" s="2132">
        <f>BF192-(SUM(BD192:BD204)/BD207)*(BF192)</f>
        <v>136303314.93333334</v>
      </c>
      <c r="BG205" s="2124"/>
      <c r="BQ205" s="2125"/>
      <c r="BR205" s="2126"/>
    </row>
    <row r="206" spans="2:70" s="2121" customFormat="1" ht="12.75" hidden="1" customHeight="1" x14ac:dyDescent="0.2">
      <c r="B206" s="2292"/>
      <c r="C206" s="2259"/>
      <c r="D206" s="2092" t="s">
        <v>402</v>
      </c>
      <c r="E206" s="2092"/>
      <c r="F206" s="2273" t="s">
        <v>403</v>
      </c>
      <c r="G206" s="2092"/>
      <c r="H206" s="2266" t="s">
        <v>7</v>
      </c>
      <c r="I206" s="2260">
        <f>IF(I197=0,0,((I198-I201)*I203)/I197)</f>
        <v>8668.0778552805823</v>
      </c>
      <c r="J206" s="2266" t="s">
        <v>386</v>
      </c>
      <c r="K206" s="2261"/>
      <c r="O206" s="2148"/>
      <c r="AD206" s="2122"/>
      <c r="AH206" s="2122"/>
      <c r="BC206" s="2123"/>
      <c r="BD206" s="2134">
        <f t="shared" si="6"/>
        <v>-9</v>
      </c>
      <c r="BE206" s="2135">
        <f t="shared" si="7"/>
        <v>14</v>
      </c>
      <c r="BF206" s="2135">
        <f>BF192-(SUM(BD192:BD205)/BD207)*(BF192)</f>
        <v>175247119.19999999</v>
      </c>
      <c r="BG206" s="2124"/>
      <c r="BQ206" s="2125"/>
      <c r="BR206" s="2126"/>
    </row>
    <row r="207" spans="2:70" s="2121" customFormat="1" ht="12.75" hidden="1" customHeight="1" x14ac:dyDescent="0.2">
      <c r="B207" s="2292"/>
      <c r="C207" s="2259"/>
      <c r="D207" s="2092"/>
      <c r="E207" s="2092"/>
      <c r="F207" s="2099" t="s">
        <v>391</v>
      </c>
      <c r="G207" s="2092"/>
      <c r="H207" s="2259"/>
      <c r="I207" s="2260"/>
      <c r="J207" s="2259"/>
      <c r="K207" s="2261"/>
      <c r="O207" s="2148"/>
      <c r="AD207" s="2122"/>
      <c r="AH207" s="2122"/>
      <c r="BC207" s="2123"/>
      <c r="BD207" s="2136">
        <f>IF(BD193=0,SUM(BD192:BD193),IF(BD194=0,SUM(BD192:BD194),IF(BD195=0,SUM(BD192:BD195),IF(BD196=0,SUM(BD192:BD196),IF(BD197=0,SUM(BD192:BD197),IF(BD198=0,SUM(BD192:BD198),IF(BD199=0,SUM(BD192:BD199),+BE207)))))))</f>
        <v>15</v>
      </c>
      <c r="BE207" s="2137" t="str">
        <f>IF(BD200=0,SUM(BD192:BD200),IF(BD201=0,SUM(BD192:BD201),IF(BD202=0,SUM(BD192:BD202),IF(BD203=0,SUM(BD192:BD203),IF(BD204=0,SUM(BD192:BD204),IF(BD205=0,SUM(BD192:BD205),IF(BD206=0,SUM(BD192:BD206),"&gt; 15th ?")))))))</f>
        <v>&gt; 15th ?</v>
      </c>
      <c r="BF207" s="2138"/>
      <c r="BG207" s="2139"/>
      <c r="BQ207" s="2125"/>
      <c r="BR207" s="2126"/>
    </row>
    <row r="208" spans="2:70" s="2121" customFormat="1" ht="12.75" hidden="1" customHeight="1" x14ac:dyDescent="0.2">
      <c r="B208" s="2292"/>
      <c r="C208" s="2259"/>
      <c r="D208" s="2092"/>
      <c r="E208" s="2092"/>
      <c r="F208" s="2092"/>
      <c r="G208" s="2092"/>
      <c r="H208" s="2259"/>
      <c r="I208" s="2260"/>
      <c r="J208" s="2259"/>
      <c r="K208" s="2261"/>
      <c r="O208" s="2148"/>
      <c r="AD208" s="2122"/>
      <c r="AH208" s="2122"/>
      <c r="BC208" s="2123"/>
      <c r="BD208" s="2140" t="s">
        <v>404</v>
      </c>
      <c r="BE208" s="2141"/>
      <c r="BF208" s="2142" t="str">
        <f>IF(BC192=0,"Habis Umur",IF(BC192=BD192,"Alat Baru","Sewa Alat"))</f>
        <v>Alat Baru</v>
      </c>
      <c r="BG208" s="2139"/>
      <c r="BQ208" s="2125"/>
      <c r="BR208" s="2126"/>
    </row>
    <row r="209" spans="2:70" s="2121" customFormat="1" ht="12.75" hidden="1" customHeight="1" x14ac:dyDescent="0.2">
      <c r="B209" s="2292"/>
      <c r="C209" s="2259"/>
      <c r="D209" s="2092" t="s">
        <v>405</v>
      </c>
      <c r="E209" s="2275">
        <v>2E-3</v>
      </c>
      <c r="F209" s="2275" t="s">
        <v>406</v>
      </c>
      <c r="G209" s="2092"/>
      <c r="H209" s="2266" t="s">
        <v>63</v>
      </c>
      <c r="I209" s="2260">
        <f>IF(I197=0,0,($E$32*I198)/I197)</f>
        <v>73.019632999999999</v>
      </c>
      <c r="J209" s="2266" t="s">
        <v>386</v>
      </c>
      <c r="K209" s="2261"/>
      <c r="O209" s="2148"/>
      <c r="AD209" s="2122"/>
      <c r="AH209" s="2122"/>
      <c r="BC209" s="2123"/>
      <c r="BD209" s="2143" t="s">
        <v>407</v>
      </c>
      <c r="BE209" s="2144"/>
      <c r="BF209" s="3243">
        <f>IF(BD192-BC192=BE192,+BF192,IF(BD192-BC192=BE193,+BF193,IF(BD192-BC192=BE194,+BF194,IF(BD192-BC192=BE195,+BF195,IF(BD192-BC192=BE196,+BF196,IF(BD192-BC192=BE197,+BF197,IF(BD192-BC192=BE198,+BF198,IF(BD192-BC192=BE199,+BF199,""))))))))</f>
        <v>73019633</v>
      </c>
      <c r="BG209" s="2145"/>
      <c r="BQ209" s="2125"/>
      <c r="BR209" s="2126"/>
    </row>
    <row r="210" spans="2:70" s="2121" customFormat="1" ht="12.75" hidden="1" customHeight="1" x14ac:dyDescent="0.2">
      <c r="B210" s="2292"/>
      <c r="C210" s="2259"/>
      <c r="D210" s="2092"/>
      <c r="E210" s="2092"/>
      <c r="F210" s="2092" t="s">
        <v>391</v>
      </c>
      <c r="G210" s="2092"/>
      <c r="H210" s="2259"/>
      <c r="I210" s="2260"/>
      <c r="J210" s="2259"/>
      <c r="K210" s="2261"/>
      <c r="O210" s="2148"/>
      <c r="AD210" s="2122"/>
      <c r="AH210" s="2122"/>
      <c r="BC210" s="2123"/>
      <c r="BD210" s="2146" t="s">
        <v>408</v>
      </c>
      <c r="BE210" s="2147"/>
      <c r="BF210" s="3244"/>
      <c r="BG210" s="2145"/>
      <c r="BQ210" s="2125"/>
      <c r="BR210" s="2126"/>
    </row>
    <row r="211" spans="2:70" s="2121" customFormat="1" ht="12.75" hidden="1" customHeight="1" x14ac:dyDescent="0.2">
      <c r="B211" s="2292"/>
      <c r="C211" s="2259"/>
      <c r="D211" s="2092"/>
      <c r="E211" s="2092"/>
      <c r="F211" s="2092"/>
      <c r="G211" s="2092"/>
      <c r="H211" s="2259"/>
      <c r="I211" s="2260"/>
      <c r="J211" s="2259"/>
      <c r="K211" s="2261"/>
      <c r="O211" s="2148"/>
      <c r="AD211" s="2122"/>
      <c r="AH211" s="2122"/>
      <c r="BC211" s="2123"/>
      <c r="BD211" s="2126"/>
      <c r="BE211" s="2126"/>
      <c r="BF211" s="2126"/>
      <c r="BG211" s="2124"/>
      <c r="BQ211" s="2125"/>
      <c r="BR211" s="2126"/>
    </row>
    <row r="212" spans="2:70" s="2121" customFormat="1" ht="12.75" hidden="1" customHeight="1" x14ac:dyDescent="0.2">
      <c r="B212" s="2292"/>
      <c r="C212" s="2259"/>
      <c r="D212" s="2293" t="s">
        <v>409</v>
      </c>
      <c r="E212" s="2092"/>
      <c r="F212" s="2120" t="s">
        <v>410</v>
      </c>
      <c r="G212" s="2092"/>
      <c r="H212" s="2266" t="s">
        <v>311</v>
      </c>
      <c r="I212" s="2276">
        <f>I209+I206</f>
        <v>8741.0974882805822</v>
      </c>
      <c r="J212" s="2266" t="s">
        <v>386</v>
      </c>
      <c r="K212" s="2261"/>
      <c r="O212" s="2148"/>
      <c r="AD212" s="2122"/>
      <c r="AH212" s="2122"/>
      <c r="BC212" s="2123"/>
      <c r="BD212" s="2126"/>
      <c r="BE212" s="2126"/>
      <c r="BF212" s="2126"/>
      <c r="BG212" s="2124"/>
      <c r="BQ212" s="2125"/>
      <c r="BR212" s="2126"/>
    </row>
    <row r="213" spans="2:70" s="2121" customFormat="1" ht="12.75" hidden="1" customHeight="1" x14ac:dyDescent="0.2">
      <c r="B213" s="2292"/>
      <c r="C213" s="2259"/>
      <c r="D213" s="2092"/>
      <c r="E213" s="2092"/>
      <c r="F213" s="2092"/>
      <c r="G213" s="2092"/>
      <c r="H213" s="2259"/>
      <c r="I213" s="2260"/>
      <c r="J213" s="2259"/>
      <c r="K213" s="2261"/>
      <c r="O213" s="2148"/>
      <c r="AD213" s="2122"/>
      <c r="AH213" s="2122"/>
      <c r="BC213" s="2123"/>
      <c r="BD213" s="2126"/>
      <c r="BE213" s="2126"/>
      <c r="BF213" s="2126"/>
      <c r="BG213" s="2124"/>
      <c r="BQ213" s="2125"/>
      <c r="BR213" s="2126"/>
    </row>
    <row r="214" spans="2:70" s="2121" customFormat="1" ht="12.75" hidden="1" customHeight="1" x14ac:dyDescent="0.2">
      <c r="B214" s="2289" t="s">
        <v>411</v>
      </c>
      <c r="C214" s="2290"/>
      <c r="D214" s="2293" t="s">
        <v>412</v>
      </c>
      <c r="E214" s="2092"/>
      <c r="F214" s="2092"/>
      <c r="G214" s="2092"/>
      <c r="H214" s="2259"/>
      <c r="I214" s="2260"/>
      <c r="J214" s="2259"/>
      <c r="K214" s="2261"/>
      <c r="O214" s="2148"/>
      <c r="AD214" s="2122"/>
      <c r="AH214" s="2122"/>
      <c r="BC214" s="2123"/>
      <c r="BD214" s="2126"/>
      <c r="BE214" s="2126"/>
      <c r="BF214" s="2126"/>
      <c r="BG214" s="2124"/>
      <c r="BQ214" s="2125"/>
      <c r="BR214" s="2126"/>
    </row>
    <row r="215" spans="2:70" s="2121" customFormat="1" ht="12.75" hidden="1" customHeight="1" x14ac:dyDescent="0.2">
      <c r="B215" s="2295"/>
      <c r="C215" s="2290"/>
      <c r="D215" s="2293"/>
      <c r="E215" s="2092"/>
      <c r="F215" s="2092"/>
      <c r="G215" s="2092"/>
      <c r="H215" s="2259"/>
      <c r="I215" s="2260"/>
      <c r="J215" s="2259"/>
      <c r="K215" s="2261"/>
      <c r="O215" s="2148"/>
      <c r="AD215" s="2122"/>
      <c r="AH215" s="2122"/>
      <c r="BC215" s="2123"/>
      <c r="BD215" s="2126"/>
      <c r="BE215" s="2126"/>
      <c r="BF215" s="2126"/>
      <c r="BG215" s="2124"/>
      <c r="BQ215" s="2125"/>
      <c r="BR215" s="2126"/>
    </row>
    <row r="216" spans="2:70" s="2121" customFormat="1" ht="12.75" hidden="1" customHeight="1" x14ac:dyDescent="0.2">
      <c r="B216" s="2292" t="s">
        <v>370</v>
      </c>
      <c r="C216" s="2290"/>
      <c r="D216" s="2092" t="s">
        <v>413</v>
      </c>
      <c r="E216" s="2092"/>
      <c r="F216" s="2092"/>
      <c r="G216" s="2092"/>
      <c r="H216" s="2266" t="s">
        <v>313</v>
      </c>
      <c r="I216" s="2260">
        <f>(0.125)*I191*I236</f>
        <v>54485</v>
      </c>
      <c r="J216" s="2266" t="s">
        <v>386</v>
      </c>
      <c r="K216" s="2261"/>
      <c r="O216" s="2148"/>
      <c r="AD216" s="2122"/>
      <c r="AH216" s="2122"/>
      <c r="BC216" s="2123"/>
      <c r="BD216" s="2126"/>
      <c r="BE216" s="2126"/>
      <c r="BF216" s="2126"/>
      <c r="BG216" s="2124"/>
      <c r="BQ216" s="2125"/>
      <c r="BR216" s="2126"/>
    </row>
    <row r="217" spans="2:70" s="2121" customFormat="1" ht="12.75" hidden="1" customHeight="1" x14ac:dyDescent="0.2">
      <c r="B217" s="2292"/>
      <c r="C217" s="2290"/>
      <c r="D217" s="2092"/>
      <c r="E217" s="2092"/>
      <c r="F217" s="2092"/>
      <c r="G217" s="2092"/>
      <c r="H217" s="2259"/>
      <c r="I217" s="2259"/>
      <c r="J217" s="2259"/>
      <c r="K217" s="2261"/>
      <c r="O217" s="2148"/>
      <c r="AD217" s="2122"/>
      <c r="AH217" s="2122"/>
      <c r="BC217" s="2123"/>
      <c r="BD217" s="2126"/>
      <c r="BE217" s="2126"/>
      <c r="BF217" s="2126"/>
      <c r="BG217" s="2124"/>
      <c r="BQ217" s="2125"/>
      <c r="BR217" s="2126"/>
    </row>
    <row r="218" spans="2:70" s="2121" customFormat="1" ht="12.75" hidden="1" customHeight="1" x14ac:dyDescent="0.2">
      <c r="B218" s="2292" t="s">
        <v>373</v>
      </c>
      <c r="C218" s="2259"/>
      <c r="D218" s="2092" t="s">
        <v>414</v>
      </c>
      <c r="E218" s="2092"/>
      <c r="F218" s="2092"/>
      <c r="G218" s="2092"/>
      <c r="H218" s="2266" t="s">
        <v>31</v>
      </c>
      <c r="I218" s="2260">
        <f>(0.025)*I191*I237</f>
        <v>100000</v>
      </c>
      <c r="J218" s="2266" t="s">
        <v>386</v>
      </c>
      <c r="K218" s="2261"/>
      <c r="O218" s="2148"/>
      <c r="AD218" s="2122"/>
      <c r="AH218" s="2122"/>
      <c r="BC218" s="2123"/>
      <c r="BD218" s="2126"/>
      <c r="BE218" s="2126"/>
      <c r="BF218" s="2126"/>
      <c r="BG218" s="2124"/>
      <c r="BQ218" s="2125"/>
      <c r="BR218" s="2126"/>
    </row>
    <row r="219" spans="2:70" s="2121" customFormat="1" ht="12.75" hidden="1" customHeight="1" x14ac:dyDescent="0.2">
      <c r="B219" s="2292"/>
      <c r="C219" s="2259"/>
      <c r="D219" s="2092"/>
      <c r="E219" s="2092"/>
      <c r="F219" s="2092"/>
      <c r="G219" s="2092"/>
      <c r="H219" s="2259"/>
      <c r="I219" s="2260"/>
      <c r="J219" s="2259"/>
      <c r="K219" s="2261"/>
      <c r="O219" s="2148"/>
      <c r="AD219" s="2122"/>
      <c r="AH219" s="2122"/>
      <c r="BC219" s="2123"/>
      <c r="BD219" s="2126"/>
      <c r="BE219" s="2126"/>
      <c r="BF219" s="2126"/>
      <c r="BG219" s="2124"/>
      <c r="BQ219" s="2125"/>
      <c r="BR219" s="2126"/>
    </row>
    <row r="220" spans="2:70" s="2121" customFormat="1" ht="12.75" hidden="1" customHeight="1" x14ac:dyDescent="0.2">
      <c r="B220" s="2292" t="s">
        <v>376</v>
      </c>
      <c r="C220" s="2259"/>
      <c r="D220" s="2092" t="s">
        <v>415</v>
      </c>
      <c r="E220" s="2273" t="s">
        <v>416</v>
      </c>
      <c r="F220" s="2273"/>
      <c r="G220" s="2092"/>
      <c r="H220" s="2266" t="s">
        <v>417</v>
      </c>
      <c r="I220" s="2260">
        <f>IF(I197=0,0,(0.125*I198)/I197)</f>
        <v>4563.7270625000001</v>
      </c>
      <c r="J220" s="2266" t="s">
        <v>386</v>
      </c>
      <c r="K220" s="2261"/>
      <c r="O220" s="2148"/>
      <c r="AD220" s="2122"/>
      <c r="AH220" s="2122"/>
      <c r="BC220" s="2123"/>
      <c r="BD220" s="2126"/>
      <c r="BE220" s="2126"/>
      <c r="BF220" s="2126"/>
      <c r="BG220" s="2124"/>
      <c r="BQ220" s="2125"/>
      <c r="BR220" s="2126"/>
    </row>
    <row r="221" spans="2:70" s="2121" customFormat="1" ht="12.75" hidden="1" customHeight="1" x14ac:dyDescent="0.2">
      <c r="B221" s="2292"/>
      <c r="C221" s="2259"/>
      <c r="D221" s="2092" t="s">
        <v>418</v>
      </c>
      <c r="E221" s="2099" t="s">
        <v>391</v>
      </c>
      <c r="F221" s="2099"/>
      <c r="G221" s="2092"/>
      <c r="H221" s="2259"/>
      <c r="I221" s="2260"/>
      <c r="J221" s="2259"/>
      <c r="K221" s="2261"/>
      <c r="O221" s="2148"/>
      <c r="AD221" s="2122"/>
      <c r="AH221" s="2122"/>
      <c r="BC221" s="2123"/>
      <c r="BD221" s="2126"/>
      <c r="BE221" s="2126"/>
      <c r="BF221" s="2126"/>
      <c r="BG221" s="2124"/>
      <c r="BQ221" s="2125"/>
      <c r="BR221" s="2126"/>
    </row>
    <row r="222" spans="2:70" s="2121" customFormat="1" ht="12.75" hidden="1" customHeight="1" x14ac:dyDescent="0.2">
      <c r="B222" s="2292"/>
      <c r="C222" s="2259"/>
      <c r="D222" s="2092"/>
      <c r="E222" s="2092"/>
      <c r="F222" s="2092"/>
      <c r="G222" s="2092"/>
      <c r="H222" s="2259"/>
      <c r="I222" s="2259"/>
      <c r="J222" s="2259"/>
      <c r="K222" s="2261"/>
      <c r="O222" s="2148"/>
      <c r="AD222" s="2122"/>
      <c r="AH222" s="2122"/>
      <c r="BC222" s="2123"/>
      <c r="BD222" s="2126"/>
      <c r="BE222" s="2126"/>
      <c r="BF222" s="2126"/>
      <c r="BG222" s="2124"/>
      <c r="BQ222" s="2125"/>
      <c r="BR222" s="2126"/>
    </row>
    <row r="223" spans="2:70" s="2121" customFormat="1" ht="12.75" hidden="1" customHeight="1" x14ac:dyDescent="0.2">
      <c r="B223" s="2292" t="s">
        <v>379</v>
      </c>
      <c r="C223" s="2259"/>
      <c r="D223" s="2092" t="s">
        <v>419</v>
      </c>
      <c r="E223" s="2092" t="s">
        <v>420</v>
      </c>
      <c r="F223" s="2092"/>
      <c r="G223" s="2092"/>
      <c r="H223" s="2266" t="s">
        <v>151</v>
      </c>
      <c r="I223" s="2260">
        <f>1*I233</f>
        <v>28125</v>
      </c>
      <c r="J223" s="2266" t="s">
        <v>386</v>
      </c>
      <c r="K223" s="2261"/>
      <c r="O223" s="2148"/>
      <c r="AD223" s="2122"/>
      <c r="AH223" s="2122"/>
      <c r="BC223" s="2123"/>
      <c r="BD223" s="2126"/>
      <c r="BE223" s="2126"/>
      <c r="BF223" s="2126"/>
      <c r="BG223" s="2124"/>
      <c r="BQ223" s="2125"/>
      <c r="BR223" s="2126"/>
    </row>
    <row r="224" spans="2:70" s="2121" customFormat="1" ht="12.75" hidden="1" customHeight="1" x14ac:dyDescent="0.2">
      <c r="B224" s="2292" t="s">
        <v>387</v>
      </c>
      <c r="C224" s="2259"/>
      <c r="D224" s="2092" t="s">
        <v>98</v>
      </c>
      <c r="E224" s="2092" t="s">
        <v>421</v>
      </c>
      <c r="F224" s="2092"/>
      <c r="G224" s="2092"/>
      <c r="H224" s="2266" t="s">
        <v>310</v>
      </c>
      <c r="I224" s="2260">
        <f>1*I234</f>
        <v>22500</v>
      </c>
      <c r="J224" s="2266" t="s">
        <v>386</v>
      </c>
      <c r="K224" s="2261"/>
      <c r="O224" s="2148"/>
      <c r="AD224" s="2122"/>
      <c r="AH224" s="2122"/>
      <c r="BC224" s="2123"/>
      <c r="BD224" s="2126"/>
      <c r="BE224" s="2126"/>
      <c r="BF224" s="2126"/>
      <c r="BG224" s="2124"/>
      <c r="BQ224" s="2125"/>
      <c r="BR224" s="2126"/>
    </row>
    <row r="225" spans="2:70" s="2121" customFormat="1" ht="12.75" hidden="1" customHeight="1" x14ac:dyDescent="0.2">
      <c r="B225" s="2292"/>
      <c r="C225" s="2259"/>
      <c r="D225" s="2092"/>
      <c r="E225" s="2092"/>
      <c r="F225" s="2092"/>
      <c r="G225" s="2092"/>
      <c r="H225" s="2259"/>
      <c r="I225" s="2260"/>
      <c r="J225" s="2259"/>
      <c r="K225" s="2261"/>
      <c r="O225" s="2148"/>
      <c r="AD225" s="2122"/>
      <c r="AH225" s="2122"/>
      <c r="BC225" s="2123"/>
      <c r="BD225" s="2126"/>
      <c r="BE225" s="2126"/>
      <c r="BF225" s="2126"/>
      <c r="BG225" s="2124"/>
      <c r="BQ225" s="2125"/>
      <c r="BR225" s="2126"/>
    </row>
    <row r="226" spans="2:70" s="2121" customFormat="1" ht="12.75" hidden="1" customHeight="1" x14ac:dyDescent="0.2">
      <c r="B226" s="2295"/>
      <c r="C226" s="2290"/>
      <c r="D226" s="2293" t="s">
        <v>422</v>
      </c>
      <c r="E226" s="2092"/>
      <c r="F226" s="2120" t="s">
        <v>423</v>
      </c>
      <c r="G226" s="2092"/>
      <c r="H226" s="2266" t="s">
        <v>150</v>
      </c>
      <c r="I226" s="2276">
        <f>SUM(I216:I224)</f>
        <v>209673.72706249999</v>
      </c>
      <c r="J226" s="2266" t="s">
        <v>386</v>
      </c>
      <c r="K226" s="2261"/>
      <c r="O226" s="2148"/>
      <c r="AD226" s="2122"/>
      <c r="AH226" s="2122"/>
      <c r="BC226" s="2123"/>
      <c r="BD226" s="2126"/>
      <c r="BE226" s="2126"/>
      <c r="BF226" s="2126"/>
      <c r="BG226" s="2124"/>
      <c r="BQ226" s="2125"/>
      <c r="BR226" s="2126"/>
    </row>
    <row r="227" spans="2:70" s="2121" customFormat="1" ht="12.75" hidden="1" customHeight="1" x14ac:dyDescent="0.2">
      <c r="B227" s="2292"/>
      <c r="C227" s="2290"/>
      <c r="D227" s="2296"/>
      <c r="E227" s="2092"/>
      <c r="F227" s="2092"/>
      <c r="G227" s="2092"/>
      <c r="H227" s="2259"/>
      <c r="I227" s="2260"/>
      <c r="J227" s="2259"/>
      <c r="K227" s="2261"/>
      <c r="O227" s="2148"/>
      <c r="AD227" s="2122"/>
      <c r="AH227" s="2122"/>
      <c r="BC227" s="2123"/>
      <c r="BD227" s="2126"/>
      <c r="BE227" s="2126"/>
      <c r="BF227" s="2126"/>
      <c r="BG227" s="2124"/>
      <c r="BQ227" s="2125"/>
      <c r="BR227" s="2126"/>
    </row>
    <row r="228" spans="2:70" s="2121" customFormat="1" ht="12.75" hidden="1" customHeight="1" x14ac:dyDescent="0.2">
      <c r="B228" s="2289" t="s">
        <v>424</v>
      </c>
      <c r="C228" s="2290"/>
      <c r="D228" s="2293" t="s">
        <v>425</v>
      </c>
      <c r="E228" s="2092"/>
      <c r="F228" s="2092"/>
      <c r="G228" s="2092"/>
      <c r="H228" s="2277" t="s">
        <v>426</v>
      </c>
      <c r="I228" s="2278">
        <f>I212+I226</f>
        <v>218414.82455078058</v>
      </c>
      <c r="J228" s="2279" t="s">
        <v>386</v>
      </c>
      <c r="K228" s="2261"/>
      <c r="O228" s="2148"/>
      <c r="AD228" s="2122"/>
      <c r="AH228" s="2122"/>
      <c r="BC228" s="2123"/>
      <c r="BD228" s="2126"/>
      <c r="BE228" s="2126"/>
      <c r="BF228" s="2126"/>
      <c r="BG228" s="2124"/>
      <c r="BQ228" s="2125"/>
      <c r="BR228" s="2126"/>
    </row>
    <row r="229" spans="2:70" s="2121" customFormat="1" ht="12.75" hidden="1" customHeight="1" x14ac:dyDescent="0.2">
      <c r="B229" s="2292"/>
      <c r="C229" s="2259"/>
      <c r="D229" s="2092"/>
      <c r="E229" s="2092"/>
      <c r="F229" s="2092"/>
      <c r="G229" s="2092"/>
      <c r="H229" s="2259"/>
      <c r="I229" s="2260"/>
      <c r="J229" s="2259"/>
      <c r="K229" s="2261"/>
      <c r="O229" s="2148"/>
      <c r="AD229" s="2122"/>
      <c r="AH229" s="2122"/>
      <c r="BC229" s="2123"/>
      <c r="BD229" s="2126"/>
      <c r="BE229" s="2126"/>
      <c r="BF229" s="2126"/>
      <c r="BG229" s="2124"/>
      <c r="BQ229" s="2125"/>
      <c r="BR229" s="2126"/>
    </row>
    <row r="230" spans="2:70" s="2121" customFormat="1" ht="12.75" hidden="1" customHeight="1" x14ac:dyDescent="0.2">
      <c r="B230" s="2292"/>
      <c r="C230" s="2259"/>
      <c r="D230" s="2293"/>
      <c r="E230" s="2092"/>
      <c r="F230" s="2092"/>
      <c r="G230" s="2092"/>
      <c r="H230" s="2259"/>
      <c r="I230" s="2260"/>
      <c r="J230" s="2259"/>
      <c r="K230" s="2261"/>
      <c r="O230" s="2148"/>
      <c r="AD230" s="2122"/>
      <c r="AH230" s="2122"/>
      <c r="BC230" s="2123"/>
      <c r="BD230" s="2126"/>
      <c r="BE230" s="2126"/>
      <c r="BF230" s="2126"/>
      <c r="BG230" s="2124"/>
      <c r="BQ230" s="2125"/>
      <c r="BR230" s="2126"/>
    </row>
    <row r="231" spans="2:70" s="2121" customFormat="1" ht="12.75" hidden="1" customHeight="1" x14ac:dyDescent="0.2">
      <c r="B231" s="2289" t="s">
        <v>427</v>
      </c>
      <c r="C231" s="2290"/>
      <c r="D231" s="2293" t="s">
        <v>428</v>
      </c>
      <c r="E231" s="2092"/>
      <c r="F231" s="2092"/>
      <c r="G231" s="2092"/>
      <c r="H231" s="2259"/>
      <c r="I231" s="2280"/>
      <c r="J231" s="2259"/>
      <c r="K231" s="2261"/>
      <c r="O231" s="2148"/>
      <c r="AD231" s="2122"/>
      <c r="AH231" s="2122"/>
      <c r="BC231" s="2123"/>
      <c r="BD231" s="2126"/>
      <c r="BE231" s="2126"/>
      <c r="BF231" s="2126"/>
      <c r="BG231" s="2124"/>
      <c r="BQ231" s="2125"/>
      <c r="BR231" s="2126"/>
    </row>
    <row r="232" spans="2:70" s="2121" customFormat="1" ht="12.75" hidden="1" customHeight="1" x14ac:dyDescent="0.2">
      <c r="B232" s="2292" t="s">
        <v>370</v>
      </c>
      <c r="C232" s="2259"/>
      <c r="D232" s="2092" t="s">
        <v>358</v>
      </c>
      <c r="E232" s="2092"/>
      <c r="F232" s="2092"/>
      <c r="G232" s="2092"/>
      <c r="H232" s="2266" t="s">
        <v>429</v>
      </c>
      <c r="I232" s="2281">
        <f>ID!$D$9</f>
        <v>10</v>
      </c>
      <c r="J232" s="2266" t="s">
        <v>430</v>
      </c>
      <c r="K232" s="2261"/>
      <c r="O232" s="2148"/>
      <c r="AD232" s="2122"/>
      <c r="AH232" s="2122"/>
      <c r="BC232" s="2123"/>
      <c r="BD232" s="2126"/>
      <c r="BE232" s="2126"/>
      <c r="BF232" s="2126"/>
      <c r="BG232" s="2124"/>
      <c r="BQ232" s="2125"/>
      <c r="BR232" s="2126"/>
    </row>
    <row r="233" spans="2:70" s="2121" customFormat="1" ht="12.75" hidden="1" customHeight="1" x14ac:dyDescent="0.2">
      <c r="B233" s="2292" t="s">
        <v>373</v>
      </c>
      <c r="C233" s="2259"/>
      <c r="D233" s="2092" t="s">
        <v>431</v>
      </c>
      <c r="E233" s="2092"/>
      <c r="F233" s="2092"/>
      <c r="G233" s="2282" t="str">
        <f>VLOOKUP(D233,'[65]Basic Price'!$C$8:$F$78,2,FALSE)</f>
        <v>L.05</v>
      </c>
      <c r="H233" s="2266" t="s">
        <v>432</v>
      </c>
      <c r="I233" s="2281">
        <f>VLOOKUP(D233,UPAH!$C$10:$G$15,5,FALSE)</f>
        <v>28125</v>
      </c>
      <c r="J233" s="2266" t="s">
        <v>433</v>
      </c>
      <c r="K233" s="2261"/>
      <c r="O233" s="2148"/>
      <c r="AD233" s="2122"/>
      <c r="AH233" s="2122"/>
      <c r="BC233" s="2123"/>
      <c r="BD233" s="2126"/>
      <c r="BE233" s="2126"/>
      <c r="BF233" s="2126"/>
      <c r="BG233" s="2124"/>
      <c r="BQ233" s="2125"/>
      <c r="BR233" s="2126"/>
    </row>
    <row r="234" spans="2:70" s="2121" customFormat="1" ht="12.75" hidden="1" customHeight="1" x14ac:dyDescent="0.2">
      <c r="B234" s="2292" t="s">
        <v>376</v>
      </c>
      <c r="C234" s="2259"/>
      <c r="D234" s="2092" t="s">
        <v>98</v>
      </c>
      <c r="E234" s="2092"/>
      <c r="F234" s="2092"/>
      <c r="G234" s="2282" t="str">
        <f>VLOOKUP(D234,'[65]Basic Price'!$C$8:$F$78,2,FALSE)</f>
        <v>L.06</v>
      </c>
      <c r="H234" s="2266" t="s">
        <v>434</v>
      </c>
      <c r="I234" s="2281">
        <f>VLOOKUP(D234,UPAH!$C$10:$G$15,5,FALSE)</f>
        <v>22500</v>
      </c>
      <c r="J234" s="2266" t="s">
        <v>433</v>
      </c>
      <c r="K234" s="2261"/>
      <c r="O234" s="2148"/>
      <c r="AD234" s="2122"/>
      <c r="AH234" s="2122"/>
      <c r="BC234" s="2123"/>
      <c r="BD234" s="2126"/>
      <c r="BE234" s="2126"/>
      <c r="BF234" s="2126"/>
      <c r="BG234" s="2124"/>
      <c r="BQ234" s="2125"/>
      <c r="BR234" s="2126"/>
    </row>
    <row r="235" spans="2:70" s="2121" customFormat="1" ht="12.75" hidden="1" customHeight="1" x14ac:dyDescent="0.2">
      <c r="B235" s="2292" t="s">
        <v>379</v>
      </c>
      <c r="C235" s="2259"/>
      <c r="D235" s="2092" t="s">
        <v>435</v>
      </c>
      <c r="E235" s="2092"/>
      <c r="F235" s="2092"/>
      <c r="G235" s="2282" t="str">
        <f>VLOOKUP(D235,'[65]Basic Price'!$C$8:$F$78,2,FALSE)</f>
        <v>M.07</v>
      </c>
      <c r="H235" s="2266" t="s">
        <v>436</v>
      </c>
      <c r="I235" s="2281">
        <f>VLOOKUP(D235,BAHAN!$C$15:$G$98,5,FALSE)</f>
        <v>7650</v>
      </c>
      <c r="J235" s="2266" t="s">
        <v>58</v>
      </c>
      <c r="K235" s="2261"/>
      <c r="O235" s="2148"/>
      <c r="AD235" s="2122"/>
      <c r="AH235" s="2122"/>
      <c r="BC235" s="2123"/>
      <c r="BD235" s="2126"/>
      <c r="BE235" s="2126"/>
      <c r="BF235" s="2126"/>
      <c r="BG235" s="2124"/>
      <c r="BQ235" s="2125"/>
      <c r="BR235" s="2126"/>
    </row>
    <row r="236" spans="2:70" s="2121" customFormat="1" ht="12.75" hidden="1" customHeight="1" x14ac:dyDescent="0.2">
      <c r="B236" s="2292" t="s">
        <v>387</v>
      </c>
      <c r="C236" s="2259"/>
      <c r="D236" s="2092" t="s">
        <v>437</v>
      </c>
      <c r="E236" s="2092"/>
      <c r="F236" s="2092"/>
      <c r="G236" s="2282" t="str">
        <f>VLOOKUP(D236,'[65]Basic Price'!$C$8:$F$78,2,FALSE)</f>
        <v>M.08</v>
      </c>
      <c r="H236" s="2266" t="s">
        <v>438</v>
      </c>
      <c r="I236" s="2281">
        <f>VLOOKUP(D236,BAHAN!$C$15:$G$98,5,FALSE)</f>
        <v>10897</v>
      </c>
      <c r="J236" s="2266" t="s">
        <v>58</v>
      </c>
      <c r="K236" s="2261"/>
      <c r="O236" s="2148"/>
      <c r="AD236" s="2122"/>
      <c r="AH236" s="2122"/>
      <c r="BC236" s="2123"/>
      <c r="BD236" s="2126"/>
      <c r="BE236" s="2126"/>
      <c r="BF236" s="2126"/>
      <c r="BG236" s="2124"/>
      <c r="BQ236" s="2125"/>
      <c r="BR236" s="2126"/>
    </row>
    <row r="237" spans="2:70" s="2121" customFormat="1" ht="12.75" hidden="1" customHeight="1" x14ac:dyDescent="0.2">
      <c r="B237" s="2292" t="s">
        <v>439</v>
      </c>
      <c r="C237" s="2259"/>
      <c r="D237" s="2092" t="s">
        <v>440</v>
      </c>
      <c r="E237" s="2092"/>
      <c r="F237" s="2092"/>
      <c r="G237" s="2282" t="str">
        <f>VLOOKUP(D237,'[65]Basic Price'!$C$8:$F$78,2,FALSE)</f>
        <v>M.06</v>
      </c>
      <c r="H237" s="2266" t="s">
        <v>441</v>
      </c>
      <c r="I237" s="2281">
        <f>VLOOKUP(D237,BAHAN!$C$15:$G$98,5,FALSE)</f>
        <v>100000</v>
      </c>
      <c r="J237" s="2266" t="s">
        <v>58</v>
      </c>
      <c r="K237" s="2261"/>
      <c r="O237" s="2148"/>
      <c r="AD237" s="2122"/>
      <c r="AH237" s="2122"/>
      <c r="BC237" s="2123"/>
      <c r="BD237" s="2126"/>
      <c r="BE237" s="2126"/>
      <c r="BF237" s="2126"/>
      <c r="BG237" s="2124"/>
      <c r="BQ237" s="2125"/>
      <c r="BR237" s="2126"/>
    </row>
    <row r="238" spans="2:70" s="2121" customFormat="1" ht="12.75" hidden="1" customHeight="1" x14ac:dyDescent="0.2">
      <c r="B238" s="2292" t="s">
        <v>442</v>
      </c>
      <c r="C238" s="2259"/>
      <c r="D238" s="2092" t="s">
        <v>443</v>
      </c>
      <c r="E238" s="2092"/>
      <c r="F238" s="2092"/>
      <c r="G238" s="2092"/>
      <c r="H238" s="2259"/>
      <c r="I238" s="2281"/>
      <c r="J238" s="2259"/>
      <c r="K238" s="2261"/>
      <c r="O238" s="2148"/>
      <c r="AD238" s="2122"/>
      <c r="AH238" s="2122"/>
      <c r="BC238" s="2123"/>
      <c r="BD238" s="2126"/>
      <c r="BE238" s="2126"/>
      <c r="BF238" s="2126"/>
      <c r="BG238" s="2124"/>
      <c r="BQ238" s="2125"/>
      <c r="BR238" s="2126"/>
    </row>
    <row r="239" spans="2:70" s="2121" customFormat="1" ht="12.75" hidden="1" customHeight="1" x14ac:dyDescent="0.2">
      <c r="B239" s="2292"/>
      <c r="C239" s="2259"/>
      <c r="D239" s="2092" t="s">
        <v>444</v>
      </c>
      <c r="E239" s="2092"/>
      <c r="F239" s="2092"/>
      <c r="G239" s="2092"/>
      <c r="H239" s="2259"/>
      <c r="I239" s="2259"/>
      <c r="J239" s="2259"/>
      <c r="K239" s="2261"/>
      <c r="O239" s="2148"/>
      <c r="AD239" s="2122"/>
      <c r="AH239" s="2122"/>
      <c r="BC239" s="2123"/>
      <c r="BD239" s="2126"/>
      <c r="BE239" s="2126"/>
      <c r="BF239" s="2126"/>
      <c r="BG239" s="2124"/>
      <c r="BQ239" s="2125"/>
      <c r="BR239" s="2126"/>
    </row>
    <row r="240" spans="2:70" s="2121" customFormat="1" ht="12.75" hidden="1" customHeight="1" thickBot="1" x14ac:dyDescent="0.25">
      <c r="B240" s="2291"/>
      <c r="C240" s="2257"/>
      <c r="D240" s="2256"/>
      <c r="E240" s="2256"/>
      <c r="F240" s="2256"/>
      <c r="G240" s="2256"/>
      <c r="H240" s="2283"/>
      <c r="I240" s="2284"/>
      <c r="J240" s="2257"/>
      <c r="K240" s="2258"/>
      <c r="O240" s="2148"/>
      <c r="AD240" s="2122"/>
      <c r="AH240" s="2122"/>
      <c r="BC240" s="2123"/>
      <c r="BD240" s="2126"/>
      <c r="BE240" s="2126"/>
      <c r="BF240" s="2126"/>
      <c r="BG240" s="2124"/>
      <c r="BQ240" s="2125"/>
      <c r="BR240" s="2126"/>
    </row>
  </sheetData>
  <mergeCells count="7">
    <mergeCell ref="BF209:BF210"/>
    <mergeCell ref="B2:K4"/>
    <mergeCell ref="M4:AN4"/>
    <mergeCell ref="M5:AN5"/>
    <mergeCell ref="BF32:BF33"/>
    <mergeCell ref="BF91:BF92"/>
    <mergeCell ref="BF150:BF151"/>
  </mergeCells>
  <printOptions horizontalCentered="1"/>
  <pageMargins left="0.7" right="0.5" top="0.75" bottom="0.25" header="0.25" footer="0.25"/>
  <pageSetup paperSize="10002" scale="80" orientation="portrait" horizontalDpi="4294967293" r:id="rId1"/>
  <colBreaks count="1" manualBreakCount="1">
    <brk id="11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2:K20"/>
  <sheetViews>
    <sheetView workbookViewId="0">
      <selection activeCell="K30" sqref="K30"/>
    </sheetView>
  </sheetViews>
  <sheetFormatPr defaultColWidth="9.28515625" defaultRowHeight="17.100000000000001" customHeight="1" x14ac:dyDescent="0.25"/>
  <cols>
    <col min="1" max="1" width="9.28515625" style="75"/>
    <col min="2" max="2" width="42.42578125" style="75" customWidth="1"/>
    <col min="3" max="3" width="2" style="80" bestFit="1" customWidth="1"/>
    <col min="4" max="4" width="13.28515625" style="98" customWidth="1"/>
    <col min="5" max="5" width="5" style="75" bestFit="1" customWidth="1"/>
    <col min="6" max="16384" width="9.28515625" style="75"/>
  </cols>
  <sheetData>
    <row r="2" spans="2:11" ht="17.100000000000001" customHeight="1" x14ac:dyDescent="0.25">
      <c r="B2" s="76"/>
      <c r="C2" s="77" t="s">
        <v>308</v>
      </c>
      <c r="D2" s="78"/>
      <c r="F2" s="76"/>
    </row>
    <row r="3" spans="2:11" ht="17.100000000000001" customHeight="1" x14ac:dyDescent="0.25">
      <c r="B3" s="76" t="s">
        <v>346</v>
      </c>
      <c r="C3" s="77" t="s">
        <v>308</v>
      </c>
      <c r="D3" s="78"/>
      <c r="F3" s="76"/>
    </row>
    <row r="4" spans="2:11" ht="17.100000000000001" customHeight="1" x14ac:dyDescent="0.25">
      <c r="B4" s="76" t="s">
        <v>347</v>
      </c>
      <c r="C4" s="77" t="s">
        <v>308</v>
      </c>
      <c r="D4" s="78"/>
    </row>
    <row r="5" spans="2:11" ht="17.100000000000001" customHeight="1" x14ac:dyDescent="0.25">
      <c r="B5" s="76" t="s">
        <v>348</v>
      </c>
      <c r="C5" s="77" t="s">
        <v>308</v>
      </c>
      <c r="D5" s="78"/>
    </row>
    <row r="6" spans="2:11" ht="17.100000000000001" customHeight="1" x14ac:dyDescent="0.25">
      <c r="B6" s="76" t="s">
        <v>349</v>
      </c>
      <c r="C6" s="77" t="s">
        <v>308</v>
      </c>
      <c r="D6" s="79"/>
    </row>
    <row r="7" spans="2:11" ht="17.100000000000001" customHeight="1" x14ac:dyDescent="0.25">
      <c r="D7" s="81"/>
    </row>
    <row r="8" spans="2:11" ht="17.100000000000001" customHeight="1" x14ac:dyDescent="0.25">
      <c r="B8" s="76" t="s">
        <v>350</v>
      </c>
      <c r="C8" s="77" t="s">
        <v>308</v>
      </c>
      <c r="D8" s="82" t="s">
        <v>351</v>
      </c>
    </row>
    <row r="9" spans="2:11" ht="17.100000000000001" customHeight="1" x14ac:dyDescent="0.25">
      <c r="B9" s="83" t="s">
        <v>352</v>
      </c>
      <c r="C9" s="77" t="s">
        <v>308</v>
      </c>
      <c r="D9" s="84">
        <v>10</v>
      </c>
      <c r="E9" s="85" t="s">
        <v>353</v>
      </c>
      <c r="F9" s="75" t="s">
        <v>354</v>
      </c>
    </row>
    <row r="10" spans="2:11" ht="17.100000000000001" customHeight="1" x14ac:dyDescent="0.25">
      <c r="B10" s="86">
        <v>1</v>
      </c>
      <c r="C10" s="80" t="s">
        <v>308</v>
      </c>
      <c r="D10" s="87">
        <v>14602.75</v>
      </c>
      <c r="E10" s="85" t="s">
        <v>355</v>
      </c>
    </row>
    <row r="11" spans="2:11" ht="17.100000000000001" customHeight="1" x14ac:dyDescent="0.25">
      <c r="B11" s="83" t="s">
        <v>356</v>
      </c>
      <c r="C11" s="80" t="s">
        <v>308</v>
      </c>
      <c r="D11" s="88">
        <v>8</v>
      </c>
      <c r="E11" s="85" t="s">
        <v>247</v>
      </c>
    </row>
    <row r="12" spans="2:11" ht="17.100000000000001" hidden="1" customHeight="1" x14ac:dyDescent="0.25">
      <c r="B12" s="89" t="s">
        <v>357</v>
      </c>
      <c r="C12" s="90"/>
      <c r="D12" s="91"/>
      <c r="E12" s="92"/>
      <c r="F12" s="93"/>
      <c r="G12" s="93"/>
      <c r="H12" s="93"/>
      <c r="I12" s="93"/>
      <c r="J12" s="93"/>
      <c r="K12" s="94"/>
    </row>
    <row r="13" spans="2:11" ht="17.100000000000001" customHeight="1" x14ac:dyDescent="0.25">
      <c r="B13" s="95" t="s">
        <v>358</v>
      </c>
      <c r="C13" s="80" t="s">
        <v>308</v>
      </c>
      <c r="D13" s="88">
        <v>10</v>
      </c>
      <c r="E13" s="85" t="s">
        <v>91</v>
      </c>
    </row>
    <row r="14" spans="2:11" ht="17.100000000000001" customHeight="1" x14ac:dyDescent="0.25">
      <c r="B14" s="83"/>
      <c r="D14" s="88"/>
      <c r="E14" s="85"/>
    </row>
    <row r="15" spans="2:11" ht="17.100000000000001" customHeight="1" x14ac:dyDescent="0.25">
      <c r="B15" s="96"/>
      <c r="D15" s="88"/>
      <c r="E15" s="85"/>
    </row>
    <row r="16" spans="2:11" ht="17.100000000000001" customHeight="1" x14ac:dyDescent="0.25">
      <c r="B16" s="96"/>
      <c r="D16" s="81"/>
      <c r="E16" s="97"/>
    </row>
    <row r="17" spans="2:5" ht="17.100000000000001" customHeight="1" x14ac:dyDescent="0.25">
      <c r="B17" s="96"/>
      <c r="D17" s="88"/>
      <c r="E17" s="85"/>
    </row>
    <row r="18" spans="2:5" ht="17.100000000000001" customHeight="1" x14ac:dyDescent="0.25">
      <c r="B18" s="96"/>
      <c r="D18" s="88"/>
      <c r="E18" s="85"/>
    </row>
    <row r="19" spans="2:5" ht="17.100000000000001" customHeight="1" x14ac:dyDescent="0.25">
      <c r="D19" s="88"/>
      <c r="E19" s="85"/>
    </row>
    <row r="20" spans="2:5" ht="17.100000000000001" customHeight="1" x14ac:dyDescent="0.25">
      <c r="B20" s="75" t="s">
        <v>359</v>
      </c>
      <c r="D20" s="98" t="s">
        <v>360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B1:L170"/>
  <sheetViews>
    <sheetView view="pageBreakPreview" topLeftCell="A34" zoomScaleSheetLayoutView="100" workbookViewId="0">
      <selection activeCell="C51" sqref="C51:E52"/>
    </sheetView>
  </sheetViews>
  <sheetFormatPr defaultColWidth="8.7109375" defaultRowHeight="16.5" x14ac:dyDescent="0.3"/>
  <cols>
    <col min="1" max="1" width="3.28515625" style="101" customWidth="1"/>
    <col min="2" max="2" width="10.5703125" style="101" customWidth="1"/>
    <col min="3" max="3" width="1.7109375" style="101" customWidth="1"/>
    <col min="4" max="4" width="53.7109375" style="101" customWidth="1"/>
    <col min="5" max="5" width="26" style="101" customWidth="1"/>
    <col min="6" max="8" width="8.7109375" style="101"/>
    <col min="9" max="9" width="18.42578125" style="101" customWidth="1"/>
    <col min="10" max="10" width="8.7109375" style="101"/>
    <col min="11" max="11" width="17" style="101" customWidth="1"/>
    <col min="12" max="16384" width="8.7109375" style="101"/>
  </cols>
  <sheetData>
    <row r="1" spans="2:9" ht="18.75" x14ac:dyDescent="0.3">
      <c r="B1" s="3043" t="s">
        <v>1307</v>
      </c>
      <c r="C1" s="3043"/>
      <c r="D1" s="3043"/>
      <c r="E1" s="3043"/>
    </row>
    <row r="2" spans="2:9" ht="6.6" customHeight="1" x14ac:dyDescent="0.3">
      <c r="B2" s="102"/>
      <c r="C2" s="102"/>
      <c r="D2" s="102"/>
      <c r="E2" s="102"/>
    </row>
    <row r="3" spans="2:9" ht="16.149999999999999" customHeight="1" x14ac:dyDescent="0.3">
      <c r="B3" s="101" t="s">
        <v>198</v>
      </c>
      <c r="D3" s="9" t="str">
        <f>RAB!D3</f>
        <v>: Perencanaan Pembangunan Gedung Tahfizul Qur'an-Wahdatul Ulum UIN SU</v>
      </c>
      <c r="E3" s="10"/>
    </row>
    <row r="4" spans="2:9" ht="16.149999999999999" customHeight="1" x14ac:dyDescent="0.3">
      <c r="B4" s="101" t="s">
        <v>199</v>
      </c>
      <c r="D4" s="9" t="str">
        <f>RAB!D4</f>
        <v xml:space="preserve">Kampus UINSU Jl. Sutomo No. 1 </v>
      </c>
      <c r="E4" s="12"/>
    </row>
    <row r="5" spans="2:9" ht="16.149999999999999" customHeight="1" x14ac:dyDescent="0.3">
      <c r="B5" s="101" t="s">
        <v>231</v>
      </c>
      <c r="D5" s="9" t="str">
        <f>RAB!D5</f>
        <v>: 2022</v>
      </c>
      <c r="E5" s="12"/>
    </row>
    <row r="6" spans="2:9" ht="16.149999999999999" customHeight="1" thickBot="1" x14ac:dyDescent="0.35">
      <c r="B6" s="11"/>
      <c r="C6" s="11"/>
      <c r="D6" s="13"/>
      <c r="E6" s="11"/>
    </row>
    <row r="7" spans="2:9" s="104" customFormat="1" ht="25.15" customHeight="1" thickBot="1" x14ac:dyDescent="0.25">
      <c r="B7" s="14" t="s">
        <v>135</v>
      </c>
      <c r="C7" s="3046" t="s">
        <v>200</v>
      </c>
      <c r="D7" s="3047"/>
      <c r="E7" s="103" t="s">
        <v>137</v>
      </c>
    </row>
    <row r="8" spans="2:9" s="104" customFormat="1" ht="9.9499999999999993" customHeight="1" thickTop="1" x14ac:dyDescent="0.2">
      <c r="B8" s="15"/>
      <c r="C8" s="108"/>
      <c r="D8" s="109"/>
      <c r="E8" s="105"/>
    </row>
    <row r="9" spans="2:9" s="104" customFormat="1" ht="20.100000000000001" customHeight="1" x14ac:dyDescent="0.2">
      <c r="B9" s="15" t="str">
        <f>RAB!B10</f>
        <v>A</v>
      </c>
      <c r="C9" s="1088"/>
      <c r="D9" s="1089" t="str">
        <f>RAB!C10</f>
        <v>PEKERJAAN PERSIAPAN</v>
      </c>
      <c r="E9" s="1090" t="e">
        <f>RAB!I20</f>
        <v>#REF!</v>
      </c>
      <c r="I9" s="1130" t="e">
        <f>SUM(RAB!#REF!)</f>
        <v>#REF!</v>
      </c>
    </row>
    <row r="10" spans="2:9" s="104" customFormat="1" ht="9.9499999999999993" customHeight="1" x14ac:dyDescent="0.2">
      <c r="B10" s="1091"/>
      <c r="C10" s="1092"/>
      <c r="D10" s="1093"/>
      <c r="E10" s="1094"/>
    </row>
    <row r="11" spans="2:9" s="104" customFormat="1" ht="20.100000000000001" customHeight="1" x14ac:dyDescent="0.2">
      <c r="B11" s="15" t="str">
        <f>RAB!B21</f>
        <v>B</v>
      </c>
      <c r="C11" s="1088"/>
      <c r="D11" s="1089" t="str">
        <f>RAB!C21</f>
        <v>BANGUNAN LANTAI - 1</v>
      </c>
      <c r="E11" s="1095" t="e">
        <f>SUM(E12:E21)</f>
        <v>#REF!</v>
      </c>
      <c r="I11" s="1130" t="e">
        <f>E9+E12+E13+E23+I9</f>
        <v>#REF!</v>
      </c>
    </row>
    <row r="12" spans="2:9" ht="20.100000000000001" customHeight="1" x14ac:dyDescent="0.3">
      <c r="B12" s="1098" t="str">
        <f>RAB!B22</f>
        <v>I</v>
      </c>
      <c r="C12" s="1096"/>
      <c r="D12" s="1099" t="str">
        <f>RAB!C22</f>
        <v>PEKERJAAN TANAH</v>
      </c>
      <c r="E12" s="1097">
        <f>RAB!I30</f>
        <v>86697306.069999993</v>
      </c>
    </row>
    <row r="13" spans="2:9" ht="20.100000000000001" customHeight="1" x14ac:dyDescent="0.3">
      <c r="B13" s="1098" t="str">
        <f>RAB!B31</f>
        <v>II</v>
      </c>
      <c r="C13" s="1096"/>
      <c r="D13" s="1099" t="str">
        <f>RAB!C31</f>
        <v>PEKERJAAN STRUKTUR</v>
      </c>
      <c r="E13" s="1097" t="e">
        <f>RAB!I82</f>
        <v>#REF!</v>
      </c>
      <c r="I13" s="1131" t="e">
        <f>I11*1.1</f>
        <v>#REF!</v>
      </c>
    </row>
    <row r="14" spans="2:9" ht="20.100000000000001" customHeight="1" x14ac:dyDescent="0.3">
      <c r="B14" s="1098" t="str">
        <f>RAB!B83</f>
        <v>III</v>
      </c>
      <c r="C14" s="1096"/>
      <c r="D14" s="1099" t="str">
        <f>RAB!C83</f>
        <v>PEKERJAAN DINDING &amp; PLESTERAN</v>
      </c>
      <c r="E14" s="1097" t="e">
        <f>RAB!I90</f>
        <v>#REF!</v>
      </c>
    </row>
    <row r="15" spans="2:9" ht="20.100000000000001" customHeight="1" x14ac:dyDescent="0.3">
      <c r="B15" s="1098" t="str">
        <f>RAB!B91</f>
        <v>IV</v>
      </c>
      <c r="C15" s="1096"/>
      <c r="D15" s="1099" t="str">
        <f>RAB!C91</f>
        <v>PEKERJAAN PINTU &amp; JENDELA</v>
      </c>
      <c r="E15" s="1097" t="e">
        <f>RAB!I109</f>
        <v>#REF!</v>
      </c>
    </row>
    <row r="16" spans="2:9" ht="20.100000000000001" customHeight="1" x14ac:dyDescent="0.3">
      <c r="B16" s="1098" t="str">
        <f>RAB!B110</f>
        <v>V</v>
      </c>
      <c r="C16" s="1096"/>
      <c r="D16" s="1099" t="str">
        <f>RAB!C110</f>
        <v>PEKERJAAN PENUTUP LANTAI &amp; DINDING</v>
      </c>
      <c r="E16" s="1097" t="e">
        <f>RAB!I117</f>
        <v>#REF!</v>
      </c>
    </row>
    <row r="17" spans="2:5" ht="20.100000000000001" customHeight="1" x14ac:dyDescent="0.3">
      <c r="B17" s="1098" t="str">
        <f>RAB!B118</f>
        <v>VI</v>
      </c>
      <c r="C17" s="1096"/>
      <c r="D17" s="1099" t="str">
        <f>RAB!C118</f>
        <v>PEKERJAAN PLAFON</v>
      </c>
      <c r="E17" s="1097" t="e">
        <f>RAB!I122</f>
        <v>#REF!</v>
      </c>
    </row>
    <row r="18" spans="2:5" ht="20.100000000000001" customHeight="1" x14ac:dyDescent="0.3">
      <c r="B18" s="1098" t="str">
        <f>RAB!B123</f>
        <v>VII</v>
      </c>
      <c r="C18" s="1096"/>
      <c r="D18" s="1099" t="str">
        <f>RAB!C123</f>
        <v>PEKERJAAN PENGECATAN</v>
      </c>
      <c r="E18" s="1097" t="e">
        <f>RAB!I129</f>
        <v>#REF!</v>
      </c>
    </row>
    <row r="19" spans="2:5" ht="20.100000000000001" customHeight="1" x14ac:dyDescent="0.3">
      <c r="B19" s="1098" t="str">
        <f>RAB!B130</f>
        <v>VIII</v>
      </c>
      <c r="C19" s="1096"/>
      <c r="D19" s="1099" t="str">
        <f>RAB!C130</f>
        <v>PEKERJAAN SANITAIR</v>
      </c>
      <c r="E19" s="1097" t="e">
        <f>RAB!I153</f>
        <v>#REF!</v>
      </c>
    </row>
    <row r="20" spans="2:5" ht="20.100000000000001" customHeight="1" x14ac:dyDescent="0.3">
      <c r="B20" s="1098" t="str">
        <f>RAB!B154</f>
        <v>IX</v>
      </c>
      <c r="C20" s="1096"/>
      <c r="D20" s="1099" t="str">
        <f>RAB!C154</f>
        <v>PEKERJAAN ELEKTRIKAL</v>
      </c>
      <c r="E20" s="1097" t="e">
        <f>RAB!I184</f>
        <v>#REF!</v>
      </c>
    </row>
    <row r="21" spans="2:5" ht="9.9499999999999993" customHeight="1" x14ac:dyDescent="0.3">
      <c r="B21" s="1098"/>
      <c r="C21" s="1096"/>
      <c r="D21" s="1099"/>
      <c r="E21" s="1097"/>
    </row>
    <row r="22" spans="2:5" ht="20.100000000000001" customHeight="1" x14ac:dyDescent="0.3">
      <c r="B22" s="1100" t="str">
        <f>RAB!B185</f>
        <v>C</v>
      </c>
      <c r="C22" s="1101"/>
      <c r="D22" s="1102" t="str">
        <f>RAB!C185</f>
        <v>BANGUNAN LANTAI - 2</v>
      </c>
      <c r="E22" s="1095" t="e">
        <f>SUM(E23:E31)</f>
        <v>#REF!</v>
      </c>
    </row>
    <row r="23" spans="2:5" ht="20.100000000000001" customHeight="1" x14ac:dyDescent="0.3">
      <c r="B23" s="1098" t="str">
        <f>RAB!B186</f>
        <v>I</v>
      </c>
      <c r="C23" s="1096"/>
      <c r="D23" s="1099" t="str">
        <f>RAB!C186</f>
        <v>PEKERJAAN STRUKTUR</v>
      </c>
      <c r="E23" s="1097" t="e">
        <f>RAB!I218</f>
        <v>#REF!</v>
      </c>
    </row>
    <row r="24" spans="2:5" ht="20.100000000000001" customHeight="1" x14ac:dyDescent="0.3">
      <c r="B24" s="1098" t="str">
        <f>RAB!B219</f>
        <v>II</v>
      </c>
      <c r="C24" s="1096"/>
      <c r="D24" s="1099" t="str">
        <f>RAB!C219</f>
        <v>PEKERJAAN DINDING &amp; PLESTERAN</v>
      </c>
      <c r="E24" s="1097" t="e">
        <f>RAB!I226</f>
        <v>#REF!</v>
      </c>
    </row>
    <row r="25" spans="2:5" ht="20.100000000000001" customHeight="1" x14ac:dyDescent="0.3">
      <c r="B25" s="1098" t="str">
        <f>RAB!B227</f>
        <v>III</v>
      </c>
      <c r="C25" s="1096"/>
      <c r="D25" s="1099" t="str">
        <f>RAB!C227</f>
        <v>PEKERJAAN PINTU &amp; JENDELA</v>
      </c>
      <c r="E25" s="1097" t="e">
        <f>RAB!I238</f>
        <v>#REF!</v>
      </c>
    </row>
    <row r="26" spans="2:5" ht="20.100000000000001" customHeight="1" x14ac:dyDescent="0.3">
      <c r="B26" s="1098" t="str">
        <f>RAB!B239</f>
        <v>IV</v>
      </c>
      <c r="C26" s="1096"/>
      <c r="D26" s="1099" t="str">
        <f>RAB!C239</f>
        <v>PEKERJAAN PENUTUP LANTAI &amp; DINDING</v>
      </c>
      <c r="E26" s="1097" t="e">
        <f>RAB!I245</f>
        <v>#REF!</v>
      </c>
    </row>
    <row r="27" spans="2:5" ht="20.100000000000001" customHeight="1" x14ac:dyDescent="0.3">
      <c r="B27" s="1098" t="str">
        <f>RAB!B246</f>
        <v>V</v>
      </c>
      <c r="C27" s="1096"/>
      <c r="D27" s="1099" t="str">
        <f>RAB!C246</f>
        <v>PEKERJAAN PLAFON</v>
      </c>
      <c r="E27" s="1097" t="e">
        <f>RAB!I250</f>
        <v>#REF!</v>
      </c>
    </row>
    <row r="28" spans="2:5" ht="20.100000000000001" customHeight="1" x14ac:dyDescent="0.3">
      <c r="B28" s="1098" t="str">
        <f>RAB!B251</f>
        <v>VI</v>
      </c>
      <c r="C28" s="1096"/>
      <c r="D28" s="1099" t="str">
        <f>RAB!C251</f>
        <v>PEKERJAAN PENGECATAN</v>
      </c>
      <c r="E28" s="1097" t="e">
        <f>RAB!I257</f>
        <v>#REF!</v>
      </c>
    </row>
    <row r="29" spans="2:5" ht="20.100000000000001" customHeight="1" x14ac:dyDescent="0.3">
      <c r="B29" s="1098" t="str">
        <f>RAB!B258</f>
        <v>VII</v>
      </c>
      <c r="C29" s="1096"/>
      <c r="D29" s="1099" t="str">
        <f>RAB!C258</f>
        <v>PEKERJAAN SANITAIR</v>
      </c>
      <c r="E29" s="1097" t="e">
        <f>RAB!I273</f>
        <v>#REF!</v>
      </c>
    </row>
    <row r="30" spans="2:5" ht="20.100000000000001" customHeight="1" x14ac:dyDescent="0.3">
      <c r="B30" s="1098" t="str">
        <f>RAB!B274</f>
        <v>VIII</v>
      </c>
      <c r="C30" s="1096"/>
      <c r="D30" s="1099" t="str">
        <f>RAB!C274</f>
        <v>PEKERJAAN ELEKTRIKAL</v>
      </c>
      <c r="E30" s="1097" t="e">
        <f>RAB!I290</f>
        <v>#REF!</v>
      </c>
    </row>
    <row r="31" spans="2:5" ht="9.9499999999999993" customHeight="1" x14ac:dyDescent="0.3">
      <c r="B31" s="1098"/>
      <c r="C31" s="1096"/>
      <c r="D31" s="1099"/>
      <c r="E31" s="1097"/>
    </row>
    <row r="32" spans="2:5" ht="20.100000000000001" customHeight="1" x14ac:dyDescent="0.3">
      <c r="B32" s="1100" t="str">
        <f>RAB!B291</f>
        <v>D</v>
      </c>
      <c r="C32" s="1101"/>
      <c r="D32" s="1102" t="str">
        <f>RAB!C291</f>
        <v>BANGUNAN LANTAI - 3</v>
      </c>
      <c r="E32" s="1095" t="e">
        <f>SUM(E33:E41)</f>
        <v>#REF!</v>
      </c>
    </row>
    <row r="33" spans="2:11" ht="20.100000000000001" customHeight="1" x14ac:dyDescent="0.3">
      <c r="B33" s="1098" t="str">
        <f>RAB!B292</f>
        <v>I</v>
      </c>
      <c r="C33" s="1096"/>
      <c r="D33" s="1099" t="str">
        <f>RAB!C292</f>
        <v>PEKERJAAN STRUKTUR</v>
      </c>
      <c r="E33" s="1097" t="e">
        <f>RAB!I324</f>
        <v>#REF!</v>
      </c>
    </row>
    <row r="34" spans="2:11" ht="20.100000000000001" customHeight="1" x14ac:dyDescent="0.3">
      <c r="B34" s="1098" t="str">
        <f>RAB!B325</f>
        <v>II</v>
      </c>
      <c r="C34" s="1096"/>
      <c r="D34" s="1099" t="str">
        <f>RAB!C325</f>
        <v>PEKERJAAN DINDING &amp; PLESTERAN</v>
      </c>
      <c r="E34" s="1097" t="e">
        <f>RAB!I333</f>
        <v>#REF!</v>
      </c>
    </row>
    <row r="35" spans="2:11" ht="20.100000000000001" customHeight="1" x14ac:dyDescent="0.3">
      <c r="B35" s="1098" t="str">
        <f>RAB!B334</f>
        <v>III</v>
      </c>
      <c r="C35" s="1096"/>
      <c r="D35" s="1099" t="str">
        <f>RAB!C334</f>
        <v>PEKERJAAN PINTU &amp; JENDELA</v>
      </c>
      <c r="E35" s="1097" t="e">
        <f>RAB!I345</f>
        <v>#REF!</v>
      </c>
    </row>
    <row r="36" spans="2:11" ht="20.100000000000001" customHeight="1" x14ac:dyDescent="0.3">
      <c r="B36" s="1098" t="str">
        <f>RAB!B346</f>
        <v>IV</v>
      </c>
      <c r="C36" s="1096"/>
      <c r="D36" s="1099" t="str">
        <f>RAB!C346</f>
        <v>PEKERJAAN PENUTUP LANTAI &amp; DINDING</v>
      </c>
      <c r="E36" s="1097" t="e">
        <f>RAB!I352</f>
        <v>#REF!</v>
      </c>
    </row>
    <row r="37" spans="2:11" ht="20.100000000000001" customHeight="1" x14ac:dyDescent="0.3">
      <c r="B37" s="1098" t="str">
        <f>RAB!B353</f>
        <v>V</v>
      </c>
      <c r="C37" s="1096"/>
      <c r="D37" s="1099" t="str">
        <f>RAB!C353</f>
        <v>PEKERJAAN PLAFON</v>
      </c>
      <c r="E37" s="1097" t="e">
        <f>RAB!I357</f>
        <v>#REF!</v>
      </c>
    </row>
    <row r="38" spans="2:11" ht="20.100000000000001" customHeight="1" x14ac:dyDescent="0.3">
      <c r="B38" s="1098" t="str">
        <f>RAB!B358</f>
        <v>VI</v>
      </c>
      <c r="C38" s="1096"/>
      <c r="D38" s="1099" t="str">
        <f>RAB!C358</f>
        <v>PEKERJAAN PENGECATAN</v>
      </c>
      <c r="E38" s="1097" t="e">
        <f>RAB!I364</f>
        <v>#REF!</v>
      </c>
    </row>
    <row r="39" spans="2:11" ht="20.100000000000001" customHeight="1" x14ac:dyDescent="0.3">
      <c r="B39" s="1098" t="str">
        <f>RAB!B365</f>
        <v>VII</v>
      </c>
      <c r="C39" s="1096"/>
      <c r="D39" s="1099" t="str">
        <f>RAB!C365</f>
        <v>PEKERJAAN SANITAIR</v>
      </c>
      <c r="E39" s="1097" t="e">
        <f>RAB!I381</f>
        <v>#REF!</v>
      </c>
    </row>
    <row r="40" spans="2:11" ht="20.100000000000001" customHeight="1" x14ac:dyDescent="0.3">
      <c r="B40" s="1098" t="str">
        <f>RAB!B382</f>
        <v>VIII</v>
      </c>
      <c r="C40" s="1096"/>
      <c r="D40" s="1099" t="str">
        <f>RAB!C382</f>
        <v>PEKERJAAN ELEKTRIKAL</v>
      </c>
      <c r="E40" s="1097" t="e">
        <f>RAB!I401</f>
        <v>#REF!</v>
      </c>
    </row>
    <row r="41" spans="2:11" ht="9.9499999999999993" customHeight="1" x14ac:dyDescent="0.3">
      <c r="B41" s="1098"/>
      <c r="C41" s="1096"/>
      <c r="D41" s="1099"/>
      <c r="E41" s="1097"/>
    </row>
    <row r="42" spans="2:11" ht="20.100000000000001" customHeight="1" x14ac:dyDescent="0.3">
      <c r="B42" s="1100" t="str">
        <f>RAB!B402</f>
        <v>E</v>
      </c>
      <c r="C42" s="1101"/>
      <c r="D42" s="1102" t="str">
        <f>RAB!C402</f>
        <v>BANGUNAN LANTAI ATAP</v>
      </c>
      <c r="E42" s="1095" t="e">
        <f>SUM(E43:E45)</f>
        <v>#REF!</v>
      </c>
    </row>
    <row r="43" spans="2:11" ht="20.100000000000001" customHeight="1" x14ac:dyDescent="0.3">
      <c r="B43" s="1098" t="str">
        <f>RAB!B403</f>
        <v>I</v>
      </c>
      <c r="C43" s="1096"/>
      <c r="D43" s="1099" t="str">
        <f>RAB!C403</f>
        <v>PEKERJAAN STRUKTUR</v>
      </c>
      <c r="E43" s="1097" t="e">
        <f>RAB!I411</f>
        <v>#REF!</v>
      </c>
    </row>
    <row r="44" spans="2:11" ht="20.100000000000001" customHeight="1" x14ac:dyDescent="0.3">
      <c r="B44" s="1103" t="str">
        <f>RAB!B412</f>
        <v>II</v>
      </c>
      <c r="C44" s="1132"/>
      <c r="D44" s="1105" t="str">
        <f>RAB!C412</f>
        <v>PEKERJAAN DINDING &amp; PLESTERAN</v>
      </c>
      <c r="E44" s="1133" t="e">
        <f>RAB!I417</f>
        <v>#REF!</v>
      </c>
    </row>
    <row r="45" spans="2:11" ht="20.100000000000001" customHeight="1" x14ac:dyDescent="0.3">
      <c r="B45" s="1103" t="str">
        <f>RAB!B418</f>
        <v>III</v>
      </c>
      <c r="C45" s="1132"/>
      <c r="D45" s="1105" t="str">
        <f>RAB!C418</f>
        <v>PEKERJAAN PENGECATAN</v>
      </c>
      <c r="E45" s="1133" t="e">
        <f>RAB!I421</f>
        <v>#REF!</v>
      </c>
    </row>
    <row r="46" spans="2:11" ht="9.9499999999999993" customHeight="1" thickBot="1" x14ac:dyDescent="0.35">
      <c r="B46" s="1103"/>
      <c r="C46" s="1104"/>
      <c r="D46" s="1105"/>
      <c r="E46" s="1106"/>
    </row>
    <row r="47" spans="2:11" ht="20.100000000000001" customHeight="1" thickTop="1" x14ac:dyDescent="0.3">
      <c r="B47" s="1107">
        <v>1</v>
      </c>
      <c r="C47" s="1108"/>
      <c r="D47" s="1109" t="s">
        <v>160</v>
      </c>
      <c r="E47" s="1110" t="e">
        <f>E42+E32+E22+E11+E9</f>
        <v>#REF!</v>
      </c>
      <c r="I47" s="1131" t="e">
        <f>RAB!I422</f>
        <v>#REF!</v>
      </c>
      <c r="K47" s="1131" t="e">
        <f>E47-I47</f>
        <v>#REF!</v>
      </c>
    </row>
    <row r="48" spans="2:11" ht="20.100000000000001" customHeight="1" x14ac:dyDescent="0.3">
      <c r="B48" s="1111">
        <v>2</v>
      </c>
      <c r="C48" s="1112"/>
      <c r="D48" s="1113" t="s">
        <v>226</v>
      </c>
      <c r="E48" s="1114" t="e">
        <f>E47*0.1</f>
        <v>#REF!</v>
      </c>
      <c r="I48" s="51" t="e">
        <f>E50/(500*3.5)</f>
        <v>#REF!</v>
      </c>
    </row>
    <row r="49" spans="2:9" ht="20.100000000000001" customHeight="1" x14ac:dyDescent="0.3">
      <c r="B49" s="1111">
        <v>3</v>
      </c>
      <c r="C49" s="1112"/>
      <c r="D49" s="1113" t="s">
        <v>227</v>
      </c>
      <c r="E49" s="1114" t="e">
        <f>E47+E48</f>
        <v>#REF!</v>
      </c>
      <c r="F49" s="1134"/>
    </row>
    <row r="50" spans="2:9" ht="20.100000000000001" customHeight="1" thickBot="1" x14ac:dyDescent="0.35">
      <c r="B50" s="1115">
        <v>4</v>
      </c>
      <c r="C50" s="1116"/>
      <c r="D50" s="1117" t="s">
        <v>228</v>
      </c>
      <c r="E50" s="1118" t="e">
        <f>ROUNDDOWN(E49,-3)</f>
        <v>#REF!</v>
      </c>
      <c r="F50" s="1135"/>
      <c r="I50" s="1136"/>
    </row>
    <row r="51" spans="2:9" ht="20.100000000000001" customHeight="1" thickTop="1" x14ac:dyDescent="0.3">
      <c r="B51" s="3044" t="s">
        <v>229</v>
      </c>
      <c r="C51" s="3048" t="e">
        <f>C112</f>
        <v>#REF!</v>
      </c>
      <c r="D51" s="3049"/>
      <c r="E51" s="3050"/>
      <c r="F51" s="1135"/>
      <c r="I51" s="106"/>
    </row>
    <row r="52" spans="2:9" ht="20.100000000000001" customHeight="1" thickBot="1" x14ac:dyDescent="0.35">
      <c r="B52" s="3045"/>
      <c r="C52" s="3051"/>
      <c r="D52" s="3052"/>
      <c r="E52" s="3053"/>
    </row>
    <row r="53" spans="2:9" ht="8.1" customHeight="1" x14ac:dyDescent="0.3">
      <c r="D53" s="106"/>
    </row>
    <row r="54" spans="2:9" x14ac:dyDescent="0.3">
      <c r="E54" s="107"/>
      <c r="I54" s="355">
        <f>20*36*3</f>
        <v>2160</v>
      </c>
    </row>
    <row r="55" spans="2:9" x14ac:dyDescent="0.3">
      <c r="I55" s="101" t="e">
        <f>E50/I54</f>
        <v>#REF!</v>
      </c>
    </row>
    <row r="56" spans="2:9" x14ac:dyDescent="0.3">
      <c r="E56" s="107"/>
    </row>
    <row r="57" spans="2:9" x14ac:dyDescent="0.3">
      <c r="E57" s="107"/>
    </row>
    <row r="58" spans="2:9" x14ac:dyDescent="0.3">
      <c r="E58" s="107"/>
    </row>
    <row r="63" spans="2:9" x14ac:dyDescent="0.3">
      <c r="E63" s="107"/>
    </row>
    <row r="64" spans="2:9" x14ac:dyDescent="0.3">
      <c r="E64" s="107"/>
    </row>
    <row r="107" spans="2:12" ht="17.25" thickBot="1" x14ac:dyDescent="0.35"/>
    <row r="108" spans="2:12" s="360" customFormat="1" ht="18.75" x14ac:dyDescent="0.25">
      <c r="B108" s="361" t="s">
        <v>295</v>
      </c>
      <c r="C108" s="362"/>
      <c r="D108" s="362"/>
      <c r="E108" s="362"/>
      <c r="F108" s="362"/>
      <c r="G108" s="363"/>
      <c r="H108" s="364"/>
      <c r="I108" s="365"/>
      <c r="J108" s="362"/>
      <c r="K108" s="362"/>
      <c r="L108" s="366"/>
    </row>
    <row r="109" spans="2:12" s="360" customFormat="1" ht="15.75" thickBot="1" x14ac:dyDescent="0.3">
      <c r="B109" s="367"/>
      <c r="C109" s="368"/>
      <c r="D109" s="368"/>
      <c r="E109" s="368"/>
      <c r="F109" s="368"/>
      <c r="G109" s="369"/>
      <c r="H109" s="370"/>
      <c r="I109" s="371"/>
      <c r="J109" s="368"/>
      <c r="K109" s="368"/>
      <c r="L109" s="372"/>
    </row>
    <row r="110" spans="2:12" s="360" customFormat="1" ht="17.25" thickTop="1" thickBot="1" x14ac:dyDescent="0.3">
      <c r="B110" s="367"/>
      <c r="C110" s="3054" t="e">
        <f>E50</f>
        <v>#REF!</v>
      </c>
      <c r="D110" s="3055"/>
      <c r="E110" s="373">
        <v>1</v>
      </c>
      <c r="F110" s="373"/>
      <c r="G110" s="374"/>
      <c r="H110" s="368" t="s">
        <v>720</v>
      </c>
      <c r="I110" s="371"/>
      <c r="J110" s="368"/>
      <c r="K110" s="368"/>
      <c r="L110" s="372"/>
    </row>
    <row r="111" spans="2:12" s="360" customFormat="1" thickTop="1" thickBot="1" x14ac:dyDescent="0.3">
      <c r="B111" s="367"/>
      <c r="C111" s="368"/>
      <c r="D111" s="368"/>
      <c r="E111" s="368"/>
      <c r="F111" s="368"/>
      <c r="G111" s="369"/>
      <c r="H111" s="368"/>
      <c r="I111" s="371"/>
      <c r="J111" s="368"/>
      <c r="K111" s="368"/>
      <c r="L111" s="372"/>
    </row>
    <row r="112" spans="2:12" s="360" customFormat="1" thickTop="1" thickBot="1" x14ac:dyDescent="0.3">
      <c r="B112" s="367" t="s">
        <v>296</v>
      </c>
      <c r="C112" s="375" t="e">
        <f>PROPER(IF(E110=1,C167,IF(E110=2,#REF!,"")))</f>
        <v>#REF!</v>
      </c>
      <c r="D112" s="376"/>
      <c r="E112" s="376"/>
      <c r="F112" s="376"/>
      <c r="G112" s="377"/>
      <c r="H112" s="376"/>
      <c r="I112" s="378"/>
      <c r="J112" s="368"/>
      <c r="K112" s="368"/>
      <c r="L112" s="372"/>
    </row>
    <row r="113" spans="2:12" s="360" customFormat="1" thickTop="1" thickBot="1" x14ac:dyDescent="0.3">
      <c r="B113" s="367"/>
      <c r="C113" s="368"/>
      <c r="D113" s="368"/>
      <c r="E113" s="368"/>
      <c r="F113" s="368"/>
      <c r="G113" s="369"/>
      <c r="H113" s="368"/>
      <c r="I113" s="371"/>
      <c r="J113" s="368"/>
      <c r="K113" s="368"/>
      <c r="L113" s="372"/>
    </row>
    <row r="114" spans="2:12" s="360" customFormat="1" ht="15" x14ac:dyDescent="0.25">
      <c r="B114" s="367" t="s">
        <v>297</v>
      </c>
      <c r="C114" s="379" t="s">
        <v>298</v>
      </c>
      <c r="D114" s="380"/>
      <c r="E114" s="380"/>
      <c r="F114" s="380"/>
      <c r="G114" s="381"/>
      <c r="H114" s="382"/>
      <c r="I114" s="383" t="s">
        <v>299</v>
      </c>
      <c r="J114" s="368"/>
      <c r="K114" s="368"/>
      <c r="L114" s="372"/>
    </row>
    <row r="115" spans="2:12" s="360" customFormat="1" ht="15.75" thickBot="1" x14ac:dyDescent="0.3">
      <c r="B115" s="367"/>
      <c r="C115" s="384" t="s">
        <v>300</v>
      </c>
      <c r="D115" s="385"/>
      <c r="E115" s="385"/>
      <c r="F115" s="385"/>
      <c r="G115" s="386"/>
      <c r="H115" s="387"/>
      <c r="I115" s="388" t="s">
        <v>299</v>
      </c>
      <c r="J115" s="368"/>
      <c r="K115" s="368"/>
      <c r="L115" s="372"/>
    </row>
    <row r="116" spans="2:12" s="360" customFormat="1" ht="15" x14ac:dyDescent="0.25">
      <c r="B116" s="367"/>
      <c r="C116" s="368" t="e">
        <f>IF(TRUNC(C110)&lt;&gt;0,RIGHT("000000000000"&amp;FIXED(TRUNC(C110),0,TRUE),12),"000000000000")</f>
        <v>#REF!</v>
      </c>
      <c r="D116" s="368"/>
      <c r="E116" s="368"/>
      <c r="F116" s="368"/>
      <c r="G116" s="369"/>
      <c r="H116" s="368"/>
      <c r="I116" s="388" t="s">
        <v>299</v>
      </c>
      <c r="J116" s="368"/>
      <c r="K116" s="368"/>
      <c r="L116" s="372"/>
    </row>
    <row r="117" spans="2:12" s="360" customFormat="1" ht="15" x14ac:dyDescent="0.25">
      <c r="B117" s="389" t="s">
        <v>301</v>
      </c>
      <c r="C117" s="390" t="s">
        <v>299</v>
      </c>
      <c r="D117" s="390" t="s">
        <v>299</v>
      </c>
      <c r="E117" s="390" t="s">
        <v>299</v>
      </c>
      <c r="F117" s="390"/>
      <c r="G117" s="391"/>
      <c r="H117" s="390" t="s">
        <v>299</v>
      </c>
      <c r="I117" s="388" t="s">
        <v>299</v>
      </c>
      <c r="J117" s="368"/>
      <c r="K117" s="368"/>
      <c r="L117" s="372"/>
    </row>
    <row r="118" spans="2:12" s="360" customFormat="1" ht="15" x14ac:dyDescent="0.25">
      <c r="B118" s="389" t="s">
        <v>302</v>
      </c>
      <c r="C118" s="392" t="e">
        <f>IF(VALUE(C116)&gt;0,MID(C116,12-(D118*3)+1,3),"")</f>
        <v>#REF!</v>
      </c>
      <c r="D118" s="393">
        <v>1</v>
      </c>
      <c r="E118" s="368"/>
      <c r="F118" s="368"/>
      <c r="G118" s="369"/>
      <c r="H118" s="368"/>
      <c r="I118" s="388" t="s">
        <v>299</v>
      </c>
      <c r="J118" s="368"/>
      <c r="K118" s="368"/>
      <c r="L118" s="372"/>
    </row>
    <row r="119" spans="2:12" s="360" customFormat="1" ht="15" x14ac:dyDescent="0.25">
      <c r="B119" s="389" t="s">
        <v>303</v>
      </c>
      <c r="C119" s="394" t="e">
        <f>IF(TRIM(C118)&lt;&gt;"",VALUE(MID(C118,1,1)),0)</f>
        <v>#REF!</v>
      </c>
      <c r="D119" s="395" t="e">
        <f>IF(AND(C110&lt;&gt;0,C121&gt;1),TRIM(MID(C114,(C121-1)*8+1,8))&amp;" puluh "," ")</f>
        <v>#REF!</v>
      </c>
      <c r="E119" s="368"/>
      <c r="F119" s="368"/>
      <c r="G119" s="369"/>
      <c r="H119" s="368"/>
      <c r="I119" s="388" t="s">
        <v>299</v>
      </c>
      <c r="J119" s="368"/>
      <c r="K119" s="368"/>
      <c r="L119" s="372"/>
    </row>
    <row r="120" spans="2:12" s="360" customFormat="1" ht="15" x14ac:dyDescent="0.25">
      <c r="B120" s="389" t="s">
        <v>304</v>
      </c>
      <c r="C120" s="394" t="e">
        <f>IF(C110&lt;&gt;0,IF(C119=1,"seratus ",IF(C119=0,"",TRIM(MID(C114,(C119-1)*8+1,8))&amp;" ratus")),"")</f>
        <v>#REF!</v>
      </c>
      <c r="D120" s="395" t="e">
        <f>IF(C110&lt;&gt;0,IF(C122=0,"sepuluh ",IF(C122=1,"sebelas ",TRIM(MID(C114,(C122-1)*8+1,8))&amp;" belas ")),"")</f>
        <v>#REF!</v>
      </c>
      <c r="E120" s="368"/>
      <c r="F120" s="368"/>
      <c r="G120" s="369"/>
      <c r="H120" s="368"/>
      <c r="I120" s="388" t="s">
        <v>299</v>
      </c>
      <c r="J120" s="368"/>
      <c r="K120" s="368"/>
      <c r="L120" s="372"/>
    </row>
    <row r="121" spans="2:12" s="360" customFormat="1" ht="15" x14ac:dyDescent="0.25">
      <c r="B121" s="389" t="s">
        <v>301</v>
      </c>
      <c r="C121" s="394" t="e">
        <f>IF(C110&lt;&gt;0,VALUE(MID(C118,2,1)),0)</f>
        <v>#REF!</v>
      </c>
      <c r="D121" s="395" t="e">
        <f>IF(C110&lt;&gt;0,IF(C122&lt;&gt;0,TRIM(MID(C114,(C122-1)*8+1,8))&amp;" ",""),"")</f>
        <v>#REF!</v>
      </c>
      <c r="E121" s="368"/>
      <c r="F121" s="368"/>
      <c r="G121" s="369"/>
      <c r="H121" s="368"/>
      <c r="I121" s="388" t="s">
        <v>299</v>
      </c>
      <c r="J121" s="368"/>
      <c r="K121" s="368"/>
      <c r="L121" s="372"/>
    </row>
    <row r="122" spans="2:12" s="360" customFormat="1" ht="15" x14ac:dyDescent="0.25">
      <c r="B122" s="389" t="s">
        <v>301</v>
      </c>
      <c r="C122" s="394" t="e">
        <f>IF(C110&lt;&gt;0,VALUE(MID(C118,3,1)),0)</f>
        <v>#REF!</v>
      </c>
      <c r="D122" s="395" t="e">
        <f>IF(AND(C110&lt;&gt;0,C122&gt;0),D119&amp;TRIM(MID(C114,(C122-1)*8+1,8))&amp;" ",+D119)</f>
        <v>#REF!</v>
      </c>
      <c r="E122" s="368"/>
      <c r="F122" s="368"/>
      <c r="G122" s="369"/>
      <c r="H122" s="368"/>
      <c r="I122" s="388" t="s">
        <v>299</v>
      </c>
      <c r="J122" s="368"/>
      <c r="K122" s="368"/>
      <c r="L122" s="372"/>
    </row>
    <row r="123" spans="2:12" s="360" customFormat="1" ht="15" x14ac:dyDescent="0.25">
      <c r="B123" s="389" t="s">
        <v>301</v>
      </c>
      <c r="C123" s="394" t="e">
        <f>IF(C121=1,+D120,IF(C121=0,D121,D122))</f>
        <v>#REF!</v>
      </c>
      <c r="D123" s="395" t="e">
        <f>IF(VALUE(TRIM(C118))&lt;&gt;0,IF(AND(VALUE(TRIM(C118))=1,D118=2),"se",C123),"")</f>
        <v>#REF!</v>
      </c>
      <c r="E123" s="368"/>
      <c r="F123" s="368"/>
      <c r="G123" s="369"/>
      <c r="H123" s="368"/>
      <c r="I123" s="388" t="s">
        <v>299</v>
      </c>
      <c r="J123" s="368"/>
      <c r="K123" s="368"/>
      <c r="L123" s="372"/>
    </row>
    <row r="124" spans="2:12" s="360" customFormat="1" ht="15" x14ac:dyDescent="0.25">
      <c r="B124" s="389" t="s">
        <v>301</v>
      </c>
      <c r="C124" s="394" t="e">
        <f>IF(VALUE(TRIM(C118))&lt;&gt;0,C120&amp;" "&amp;D123&amp;TRIM(MID(C115,(D118-1)*7+1,7))&amp;" ","")</f>
        <v>#REF!</v>
      </c>
      <c r="D124" s="395"/>
      <c r="E124" s="368"/>
      <c r="F124" s="368"/>
      <c r="G124" s="369"/>
      <c r="H124" s="368"/>
      <c r="I124" s="388" t="s">
        <v>299</v>
      </c>
      <c r="J124" s="368"/>
      <c r="K124" s="368"/>
      <c r="L124" s="372"/>
    </row>
    <row r="125" spans="2:12" s="360" customFormat="1" ht="15" x14ac:dyDescent="0.25">
      <c r="B125" s="389" t="s">
        <v>301</v>
      </c>
      <c r="C125" s="396"/>
      <c r="D125" s="397"/>
      <c r="E125" s="368"/>
      <c r="F125" s="368"/>
      <c r="G125" s="369"/>
      <c r="H125" s="368"/>
      <c r="I125" s="388" t="s">
        <v>299</v>
      </c>
      <c r="J125" s="368"/>
      <c r="K125" s="368"/>
      <c r="L125" s="372"/>
    </row>
    <row r="126" spans="2:12" s="360" customFormat="1" ht="15" x14ac:dyDescent="0.25">
      <c r="B126" s="389" t="s">
        <v>301</v>
      </c>
      <c r="C126" s="368"/>
      <c r="D126" s="368"/>
      <c r="E126" s="368"/>
      <c r="F126" s="368"/>
      <c r="G126" s="369"/>
      <c r="H126" s="368"/>
      <c r="I126" s="388" t="s">
        <v>299</v>
      </c>
      <c r="J126" s="368"/>
      <c r="K126" s="368"/>
      <c r="L126" s="372"/>
    </row>
    <row r="127" spans="2:12" s="360" customFormat="1" ht="15" x14ac:dyDescent="0.25">
      <c r="B127" s="389" t="s">
        <v>301</v>
      </c>
      <c r="C127" s="392" t="e">
        <f>IF(VALUE(C116)&gt;0,MID(C116,12-(D127*3)+1,3),"")</f>
        <v>#REF!</v>
      </c>
      <c r="D127" s="393">
        <v>2</v>
      </c>
      <c r="E127" s="368"/>
      <c r="F127" s="368"/>
      <c r="G127" s="369"/>
      <c r="H127" s="368"/>
      <c r="I127" s="388" t="s">
        <v>299</v>
      </c>
      <c r="J127" s="368"/>
      <c r="K127" s="368"/>
      <c r="L127" s="372"/>
    </row>
    <row r="128" spans="2:12" s="360" customFormat="1" ht="15" x14ac:dyDescent="0.25">
      <c r="B128" s="389" t="s">
        <v>301</v>
      </c>
      <c r="C128" s="394" t="e">
        <f>IF(TRIM(C127)&lt;&gt;"",VALUE(MID(C127,1,1)),0)</f>
        <v>#REF!</v>
      </c>
      <c r="D128" s="395" t="e">
        <f>IF(AND(C110&lt;&gt;0,C130&gt;1),TRIM(MID(C114,(C130-1)*8+1,8))&amp;" puluh "," ")</f>
        <v>#REF!</v>
      </c>
      <c r="E128" s="368"/>
      <c r="F128" s="368"/>
      <c r="G128" s="369"/>
      <c r="H128" s="368"/>
      <c r="I128" s="388" t="s">
        <v>299</v>
      </c>
      <c r="J128" s="368"/>
      <c r="K128" s="368"/>
      <c r="L128" s="372"/>
    </row>
    <row r="129" spans="2:12" s="360" customFormat="1" ht="15" x14ac:dyDescent="0.25">
      <c r="B129" s="389" t="s">
        <v>301</v>
      </c>
      <c r="C129" s="394" t="e">
        <f>IF(C110&lt;&gt;0,IF(C128=1,"seratus ",IF(C128=0,"",TRIM(MID(C114,(C128-1)*8+1,8))&amp;" ratus")),"")</f>
        <v>#REF!</v>
      </c>
      <c r="D129" s="395" t="e">
        <f>IF(C110&lt;&gt;0,IF(C131=0,"sepuluh ",IF(C131=1,"sebelas ",TRIM(MID(C114,(C131-1)*8+1,8))&amp;" belas ")),"")</f>
        <v>#REF!</v>
      </c>
      <c r="E129" s="368"/>
      <c r="F129" s="368"/>
      <c r="G129" s="369"/>
      <c r="H129" s="368"/>
      <c r="I129" s="388" t="s">
        <v>299</v>
      </c>
      <c r="J129" s="368"/>
      <c r="K129" s="368"/>
      <c r="L129" s="372"/>
    </row>
    <row r="130" spans="2:12" s="360" customFormat="1" ht="15" x14ac:dyDescent="0.25">
      <c r="B130" s="389" t="s">
        <v>301</v>
      </c>
      <c r="C130" s="394" t="e">
        <f>IF(C110&lt;&gt;0,VALUE(MID(C127,2,1)),0)</f>
        <v>#REF!</v>
      </c>
      <c r="D130" s="395" t="e">
        <f>IF(C110&lt;&gt;0,IF(C131&lt;&gt;0,TRIM(MID(C114,(C131-1)*8+1,8))&amp;" ",""),"")</f>
        <v>#REF!</v>
      </c>
      <c r="E130" s="368"/>
      <c r="F130" s="368"/>
      <c r="G130" s="369"/>
      <c r="H130" s="368"/>
      <c r="I130" s="388" t="s">
        <v>299</v>
      </c>
      <c r="J130" s="368"/>
      <c r="K130" s="368"/>
      <c r="L130" s="372"/>
    </row>
    <row r="131" spans="2:12" s="360" customFormat="1" ht="15" x14ac:dyDescent="0.25">
      <c r="B131" s="389" t="s">
        <v>301</v>
      </c>
      <c r="C131" s="394" t="e">
        <f>IF(C110&lt;&gt;0,VALUE(MID(C127,3,1)),0)</f>
        <v>#REF!</v>
      </c>
      <c r="D131" s="395" t="e">
        <f>IF(AND(C110&lt;&gt;0,C131&gt;0),D128&amp;TRIM(MID(C114,(C131-1)*8+1,8))&amp;" ",+D128)</f>
        <v>#REF!</v>
      </c>
      <c r="E131" s="368"/>
      <c r="F131" s="368"/>
      <c r="G131" s="369"/>
      <c r="H131" s="368"/>
      <c r="I131" s="388" t="s">
        <v>299</v>
      </c>
      <c r="J131" s="368"/>
      <c r="K131" s="368"/>
      <c r="L131" s="372"/>
    </row>
    <row r="132" spans="2:12" s="360" customFormat="1" ht="15" x14ac:dyDescent="0.25">
      <c r="B132" s="389" t="s">
        <v>301</v>
      </c>
      <c r="C132" s="394" t="e">
        <f>IF(C130=1,+D129,IF(C130=0,D130,D131))</f>
        <v>#REF!</v>
      </c>
      <c r="D132" s="395" t="e">
        <f>IF(VALUE(TRIM(C127))&lt;&gt;0,IF(AND(VALUE(TRIM(C127))=1,D127=2),"se",C132),"")</f>
        <v>#REF!</v>
      </c>
      <c r="E132" s="368"/>
      <c r="F132" s="368"/>
      <c r="G132" s="369"/>
      <c r="H132" s="368"/>
      <c r="I132" s="388" t="s">
        <v>299</v>
      </c>
      <c r="J132" s="368"/>
      <c r="K132" s="368"/>
      <c r="L132" s="372"/>
    </row>
    <row r="133" spans="2:12" s="360" customFormat="1" ht="15" x14ac:dyDescent="0.25">
      <c r="B133" s="389" t="s">
        <v>301</v>
      </c>
      <c r="C133" s="394" t="e">
        <f>IF(VALUE(TRIM(C127))&lt;&gt;0,C129&amp;" "&amp;D132&amp;TRIM(MID(C115,(D127-1)*7+1,7))&amp;" ","")</f>
        <v>#REF!</v>
      </c>
      <c r="D133" s="395"/>
      <c r="E133" s="368"/>
      <c r="F133" s="368"/>
      <c r="G133" s="369"/>
      <c r="H133" s="368"/>
      <c r="I133" s="388" t="s">
        <v>299</v>
      </c>
      <c r="J133" s="368"/>
      <c r="K133" s="368"/>
      <c r="L133" s="372"/>
    </row>
    <row r="134" spans="2:12" s="360" customFormat="1" ht="15" x14ac:dyDescent="0.25">
      <c r="B134" s="389" t="s">
        <v>301</v>
      </c>
      <c r="C134" s="396"/>
      <c r="D134" s="397"/>
      <c r="E134" s="368"/>
      <c r="F134" s="368"/>
      <c r="G134" s="369"/>
      <c r="H134" s="368"/>
      <c r="I134" s="388" t="s">
        <v>299</v>
      </c>
      <c r="J134" s="368"/>
      <c r="K134" s="368"/>
      <c r="L134" s="372"/>
    </row>
    <row r="135" spans="2:12" s="360" customFormat="1" ht="15" x14ac:dyDescent="0.25">
      <c r="B135" s="389" t="s">
        <v>301</v>
      </c>
      <c r="C135" s="368"/>
      <c r="D135" s="368"/>
      <c r="E135" s="368"/>
      <c r="F135" s="368"/>
      <c r="G135" s="369"/>
      <c r="H135" s="368"/>
      <c r="I135" s="388" t="s">
        <v>299</v>
      </c>
      <c r="J135" s="368"/>
      <c r="K135" s="368"/>
      <c r="L135" s="372"/>
    </row>
    <row r="136" spans="2:12" s="360" customFormat="1" ht="15" x14ac:dyDescent="0.25">
      <c r="B136" s="389" t="s">
        <v>301</v>
      </c>
      <c r="C136" s="392" t="e">
        <f>IF(VALUE(C116)&gt;0,MID(C116,12-(D136*3)+1,3),"")</f>
        <v>#REF!</v>
      </c>
      <c r="D136" s="393">
        <v>3</v>
      </c>
      <c r="E136" s="368"/>
      <c r="F136" s="368"/>
      <c r="G136" s="369"/>
      <c r="H136" s="368"/>
      <c r="I136" s="388" t="s">
        <v>299</v>
      </c>
      <c r="J136" s="368"/>
      <c r="K136" s="368"/>
      <c r="L136" s="372"/>
    </row>
    <row r="137" spans="2:12" s="360" customFormat="1" ht="15" x14ac:dyDescent="0.25">
      <c r="B137" s="389" t="s">
        <v>301</v>
      </c>
      <c r="C137" s="394" t="e">
        <f>IF(TRIM(C136)&lt;&gt;"",VALUE(MID(C136,1,1)),0)</f>
        <v>#REF!</v>
      </c>
      <c r="D137" s="395" t="e">
        <f>IF(AND(C110&lt;&gt;0,C139&gt;1),TRIM(MID(C114,(C139-1)*8+1,8))&amp;" puluh "," ")</f>
        <v>#REF!</v>
      </c>
      <c r="E137" s="368"/>
      <c r="F137" s="368"/>
      <c r="G137" s="369"/>
      <c r="H137" s="368"/>
      <c r="I137" s="388" t="s">
        <v>299</v>
      </c>
      <c r="J137" s="368"/>
      <c r="K137" s="368"/>
      <c r="L137" s="372"/>
    </row>
    <row r="138" spans="2:12" s="360" customFormat="1" ht="15" x14ac:dyDescent="0.25">
      <c r="B138" s="389" t="s">
        <v>301</v>
      </c>
      <c r="C138" s="394" t="e">
        <f>IF(C110&lt;&gt;0,IF(C137=1,"seratus ",IF(C137=0,"",TRIM(MID(C114,(C137-1)*8+1,8))&amp;" ratus")),"")</f>
        <v>#REF!</v>
      </c>
      <c r="D138" s="395" t="e">
        <f>IF(C110&lt;&gt;0,IF(C140=0,"sepuluh ",IF(C140=1,"sebelas ",TRIM(MID(C114,(C140-1)*8+1,8))&amp;" belas ")),"")</f>
        <v>#REF!</v>
      </c>
      <c r="E138" s="368"/>
      <c r="F138" s="368"/>
      <c r="G138" s="369"/>
      <c r="H138" s="368"/>
      <c r="I138" s="388" t="s">
        <v>299</v>
      </c>
      <c r="J138" s="368"/>
      <c r="K138" s="368"/>
      <c r="L138" s="372"/>
    </row>
    <row r="139" spans="2:12" s="360" customFormat="1" ht="15" x14ac:dyDescent="0.25">
      <c r="B139" s="389" t="s">
        <v>301</v>
      </c>
      <c r="C139" s="394" t="e">
        <f>IF(C110&lt;&gt;0,VALUE(MID(C136,2,1)),0)</f>
        <v>#REF!</v>
      </c>
      <c r="D139" s="395" t="e">
        <f>IF(C110&lt;&gt;0,IF(C140&lt;&gt;0,TRIM(MID(C114,(C140-1)*8+1,8))&amp;" ",""),"")</f>
        <v>#REF!</v>
      </c>
      <c r="E139" s="368"/>
      <c r="F139" s="368"/>
      <c r="G139" s="369"/>
      <c r="H139" s="368"/>
      <c r="I139" s="388" t="s">
        <v>299</v>
      </c>
      <c r="J139" s="368"/>
      <c r="K139" s="368"/>
      <c r="L139" s="372"/>
    </row>
    <row r="140" spans="2:12" s="360" customFormat="1" ht="15" x14ac:dyDescent="0.25">
      <c r="B140" s="389" t="s">
        <v>301</v>
      </c>
      <c r="C140" s="394" t="e">
        <f>IF(C110&lt;&gt;0,VALUE(MID(C136,3,1)),0)</f>
        <v>#REF!</v>
      </c>
      <c r="D140" s="395" t="e">
        <f>IF(AND(C110&lt;&gt;0,C140&gt;0),D137&amp;TRIM(MID(C114,(C140-1)*8+1,8))&amp;" ",+D137)</f>
        <v>#REF!</v>
      </c>
      <c r="E140" s="368"/>
      <c r="F140" s="368"/>
      <c r="G140" s="369"/>
      <c r="H140" s="368"/>
      <c r="I140" s="388" t="s">
        <v>299</v>
      </c>
      <c r="J140" s="368"/>
      <c r="K140" s="368"/>
      <c r="L140" s="372"/>
    </row>
    <row r="141" spans="2:12" s="360" customFormat="1" ht="15" x14ac:dyDescent="0.25">
      <c r="B141" s="389" t="s">
        <v>301</v>
      </c>
      <c r="C141" s="394" t="e">
        <f>IF(C139=1,+D138,IF(C139=0,D139,D140))</f>
        <v>#REF!</v>
      </c>
      <c r="D141" s="395" t="e">
        <f>IF(VALUE(TRIM(C136))&lt;&gt;0,IF(AND(VALUE(TRIM(C136))=1,D136=2),"se",C141),"")</f>
        <v>#REF!</v>
      </c>
      <c r="E141" s="368"/>
      <c r="F141" s="368"/>
      <c r="G141" s="369"/>
      <c r="H141" s="368"/>
      <c r="I141" s="388" t="s">
        <v>299</v>
      </c>
      <c r="J141" s="368"/>
      <c r="K141" s="368"/>
      <c r="L141" s="372"/>
    </row>
    <row r="142" spans="2:12" s="360" customFormat="1" ht="15" x14ac:dyDescent="0.25">
      <c r="B142" s="389" t="s">
        <v>301</v>
      </c>
      <c r="C142" s="394" t="e">
        <f>IF(VALUE(TRIM(C136))&lt;&gt;0,C138&amp;" "&amp;D141&amp;TRIM(MID(C115,(D136-1)*7+1,7))&amp;" ","")</f>
        <v>#REF!</v>
      </c>
      <c r="D142" s="395"/>
      <c r="E142" s="368"/>
      <c r="F142" s="368"/>
      <c r="G142" s="369"/>
      <c r="H142" s="368"/>
      <c r="I142" s="388" t="s">
        <v>299</v>
      </c>
      <c r="J142" s="368"/>
      <c r="K142" s="368"/>
      <c r="L142" s="372"/>
    </row>
    <row r="143" spans="2:12" s="360" customFormat="1" ht="15" x14ac:dyDescent="0.25">
      <c r="B143" s="389" t="s">
        <v>301</v>
      </c>
      <c r="C143" s="396"/>
      <c r="D143" s="397"/>
      <c r="E143" s="368"/>
      <c r="F143" s="368"/>
      <c r="G143" s="369"/>
      <c r="H143" s="368"/>
      <c r="I143" s="388" t="s">
        <v>299</v>
      </c>
      <c r="J143" s="368"/>
      <c r="K143" s="368"/>
      <c r="L143" s="372"/>
    </row>
    <row r="144" spans="2:12" s="360" customFormat="1" ht="15" x14ac:dyDescent="0.25">
      <c r="B144" s="389" t="s">
        <v>301</v>
      </c>
      <c r="C144" s="368"/>
      <c r="D144" s="368"/>
      <c r="E144" s="368"/>
      <c r="F144" s="368"/>
      <c r="G144" s="369"/>
      <c r="H144" s="368"/>
      <c r="I144" s="388" t="s">
        <v>299</v>
      </c>
      <c r="J144" s="368"/>
      <c r="K144" s="368"/>
      <c r="L144" s="372"/>
    </row>
    <row r="145" spans="2:12" s="360" customFormat="1" ht="15" x14ac:dyDescent="0.25">
      <c r="B145" s="389" t="s">
        <v>301</v>
      </c>
      <c r="C145" s="392" t="e">
        <f>IF(VALUE(C116)&gt;0,MID(C116,12-(D145*3)+1,3),"")</f>
        <v>#REF!</v>
      </c>
      <c r="D145" s="393">
        <v>4</v>
      </c>
      <c r="E145" s="368"/>
      <c r="F145" s="368"/>
      <c r="G145" s="369"/>
      <c r="H145" s="368"/>
      <c r="I145" s="388" t="s">
        <v>299</v>
      </c>
      <c r="J145" s="368"/>
      <c r="K145" s="368"/>
      <c r="L145" s="372"/>
    </row>
    <row r="146" spans="2:12" s="360" customFormat="1" ht="15" x14ac:dyDescent="0.25">
      <c r="B146" s="389" t="s">
        <v>301</v>
      </c>
      <c r="C146" s="394" t="e">
        <f>IF(TRIM(C145)&lt;&gt;"",VALUE(MID(C145,1,1)),0)</f>
        <v>#REF!</v>
      </c>
      <c r="D146" s="395" t="e">
        <f>IF(AND(C110&lt;&gt;0,C148&gt;1),TRIM(MID(C114,(C148-1)*8+1,8))&amp;" puluh "," ")</f>
        <v>#REF!</v>
      </c>
      <c r="E146" s="368"/>
      <c r="F146" s="368"/>
      <c r="G146" s="369"/>
      <c r="H146" s="368"/>
      <c r="I146" s="388" t="s">
        <v>299</v>
      </c>
      <c r="J146" s="368"/>
      <c r="K146" s="368"/>
      <c r="L146" s="372"/>
    </row>
    <row r="147" spans="2:12" s="360" customFormat="1" ht="15" x14ac:dyDescent="0.25">
      <c r="B147" s="389" t="s">
        <v>301</v>
      </c>
      <c r="C147" s="394" t="e">
        <f>IF(C110&lt;&gt;0,IF(C146=1,"seratus ",IF(C146=0,"",TRIM(MID(C114,(C146-1)*8+1,8))&amp;" ratus")),"")</f>
        <v>#REF!</v>
      </c>
      <c r="D147" s="395" t="e">
        <f>IF(C110&lt;&gt;0,IF(C149=0,"sepuluh ",IF(C149=1,"sebelas ",TRIM(MID(C114,(C149-1)*8+1,8))&amp;" belas ")),"")</f>
        <v>#REF!</v>
      </c>
      <c r="E147" s="368"/>
      <c r="F147" s="368"/>
      <c r="G147" s="369"/>
      <c r="H147" s="368"/>
      <c r="I147" s="388" t="s">
        <v>299</v>
      </c>
      <c r="J147" s="368"/>
      <c r="K147" s="368"/>
      <c r="L147" s="372"/>
    </row>
    <row r="148" spans="2:12" s="360" customFormat="1" ht="15" x14ac:dyDescent="0.25">
      <c r="B148" s="389" t="s">
        <v>301</v>
      </c>
      <c r="C148" s="394" t="e">
        <f>IF(C110&lt;&gt;0,VALUE(MID(C145,2,1)),0)</f>
        <v>#REF!</v>
      </c>
      <c r="D148" s="395" t="e">
        <f>IF(C110&lt;&gt;0,IF(C149&lt;&gt;0,TRIM(MID(C114,(C149-1)*8+1,8))&amp;" ",""),"")</f>
        <v>#REF!</v>
      </c>
      <c r="E148" s="368"/>
      <c r="F148" s="368"/>
      <c r="G148" s="369"/>
      <c r="H148" s="368"/>
      <c r="I148" s="388" t="s">
        <v>299</v>
      </c>
      <c r="J148" s="368"/>
      <c r="K148" s="368"/>
      <c r="L148" s="372"/>
    </row>
    <row r="149" spans="2:12" s="360" customFormat="1" ht="15" x14ac:dyDescent="0.25">
      <c r="B149" s="389" t="s">
        <v>301</v>
      </c>
      <c r="C149" s="394" t="e">
        <f>IF(C110&lt;&gt;0,VALUE(MID(C145,3,1)),0)</f>
        <v>#REF!</v>
      </c>
      <c r="D149" s="395" t="e">
        <f>IF(AND(C110&lt;&gt;0,C149&gt;0),D146&amp;TRIM(MID(C114,(C149-1)*8+1,8))&amp;" ",+D146)</f>
        <v>#REF!</v>
      </c>
      <c r="E149" s="368"/>
      <c r="F149" s="368"/>
      <c r="G149" s="369"/>
      <c r="H149" s="368"/>
      <c r="I149" s="388" t="s">
        <v>299</v>
      </c>
      <c r="J149" s="368"/>
      <c r="K149" s="368"/>
      <c r="L149" s="372"/>
    </row>
    <row r="150" spans="2:12" s="360" customFormat="1" ht="15" x14ac:dyDescent="0.25">
      <c r="B150" s="389" t="s">
        <v>301</v>
      </c>
      <c r="C150" s="394" t="e">
        <f>IF(C148=1,+D147,IF(C148=0,D148,D149))</f>
        <v>#REF!</v>
      </c>
      <c r="D150" s="395" t="e">
        <f>IF(VALUE(TRIM(C145))&lt;&gt;0,IF(AND(VALUE(TRIM(C145))=1,D145=2),"se",C150),"")</f>
        <v>#REF!</v>
      </c>
      <c r="E150" s="368"/>
      <c r="F150" s="368"/>
      <c r="G150" s="369"/>
      <c r="H150" s="368"/>
      <c r="I150" s="388" t="s">
        <v>299</v>
      </c>
      <c r="J150" s="368"/>
      <c r="K150" s="368"/>
      <c r="L150" s="372"/>
    </row>
    <row r="151" spans="2:12" s="360" customFormat="1" ht="15" x14ac:dyDescent="0.25">
      <c r="B151" s="389" t="s">
        <v>301</v>
      </c>
      <c r="C151" s="396" t="e">
        <f>IF(VALUE(TRIM(C145))&lt;&gt;0,C147&amp;" "&amp;D150&amp;TRIM(MID(C115,(D145-1)*7+1,7))&amp;" ","")</f>
        <v>#REF!</v>
      </c>
      <c r="D151" s="397"/>
      <c r="E151" s="368"/>
      <c r="F151" s="368"/>
      <c r="G151" s="369"/>
      <c r="H151" s="368"/>
      <c r="I151" s="388" t="s">
        <v>299</v>
      </c>
      <c r="J151" s="368"/>
      <c r="K151" s="368"/>
      <c r="L151" s="372"/>
    </row>
    <row r="152" spans="2:12" s="360" customFormat="1" ht="15" x14ac:dyDescent="0.25">
      <c r="B152" s="389" t="s">
        <v>301</v>
      </c>
      <c r="C152" s="368"/>
      <c r="D152" s="368"/>
      <c r="E152" s="368"/>
      <c r="F152" s="368"/>
      <c r="G152" s="369"/>
      <c r="H152" s="368"/>
      <c r="I152" s="388" t="s">
        <v>299</v>
      </c>
      <c r="J152" s="368"/>
      <c r="K152" s="368"/>
      <c r="L152" s="372"/>
    </row>
    <row r="153" spans="2:12" s="360" customFormat="1" ht="15" x14ac:dyDescent="0.25">
      <c r="B153" s="389" t="s">
        <v>301</v>
      </c>
      <c r="C153" s="392" t="e">
        <f>IF(E164&lt;&gt;"","0"&amp;E164,"")</f>
        <v>#REF!</v>
      </c>
      <c r="D153" s="393">
        <v>1</v>
      </c>
      <c r="E153" s="368"/>
      <c r="F153" s="368"/>
      <c r="G153" s="369"/>
      <c r="H153" s="368"/>
      <c r="I153" s="388" t="s">
        <v>299</v>
      </c>
      <c r="J153" s="368"/>
      <c r="K153" s="368"/>
      <c r="L153" s="372"/>
    </row>
    <row r="154" spans="2:12" s="360" customFormat="1" ht="15" x14ac:dyDescent="0.25">
      <c r="B154" s="389" t="s">
        <v>301</v>
      </c>
      <c r="C154" s="394" t="e">
        <f>IF(TRIM(C153)&lt;&gt;"",VALUE(MID(C153,1,1)),0)</f>
        <v>#REF!</v>
      </c>
      <c r="D154" s="395" t="e">
        <f>IF(AND(C110&lt;&gt;0,C156&gt;1),TRIM(MID(C114,(C156-1)*8+1,8))&amp;" puluh "," ")</f>
        <v>#REF!</v>
      </c>
      <c r="E154" s="368"/>
      <c r="F154" s="368"/>
      <c r="G154" s="369"/>
      <c r="H154" s="368"/>
      <c r="I154" s="388" t="s">
        <v>299</v>
      </c>
      <c r="J154" s="368"/>
      <c r="K154" s="368"/>
      <c r="L154" s="372"/>
    </row>
    <row r="155" spans="2:12" s="360" customFormat="1" ht="15" x14ac:dyDescent="0.25">
      <c r="B155" s="389" t="s">
        <v>301</v>
      </c>
      <c r="C155" s="394" t="e">
        <f>IF(C110&lt;&gt;0,IF(C154=1,"seratus ",IF(C154=0,"",TRIM(MID(C114,(C154-1)*8+1,8))&amp;" ratus")),"")</f>
        <v>#REF!</v>
      </c>
      <c r="D155" s="395" t="e">
        <f>IF(C110&lt;&gt;0,IF(C159=0,"sepuluh ",IF(C159=1,"sebelas ",TRIM(MID(C114,(C159-1)*8+1,8))&amp;" belas ")),"")</f>
        <v>#REF!</v>
      </c>
      <c r="E155" s="368"/>
      <c r="F155" s="368"/>
      <c r="G155" s="369"/>
      <c r="H155" s="368"/>
      <c r="I155" s="388" t="s">
        <v>299</v>
      </c>
      <c r="J155" s="368"/>
      <c r="K155" s="368"/>
      <c r="L155" s="372"/>
    </row>
    <row r="156" spans="2:12" s="360" customFormat="1" ht="15" x14ac:dyDescent="0.25">
      <c r="B156" s="389" t="s">
        <v>301</v>
      </c>
      <c r="C156" s="394" t="e">
        <f>IF(C110&lt;&gt;0,VALUE(MID(C153,2,1)),0)</f>
        <v>#REF!</v>
      </c>
      <c r="D156" s="395" t="e">
        <f>IF(C110&lt;&gt;0,IF(C159&lt;&gt;0,TRIM(MID(C114,(C159-1)*8+1,8))&amp;" ",""),"")</f>
        <v>#REF!</v>
      </c>
      <c r="E156" s="368"/>
      <c r="F156" s="368"/>
      <c r="G156" s="369"/>
      <c r="H156" s="368"/>
      <c r="I156" s="388" t="s">
        <v>299</v>
      </c>
      <c r="J156" s="368"/>
      <c r="K156" s="368"/>
      <c r="L156" s="372"/>
    </row>
    <row r="157" spans="2:12" s="360" customFormat="1" ht="15" x14ac:dyDescent="0.25">
      <c r="B157" s="389"/>
      <c r="C157" s="394"/>
      <c r="D157" s="395"/>
      <c r="E157" s="368"/>
      <c r="F157" s="368"/>
      <c r="G157" s="369"/>
      <c r="H157" s="368"/>
      <c r="I157" s="388"/>
      <c r="J157" s="368"/>
      <c r="K157" s="368"/>
      <c r="L157" s="372"/>
    </row>
    <row r="158" spans="2:12" s="360" customFormat="1" ht="15" x14ac:dyDescent="0.25">
      <c r="B158" s="389"/>
      <c r="C158" s="394"/>
      <c r="D158" s="395"/>
      <c r="E158" s="368"/>
      <c r="F158" s="368"/>
      <c r="G158" s="369"/>
      <c r="H158" s="368"/>
      <c r="I158" s="388"/>
      <c r="J158" s="368"/>
      <c r="K158" s="368"/>
      <c r="L158" s="372"/>
    </row>
    <row r="159" spans="2:12" s="360" customFormat="1" ht="15" x14ac:dyDescent="0.25">
      <c r="B159" s="389" t="s">
        <v>301</v>
      </c>
      <c r="C159" s="394" t="e">
        <f>IF(C110&lt;&gt;0,VALUE(MID(C153,3,1)),0)</f>
        <v>#REF!</v>
      </c>
      <c r="D159" s="395" t="e">
        <f>IF(AND(C110&lt;&gt;0,C159&gt;0),D154&amp;TRIM(MID(C114,(C159-1)*8+1,8))&amp;" ",+D154)</f>
        <v>#REF!</v>
      </c>
      <c r="E159" s="368"/>
      <c r="F159" s="368"/>
      <c r="G159" s="369"/>
      <c r="H159" s="368"/>
      <c r="I159" s="388" t="s">
        <v>299</v>
      </c>
      <c r="J159" s="368"/>
      <c r="K159" s="368"/>
      <c r="L159" s="372"/>
    </row>
    <row r="160" spans="2:12" s="360" customFormat="1" ht="15" x14ac:dyDescent="0.25">
      <c r="B160" s="389" t="s">
        <v>301</v>
      </c>
      <c r="C160" s="394" t="e">
        <f>IF(C156=1,+D155,IF(C156=0,D156,D159))</f>
        <v>#REF!</v>
      </c>
      <c r="D160" s="395" t="e">
        <f>IF(VALUE(TRIM(C153))&lt;&gt;0,IF(AND(VALUE(TRIM(C153))=1,D153=2),"se",C160),"")</f>
        <v>#REF!</v>
      </c>
      <c r="E160" s="368"/>
      <c r="F160" s="368"/>
      <c r="G160" s="369"/>
      <c r="H160" s="368"/>
      <c r="I160" s="388" t="s">
        <v>299</v>
      </c>
      <c r="J160" s="368"/>
      <c r="K160" s="368"/>
      <c r="L160" s="372"/>
    </row>
    <row r="161" spans="2:12" s="360" customFormat="1" ht="15" x14ac:dyDescent="0.25">
      <c r="B161" s="389" t="s">
        <v>301</v>
      </c>
      <c r="C161" s="394" t="e">
        <f>IF(VALUE(TRIM(C153))&lt;&gt;0,C155&amp;" "&amp;D160&amp;TRIM(MID(C115,(D153-1)*7+1,7)),"")</f>
        <v>#REF!</v>
      </c>
      <c r="D161" s="395"/>
      <c r="E161" s="368"/>
      <c r="F161" s="368"/>
      <c r="G161" s="369"/>
      <c r="H161" s="368"/>
      <c r="I161" s="388" t="s">
        <v>299</v>
      </c>
      <c r="J161" s="368"/>
      <c r="K161" s="368"/>
      <c r="L161" s="372"/>
    </row>
    <row r="162" spans="2:12" s="360" customFormat="1" ht="15" x14ac:dyDescent="0.25">
      <c r="B162" s="389" t="s">
        <v>301</v>
      </c>
      <c r="C162" s="396"/>
      <c r="D162" s="397"/>
      <c r="E162" s="368"/>
      <c r="F162" s="368"/>
      <c r="G162" s="369"/>
      <c r="H162" s="368"/>
      <c r="I162" s="398" t="s">
        <v>305</v>
      </c>
      <c r="J162" s="368"/>
      <c r="K162" s="368"/>
      <c r="L162" s="372"/>
    </row>
    <row r="163" spans="2:12" s="360" customFormat="1" ht="15" x14ac:dyDescent="0.25">
      <c r="B163" s="389" t="s">
        <v>301</v>
      </c>
      <c r="C163" s="368"/>
      <c r="D163" s="368"/>
      <c r="E163" s="368"/>
      <c r="F163" s="368"/>
      <c r="G163" s="369"/>
      <c r="H163" s="368"/>
      <c r="I163" s="371"/>
      <c r="J163" s="368"/>
      <c r="K163" s="368"/>
      <c r="L163" s="372"/>
    </row>
    <row r="164" spans="2:12" s="360" customFormat="1" ht="15" x14ac:dyDescent="0.25">
      <c r="B164" s="389" t="s">
        <v>301</v>
      </c>
      <c r="C164" s="392" t="e">
        <f>IF(VALUE(E164)=0,"",C161&amp;"sen")</f>
        <v>#REF!</v>
      </c>
      <c r="D164" s="399" t="e">
        <f>LEN(C166)</f>
        <v>#REF!</v>
      </c>
      <c r="E164" s="399" t="e">
        <f>RIGHT(FIXED(C110,2,TRUE),2)</f>
        <v>#REF!</v>
      </c>
      <c r="F164" s="399"/>
      <c r="G164" s="400"/>
      <c r="H164" s="399"/>
      <c r="I164" s="401"/>
      <c r="J164" s="368"/>
      <c r="K164" s="368"/>
      <c r="L164" s="372"/>
    </row>
    <row r="165" spans="2:12" s="360" customFormat="1" ht="15" x14ac:dyDescent="0.25">
      <c r="B165" s="389" t="s">
        <v>301</v>
      </c>
      <c r="C165" s="394" t="e">
        <f>TRIM(C151&amp;C142&amp;C133&amp;C124)&amp;" rupiah"</f>
        <v>#REF!</v>
      </c>
      <c r="D165" s="368" t="e">
        <f>IF(C165=" rupiah","",+C165)</f>
        <v>#REF!</v>
      </c>
      <c r="E165" s="368"/>
      <c r="F165" s="368"/>
      <c r="G165" s="369"/>
      <c r="H165" s="368"/>
      <c r="I165" s="371"/>
      <c r="J165" s="368"/>
      <c r="K165" s="368"/>
      <c r="L165" s="372"/>
    </row>
    <row r="166" spans="2:12" s="360" customFormat="1" ht="15" x14ac:dyDescent="0.25">
      <c r="B166" s="389" t="s">
        <v>301</v>
      </c>
      <c r="C166" s="394" t="e">
        <f>TRIM(D165&amp;C164)</f>
        <v>#REF!</v>
      </c>
      <c r="D166" s="368"/>
      <c r="E166" s="368"/>
      <c r="F166" s="368"/>
      <c r="G166" s="369"/>
      <c r="H166" s="368"/>
      <c r="I166" s="371"/>
      <c r="J166" s="368"/>
      <c r="K166" s="368"/>
      <c r="L166" s="372"/>
    </row>
    <row r="167" spans="2:12" s="360" customFormat="1" ht="15" x14ac:dyDescent="0.25">
      <c r="B167" s="389" t="s">
        <v>301</v>
      </c>
      <c r="C167" s="396" t="e">
        <f>IF(D164&lt;&gt;0,UPPER(LEFT(C166,1))&amp;RIGHT(C166,D164-1),"")&amp;""</f>
        <v>#REF!</v>
      </c>
      <c r="D167" s="402"/>
      <c r="E167" s="402"/>
      <c r="F167" s="402"/>
      <c r="G167" s="403"/>
      <c r="H167" s="402"/>
      <c r="I167" s="404"/>
      <c r="J167" s="368"/>
      <c r="K167" s="368"/>
      <c r="L167" s="372"/>
    </row>
    <row r="168" spans="2:12" s="360" customFormat="1" ht="15.75" thickBot="1" x14ac:dyDescent="0.3">
      <c r="B168" s="405"/>
      <c r="C168" s="406"/>
      <c r="D168" s="406"/>
      <c r="E168" s="406"/>
      <c r="F168" s="406"/>
      <c r="G168" s="407"/>
      <c r="H168" s="406"/>
      <c r="I168" s="408"/>
      <c r="J168" s="406"/>
      <c r="K168" s="406"/>
      <c r="L168" s="409"/>
    </row>
    <row r="169" spans="2:12" s="360" customFormat="1" ht="15" x14ac:dyDescent="0.25">
      <c r="B169" s="410"/>
      <c r="C169" s="410"/>
      <c r="D169" s="411"/>
      <c r="E169" s="411"/>
      <c r="F169" s="411"/>
      <c r="G169" s="412"/>
      <c r="H169" s="411"/>
      <c r="I169" s="413"/>
      <c r="J169" s="414"/>
      <c r="K169" s="410"/>
      <c r="L169" s="411"/>
    </row>
    <row r="170" spans="2:12" s="336" customFormat="1" x14ac:dyDescent="0.2">
      <c r="B170" s="332"/>
      <c r="C170" s="332"/>
      <c r="D170" s="333"/>
      <c r="E170" s="333"/>
      <c r="F170" s="332"/>
      <c r="G170" s="334"/>
      <c r="H170" s="335"/>
      <c r="I170" s="333"/>
      <c r="J170" s="332"/>
      <c r="K170" s="332"/>
    </row>
  </sheetData>
  <mergeCells count="5">
    <mergeCell ref="B1:E1"/>
    <mergeCell ref="B51:B52"/>
    <mergeCell ref="C7:D7"/>
    <mergeCell ref="C51:E52"/>
    <mergeCell ref="C110:D110"/>
  </mergeCells>
  <printOptions horizontalCentered="1"/>
  <pageMargins left="0.25" right="0.25" top="0.75" bottom="0.5" header="0" footer="0"/>
  <pageSetup paperSize="9" scale="96" orientation="portrait" horizontalDpi="4294967293" r:id="rId1"/>
  <rowBreaks count="1" manualBreakCount="1">
    <brk id="40" min="1" max="4" man="1"/>
  </rowBreaks>
  <colBreaks count="1" manualBreakCount="1">
    <brk id="5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W451"/>
  <sheetViews>
    <sheetView view="pageBreakPreview" topLeftCell="A407" zoomScaleNormal="70" zoomScaleSheetLayoutView="100" workbookViewId="0">
      <selection activeCell="C51" sqref="C51:E52"/>
    </sheetView>
  </sheetViews>
  <sheetFormatPr defaultColWidth="8.7109375" defaultRowHeight="16.5" x14ac:dyDescent="0.3"/>
  <cols>
    <col min="1" max="1" width="1.7109375" style="710" customWidth="1"/>
    <col min="2" max="2" width="4" style="957" customWidth="1"/>
    <col min="3" max="3" width="5.140625" style="713" customWidth="1"/>
    <col min="4" max="4" width="52.7109375" style="713" customWidth="1"/>
    <col min="5" max="5" width="10.7109375" style="714" customWidth="1"/>
    <col min="6" max="6" width="6.5703125" style="715" customWidth="1"/>
    <col min="7" max="7" width="13.28515625" style="715" customWidth="1"/>
    <col min="8" max="8" width="17.140625" style="716" bestFit="1" customWidth="1"/>
    <col min="9" max="9" width="17.42578125" style="958" customWidth="1"/>
    <col min="10" max="10" width="16.42578125" style="717" hidden="1" customWidth="1"/>
    <col min="11" max="11" width="4.7109375" style="710" customWidth="1"/>
    <col min="12" max="12" width="6.5703125" style="710" hidden="1" customWidth="1"/>
    <col min="13" max="13" width="17.140625" style="711" hidden="1" customWidth="1"/>
    <col min="14" max="14" width="16.28515625" style="710" hidden="1" customWidth="1"/>
    <col min="15" max="15" width="11.140625" style="710" hidden="1" customWidth="1"/>
    <col min="16" max="16" width="8.7109375" style="710" hidden="1" customWidth="1"/>
    <col min="17" max="19" width="0" style="710" hidden="1" customWidth="1"/>
    <col min="20" max="20" width="16" style="710" bestFit="1" customWidth="1"/>
    <col min="21" max="21" width="8.7109375" style="710"/>
    <col min="22" max="22" width="11" style="710" bestFit="1" customWidth="1"/>
    <col min="23" max="24" width="8.7109375" style="710"/>
    <col min="25" max="25" width="10" style="710" bestFit="1" customWidth="1"/>
    <col min="26" max="16384" width="8.7109375" style="710"/>
  </cols>
  <sheetData>
    <row r="1" spans="2:13" ht="23.25" x14ac:dyDescent="0.35">
      <c r="B1" s="3067" t="s">
        <v>1306</v>
      </c>
      <c r="C1" s="3067"/>
      <c r="D1" s="3067"/>
      <c r="E1" s="3067"/>
      <c r="F1" s="3067"/>
      <c r="G1" s="3067"/>
      <c r="H1" s="3067"/>
      <c r="I1" s="3067"/>
      <c r="J1" s="709"/>
    </row>
    <row r="2" spans="2:13" x14ac:dyDescent="0.3">
      <c r="B2" s="712"/>
      <c r="I2" s="716"/>
    </row>
    <row r="3" spans="2:13" x14ac:dyDescent="0.3">
      <c r="B3" s="712" t="s">
        <v>198</v>
      </c>
      <c r="D3" s="3078" t="s">
        <v>1308</v>
      </c>
      <c r="E3" s="3078"/>
      <c r="F3" s="3078"/>
      <c r="G3" s="3078"/>
      <c r="H3" s="3078"/>
      <c r="I3" s="3078"/>
    </row>
    <row r="4" spans="2:13" x14ac:dyDescent="0.3">
      <c r="B4" s="712" t="s">
        <v>199</v>
      </c>
      <c r="D4" s="713" t="s">
        <v>1309</v>
      </c>
      <c r="E4" s="718"/>
      <c r="F4" s="719"/>
      <c r="I4" s="716"/>
    </row>
    <row r="5" spans="2:13" x14ac:dyDescent="0.3">
      <c r="B5" s="712" t="s">
        <v>230</v>
      </c>
      <c r="D5" s="713" t="s">
        <v>1310</v>
      </c>
      <c r="E5" s="718"/>
      <c r="F5" s="719"/>
      <c r="I5" s="716"/>
    </row>
    <row r="6" spans="2:13" ht="17.25" thickBot="1" x14ac:dyDescent="0.35">
      <c r="B6" s="720"/>
      <c r="C6" s="721"/>
      <c r="D6" s="721"/>
      <c r="E6" s="722"/>
      <c r="F6" s="720"/>
      <c r="G6" s="720"/>
      <c r="H6" s="723"/>
      <c r="I6" s="723"/>
    </row>
    <row r="7" spans="2:13" ht="17.25" thickTop="1" x14ac:dyDescent="0.3">
      <c r="B7" s="3068" t="s">
        <v>171</v>
      </c>
      <c r="C7" s="3070" t="s">
        <v>200</v>
      </c>
      <c r="D7" s="3071"/>
      <c r="E7" s="3074" t="s">
        <v>126</v>
      </c>
      <c r="F7" s="3076" t="s">
        <v>201</v>
      </c>
      <c r="G7" s="3076" t="s">
        <v>136</v>
      </c>
      <c r="H7" s="724" t="s">
        <v>127</v>
      </c>
      <c r="I7" s="725" t="s">
        <v>124</v>
      </c>
      <c r="J7" s="726"/>
      <c r="L7" s="711"/>
    </row>
    <row r="8" spans="2:13" x14ac:dyDescent="0.3">
      <c r="B8" s="3069"/>
      <c r="C8" s="3072"/>
      <c r="D8" s="3073"/>
      <c r="E8" s="3075"/>
      <c r="F8" s="3077"/>
      <c r="G8" s="3077"/>
      <c r="H8" s="727" t="s">
        <v>125</v>
      </c>
      <c r="I8" s="728" t="s">
        <v>125</v>
      </c>
      <c r="J8" s="726"/>
    </row>
    <row r="9" spans="2:13" ht="17.25" thickBot="1" x14ac:dyDescent="0.35">
      <c r="B9" s="729">
        <v>1</v>
      </c>
      <c r="C9" s="3079">
        <v>2</v>
      </c>
      <c r="D9" s="3080"/>
      <c r="E9" s="730">
        <v>3</v>
      </c>
      <c r="F9" s="730">
        <v>4</v>
      </c>
      <c r="G9" s="730">
        <v>5</v>
      </c>
      <c r="H9" s="731">
        <v>6</v>
      </c>
      <c r="I9" s="732">
        <v>7</v>
      </c>
      <c r="J9" s="733"/>
    </row>
    <row r="10" spans="2:13" x14ac:dyDescent="0.3">
      <c r="B10" s="734" t="s">
        <v>41</v>
      </c>
      <c r="C10" s="735" t="s">
        <v>138</v>
      </c>
      <c r="D10" s="736"/>
      <c r="E10" s="737"/>
      <c r="F10" s="738"/>
      <c r="G10" s="738"/>
      <c r="H10" s="739"/>
      <c r="I10" s="740"/>
      <c r="J10" s="741"/>
    </row>
    <row r="11" spans="2:13" x14ac:dyDescent="0.3">
      <c r="B11" s="742">
        <v>1</v>
      </c>
      <c r="C11" s="502" t="s">
        <v>278</v>
      </c>
      <c r="D11" s="743"/>
      <c r="E11" s="744">
        <f>V.1!T10</f>
        <v>138</v>
      </c>
      <c r="F11" s="744" t="str">
        <f>V.1!U10</f>
        <v>M'</v>
      </c>
      <c r="G11" s="745" t="str">
        <f>'R.Anl'!B11</f>
        <v>A.2.2.1.4</v>
      </c>
      <c r="H11" s="746">
        <f>'R.Anl'!D11</f>
        <v>114164.52</v>
      </c>
      <c r="I11" s="747">
        <f t="shared" ref="I11:I18" si="0">H11*E11</f>
        <v>15754703.76</v>
      </c>
      <c r="J11" s="741"/>
    </row>
    <row r="12" spans="2:13" x14ac:dyDescent="0.3">
      <c r="B12" s="748">
        <f t="shared" ref="B12:B18" si="1">B11+1</f>
        <v>2</v>
      </c>
      <c r="C12" s="356" t="s">
        <v>589</v>
      </c>
      <c r="D12" s="749"/>
      <c r="E12" s="750">
        <f>V.1!T15</f>
        <v>158</v>
      </c>
      <c r="F12" s="750" t="str">
        <f>V.1!U15</f>
        <v>M'</v>
      </c>
      <c r="G12" s="1074" t="e">
        <f>'R.Anl'!$B$10</f>
        <v>#REF!</v>
      </c>
      <c r="H12" s="751" t="e">
        <f>'R.Anl'!$D$10</f>
        <v>#REF!</v>
      </c>
      <c r="I12" s="747" t="e">
        <f t="shared" si="0"/>
        <v>#REF!</v>
      </c>
      <c r="J12" s="741"/>
    </row>
    <row r="13" spans="2:13" s="753" customFormat="1" x14ac:dyDescent="0.3">
      <c r="B13" s="748">
        <f t="shared" si="1"/>
        <v>3</v>
      </c>
      <c r="C13" s="356" t="s">
        <v>612</v>
      </c>
      <c r="D13" s="749"/>
      <c r="E13" s="750">
        <v>24</v>
      </c>
      <c r="F13" s="750" t="s">
        <v>2</v>
      </c>
      <c r="G13" s="1074" t="str">
        <f>'R.Anl'!$B$12</f>
        <v>A.2.2.1.5</v>
      </c>
      <c r="H13" s="751">
        <f>'R.Anl'!$D$12</f>
        <v>2439292.6</v>
      </c>
      <c r="I13" s="747">
        <f t="shared" si="0"/>
        <v>58543022.400000006</v>
      </c>
      <c r="J13" s="752"/>
      <c r="M13" s="754"/>
    </row>
    <row r="14" spans="2:13" s="753" customFormat="1" x14ac:dyDescent="0.3">
      <c r="B14" s="748">
        <f t="shared" si="1"/>
        <v>4</v>
      </c>
      <c r="C14" s="356" t="s">
        <v>649</v>
      </c>
      <c r="D14" s="749"/>
      <c r="E14" s="750">
        <v>15</v>
      </c>
      <c r="F14" s="750" t="s">
        <v>2</v>
      </c>
      <c r="G14" s="1074" t="str">
        <f>'R.Anl'!$B$13</f>
        <v>A.2.2.1.7</v>
      </c>
      <c r="H14" s="751">
        <f>'R.Anl'!$D$13</f>
        <v>1872691.62</v>
      </c>
      <c r="I14" s="747">
        <f t="shared" si="0"/>
        <v>28090374.300000001</v>
      </c>
      <c r="J14" s="752"/>
      <c r="M14" s="754"/>
    </row>
    <row r="15" spans="2:13" s="753" customFormat="1" x14ac:dyDescent="0.3">
      <c r="B15" s="748">
        <f t="shared" si="1"/>
        <v>5</v>
      </c>
      <c r="C15" s="356" t="s">
        <v>722</v>
      </c>
      <c r="D15" s="749"/>
      <c r="E15" s="750">
        <v>27.5</v>
      </c>
      <c r="F15" s="750" t="s">
        <v>2</v>
      </c>
      <c r="G15" s="1074" t="str">
        <f>'R.Anl'!$B$14</f>
        <v>A.2.2.1.8</v>
      </c>
      <c r="H15" s="751">
        <f>'R.Anl'!$D$14</f>
        <v>1865959.52</v>
      </c>
      <c r="I15" s="747">
        <f>H15*E15</f>
        <v>51313886.799999997</v>
      </c>
      <c r="J15" s="752"/>
      <c r="M15" s="754"/>
    </row>
    <row r="16" spans="2:13" x14ac:dyDescent="0.3">
      <c r="B16" s="748">
        <f t="shared" si="1"/>
        <v>6</v>
      </c>
      <c r="C16" s="357" t="s">
        <v>651</v>
      </c>
      <c r="D16" s="749"/>
      <c r="E16" s="750">
        <v>1</v>
      </c>
      <c r="F16" s="750" t="s">
        <v>115</v>
      </c>
      <c r="G16" s="1074" t="s">
        <v>327</v>
      </c>
      <c r="H16" s="751">
        <f>BAHAN!$G$81</f>
        <v>250000</v>
      </c>
      <c r="I16" s="747">
        <f t="shared" si="0"/>
        <v>250000</v>
      </c>
      <c r="J16" s="741"/>
    </row>
    <row r="17" spans="2:20" x14ac:dyDescent="0.3">
      <c r="B17" s="748">
        <f t="shared" si="1"/>
        <v>7</v>
      </c>
      <c r="C17" s="357" t="s">
        <v>723</v>
      </c>
      <c r="D17" s="749"/>
      <c r="E17" s="750">
        <v>1</v>
      </c>
      <c r="F17" s="750" t="s">
        <v>1</v>
      </c>
      <c r="G17" s="1074" t="s">
        <v>327</v>
      </c>
      <c r="H17" s="751">
        <f>BAHAN!G82</f>
        <v>10000000</v>
      </c>
      <c r="I17" s="747">
        <f t="shared" si="0"/>
        <v>10000000</v>
      </c>
      <c r="J17" s="741"/>
      <c r="T17" s="753"/>
    </row>
    <row r="18" spans="2:20" x14ac:dyDescent="0.3">
      <c r="B18" s="748">
        <f t="shared" si="1"/>
        <v>8</v>
      </c>
      <c r="C18" s="357" t="s">
        <v>724</v>
      </c>
      <c r="D18" s="749"/>
      <c r="E18" s="750">
        <f>V.1!T22</f>
        <v>1</v>
      </c>
      <c r="F18" s="750" t="str">
        <f>V.1!U22</f>
        <v>Ls</v>
      </c>
      <c r="G18" s="1074" t="str">
        <f>'SMK3'!E4</f>
        <v>LA.01</v>
      </c>
      <c r="H18" s="751">
        <f>'SMK3'!H81</f>
        <v>29450000</v>
      </c>
      <c r="I18" s="747">
        <f t="shared" si="0"/>
        <v>29450000</v>
      </c>
      <c r="J18" s="741"/>
      <c r="T18" s="753"/>
    </row>
    <row r="19" spans="2:20" s="753" customFormat="1" ht="17.25" thickBot="1" x14ac:dyDescent="0.35">
      <c r="B19" s="755"/>
      <c r="C19" s="756"/>
      <c r="D19" s="757"/>
      <c r="E19" s="758"/>
      <c r="F19" s="759"/>
      <c r="G19" s="792"/>
      <c r="H19" s="793"/>
      <c r="I19" s="760"/>
      <c r="J19" s="752"/>
      <c r="M19" s="754"/>
    </row>
    <row r="20" spans="2:20" s="753" customFormat="1" ht="17.25" thickBot="1" x14ac:dyDescent="0.35">
      <c r="B20" s="761"/>
      <c r="C20" s="762"/>
      <c r="D20" s="763"/>
      <c r="E20" s="3064" t="s">
        <v>202</v>
      </c>
      <c r="F20" s="3064"/>
      <c r="G20" s="3064"/>
      <c r="H20" s="3065"/>
      <c r="I20" s="764" t="e">
        <f>SUM(I10:I19)</f>
        <v>#REF!</v>
      </c>
      <c r="J20" s="765"/>
      <c r="M20" s="754"/>
    </row>
    <row r="21" spans="2:20" s="753" customFormat="1" x14ac:dyDescent="0.3">
      <c r="B21" s="766" t="s">
        <v>53</v>
      </c>
      <c r="C21" s="767" t="s">
        <v>314</v>
      </c>
      <c r="D21" s="768"/>
      <c r="E21" s="769"/>
      <c r="F21" s="770"/>
      <c r="G21" s="927"/>
      <c r="H21" s="1075"/>
      <c r="I21" s="771"/>
      <c r="J21" s="765"/>
      <c r="L21" s="772"/>
      <c r="M21" s="754"/>
    </row>
    <row r="22" spans="2:20" s="753" customFormat="1" x14ac:dyDescent="0.3">
      <c r="B22" s="773" t="s">
        <v>31</v>
      </c>
      <c r="C22" s="774" t="s">
        <v>146</v>
      </c>
      <c r="D22" s="775"/>
      <c r="E22" s="776"/>
      <c r="F22" s="777"/>
      <c r="G22" s="745"/>
      <c r="H22" s="746"/>
      <c r="I22" s="778"/>
      <c r="J22" s="779"/>
      <c r="M22" s="754"/>
    </row>
    <row r="23" spans="2:20" x14ac:dyDescent="0.3">
      <c r="B23" s="782">
        <v>1</v>
      </c>
      <c r="C23" s="783" t="s">
        <v>203</v>
      </c>
      <c r="D23" s="784"/>
      <c r="E23" s="785">
        <f>V.1!T26</f>
        <v>70.62</v>
      </c>
      <c r="F23" s="785" t="str">
        <f>V.1!U26</f>
        <v>M3</v>
      </c>
      <c r="G23" s="745" t="str">
        <f>'R.Anl'!$B$19</f>
        <v>A.2.3.1.1</v>
      </c>
      <c r="H23" s="746">
        <f>'R.Anl'!$D$19</f>
        <v>104937.5</v>
      </c>
      <c r="I23" s="747">
        <f>H23*E23</f>
        <v>7410686.2500000009</v>
      </c>
      <c r="J23" s="786"/>
    </row>
    <row r="24" spans="2:20" x14ac:dyDescent="0.3">
      <c r="B24" s="782">
        <f>+B23+1</f>
        <v>2</v>
      </c>
      <c r="C24" s="783" t="s">
        <v>727</v>
      </c>
      <c r="D24" s="784"/>
      <c r="E24" s="785">
        <f>V.1!T34</f>
        <v>17.61</v>
      </c>
      <c r="F24" s="785" t="str">
        <f>V.1!U34</f>
        <v>M3</v>
      </c>
      <c r="G24" s="745" t="str">
        <f>'R.Anl'!$B$21</f>
        <v>A.2.3.1.9</v>
      </c>
      <c r="H24" s="746">
        <f>'R.Anl'!$D$21</f>
        <v>77625</v>
      </c>
      <c r="I24" s="747">
        <f>H24*E24</f>
        <v>1366976.25</v>
      </c>
      <c r="J24" s="786"/>
    </row>
    <row r="25" spans="2:20" x14ac:dyDescent="0.3">
      <c r="B25" s="782">
        <f>B24+1</f>
        <v>3</v>
      </c>
      <c r="C25" s="783" t="s">
        <v>739</v>
      </c>
      <c r="D25" s="784"/>
      <c r="E25" s="785">
        <f>V.1!T48</f>
        <v>14.12</v>
      </c>
      <c r="F25" s="785" t="str">
        <f>V.1!U48</f>
        <v>M3</v>
      </c>
      <c r="G25" s="745" t="str">
        <f>'R.Anl'!$B$22</f>
        <v>A.2.3.1.11</v>
      </c>
      <c r="H25" s="746">
        <f>'R.Anl'!$D$22</f>
        <v>286511</v>
      </c>
      <c r="I25" s="747">
        <f>H25*E25</f>
        <v>4045535.32</v>
      </c>
      <c r="J25" s="786"/>
    </row>
    <row r="26" spans="2:20" x14ac:dyDescent="0.3">
      <c r="B26" s="782">
        <f>B25+1</f>
        <v>4</v>
      </c>
      <c r="C26" s="783" t="s">
        <v>728</v>
      </c>
      <c r="D26" s="784"/>
      <c r="E26" s="785"/>
      <c r="F26" s="785"/>
      <c r="G26" s="745"/>
      <c r="H26" s="746"/>
      <c r="I26" s="747"/>
      <c r="J26" s="786"/>
    </row>
    <row r="27" spans="2:20" x14ac:dyDescent="0.3">
      <c r="B27" s="782"/>
      <c r="C27" s="787" t="s">
        <v>204</v>
      </c>
      <c r="D27" s="784"/>
      <c r="E27" s="785">
        <f>V.1!T59</f>
        <v>53</v>
      </c>
      <c r="F27" s="785" t="str">
        <f>V.1!U59</f>
        <v>M3</v>
      </c>
      <c r="G27" s="745" t="str">
        <f>'R.Anl'!$B$21</f>
        <v>A.2.3.1.9</v>
      </c>
      <c r="H27" s="746">
        <f>'R.Anl'!$D$21</f>
        <v>77625</v>
      </c>
      <c r="I27" s="747">
        <f>H27*E27</f>
        <v>4114125</v>
      </c>
      <c r="J27" s="786"/>
    </row>
    <row r="28" spans="2:20" x14ac:dyDescent="0.3">
      <c r="B28" s="782"/>
      <c r="C28" s="787" t="s">
        <v>205</v>
      </c>
      <c r="D28" s="784"/>
      <c r="E28" s="785">
        <f>V.1!T66</f>
        <v>180.27</v>
      </c>
      <c r="F28" s="785" t="str">
        <f>V.1!U66</f>
        <v>M3</v>
      </c>
      <c r="G28" s="745" t="str">
        <f>'R.Anl'!$B$23</f>
        <v>A.2.3.1.11a</v>
      </c>
      <c r="H28" s="746">
        <f>'R.Anl'!$D$23</f>
        <v>386975</v>
      </c>
      <c r="I28" s="747">
        <f>H28*E28</f>
        <v>69759983.25</v>
      </c>
      <c r="J28" s="786"/>
    </row>
    <row r="29" spans="2:20" ht="17.25" thickBot="1" x14ac:dyDescent="0.35">
      <c r="B29" s="788"/>
      <c r="C29" s="789"/>
      <c r="D29" s="790"/>
      <c r="E29" s="791"/>
      <c r="F29" s="791"/>
      <c r="G29" s="792"/>
      <c r="H29" s="793"/>
      <c r="I29" s="794"/>
      <c r="J29" s="786"/>
    </row>
    <row r="30" spans="2:20" ht="17.25" thickBot="1" x14ac:dyDescent="0.35">
      <c r="B30" s="795"/>
      <c r="C30" s="796"/>
      <c r="D30" s="797"/>
      <c r="E30" s="3064" t="s">
        <v>206</v>
      </c>
      <c r="F30" s="3064"/>
      <c r="G30" s="3064"/>
      <c r="H30" s="3065"/>
      <c r="I30" s="764">
        <f>SUM(I21:I29)</f>
        <v>86697306.069999993</v>
      </c>
      <c r="J30" s="726"/>
    </row>
    <row r="31" spans="2:20" x14ac:dyDescent="0.3">
      <c r="B31" s="773" t="s">
        <v>139</v>
      </c>
      <c r="C31" s="798" t="s">
        <v>1235</v>
      </c>
      <c r="D31" s="799"/>
      <c r="E31" s="800"/>
      <c r="F31" s="801"/>
      <c r="G31" s="802"/>
      <c r="H31" s="803"/>
      <c r="I31" s="804"/>
      <c r="J31" s="786"/>
    </row>
    <row r="32" spans="2:20" x14ac:dyDescent="0.3">
      <c r="B32" s="780">
        <v>1</v>
      </c>
      <c r="C32" s="805" t="s">
        <v>279</v>
      </c>
      <c r="D32" s="358"/>
      <c r="E32" s="806"/>
      <c r="F32" s="806"/>
      <c r="G32" s="802"/>
      <c r="H32" s="803"/>
      <c r="I32" s="804"/>
      <c r="J32" s="786"/>
      <c r="L32" s="711"/>
      <c r="T32" s="807" t="e">
        <f>SUM(I33:I38)</f>
        <v>#REF!</v>
      </c>
    </row>
    <row r="33" spans="2:22" x14ac:dyDescent="0.3">
      <c r="B33" s="780"/>
      <c r="C33" s="808" t="s">
        <v>149</v>
      </c>
      <c r="D33" s="809" t="s">
        <v>318</v>
      </c>
      <c r="E33" s="800">
        <f>V.1!T78</f>
        <v>1</v>
      </c>
      <c r="F33" s="806" t="str">
        <f>V.1!U78</f>
        <v>Ls</v>
      </c>
      <c r="G33" s="802" t="str">
        <f>'R.Anl'!$B$62</f>
        <v>ANS.01</v>
      </c>
      <c r="H33" s="803">
        <f>'R.Anl'!$D$62</f>
        <v>23215860</v>
      </c>
      <c r="I33" s="804">
        <f t="shared" ref="I33:I38" si="2">H33*E33</f>
        <v>23215860</v>
      </c>
      <c r="J33" s="786"/>
      <c r="L33" s="810"/>
      <c r="N33" s="811"/>
    </row>
    <row r="34" spans="2:22" x14ac:dyDescent="0.3">
      <c r="B34" s="780"/>
      <c r="C34" s="808" t="s">
        <v>149</v>
      </c>
      <c r="D34" s="809" t="s">
        <v>1315</v>
      </c>
      <c r="E34" s="800">
        <f>V.1!T80</f>
        <v>1600</v>
      </c>
      <c r="F34" s="806" t="str">
        <f>V.1!U80</f>
        <v>M'</v>
      </c>
      <c r="G34" s="802" t="s">
        <v>327</v>
      </c>
      <c r="H34" s="803">
        <f>BAHAN!G30</f>
        <v>500000</v>
      </c>
      <c r="I34" s="804">
        <f t="shared" si="2"/>
        <v>800000000</v>
      </c>
      <c r="J34" s="786"/>
      <c r="L34" s="810"/>
      <c r="N34" s="811"/>
    </row>
    <row r="35" spans="2:22" ht="33" x14ac:dyDescent="0.3">
      <c r="B35" s="780"/>
      <c r="C35" s="126" t="s">
        <v>149</v>
      </c>
      <c r="D35" s="1038" t="s">
        <v>1316</v>
      </c>
      <c r="E35" s="127">
        <f>V.1!T87</f>
        <v>1600</v>
      </c>
      <c r="F35" s="128" t="str">
        <f>V.1!U87</f>
        <v>M'</v>
      </c>
      <c r="G35" s="1086" t="e">
        <f>'R.Anl'!#REF!</f>
        <v>#REF!</v>
      </c>
      <c r="H35" s="1087" t="e">
        <f>'R.Anl'!#REF!</f>
        <v>#REF!</v>
      </c>
      <c r="I35" s="135" t="e">
        <f t="shared" si="2"/>
        <v>#REF!</v>
      </c>
      <c r="J35" s="786"/>
    </row>
    <row r="36" spans="2:22" x14ac:dyDescent="0.3">
      <c r="B36" s="780"/>
      <c r="C36" s="808" t="s">
        <v>149</v>
      </c>
      <c r="D36" s="809" t="s">
        <v>280</v>
      </c>
      <c r="E36" s="800">
        <f>V.1!T94</f>
        <v>80</v>
      </c>
      <c r="F36" s="806" t="str">
        <f>V.1!U94</f>
        <v>Kali</v>
      </c>
      <c r="G36" s="802" t="e">
        <f>'R.Anl'!#REF!</f>
        <v>#REF!</v>
      </c>
      <c r="H36" s="803" t="e">
        <f>'R.Anl'!#REF!</f>
        <v>#REF!</v>
      </c>
      <c r="I36" s="804" t="e">
        <f t="shared" si="2"/>
        <v>#REF!</v>
      </c>
      <c r="J36" s="786"/>
    </row>
    <row r="37" spans="2:22" x14ac:dyDescent="0.3">
      <c r="B37" s="782"/>
      <c r="C37" s="808" t="s">
        <v>149</v>
      </c>
      <c r="D37" s="809" t="s">
        <v>281</v>
      </c>
      <c r="E37" s="812">
        <f>V.1!T101</f>
        <v>80</v>
      </c>
      <c r="F37" s="813" t="str">
        <f>V.1!U101</f>
        <v>Bh</v>
      </c>
      <c r="G37" s="802" t="e">
        <f>'R.Anl'!#REF!</f>
        <v>#REF!</v>
      </c>
      <c r="H37" s="803" t="e">
        <f>'R.Anl'!#REF!</f>
        <v>#REF!</v>
      </c>
      <c r="I37" s="804" t="e">
        <f t="shared" si="2"/>
        <v>#REF!</v>
      </c>
      <c r="J37" s="786"/>
    </row>
    <row r="38" spans="2:22" x14ac:dyDescent="0.3">
      <c r="B38" s="782"/>
      <c r="C38" s="808" t="s">
        <v>149</v>
      </c>
      <c r="D38" s="809" t="s">
        <v>596</v>
      </c>
      <c r="E38" s="814">
        <v>3</v>
      </c>
      <c r="F38" s="806" t="s">
        <v>597</v>
      </c>
      <c r="G38" s="802" t="e">
        <f>'R.Anl'!#REF!</f>
        <v>#REF!</v>
      </c>
      <c r="H38" s="803" t="e">
        <f>'R.Anl'!#REF!</f>
        <v>#REF!</v>
      </c>
      <c r="I38" s="804" t="e">
        <f t="shared" si="2"/>
        <v>#REF!</v>
      </c>
      <c r="J38" s="786"/>
      <c r="M38" s="815"/>
    </row>
    <row r="39" spans="2:22" x14ac:dyDescent="0.3">
      <c r="B39" s="782">
        <f>B32+1</f>
        <v>2</v>
      </c>
      <c r="C39" s="816" t="s">
        <v>1313</v>
      </c>
      <c r="D39" s="817"/>
      <c r="E39" s="812"/>
      <c r="F39" s="818"/>
      <c r="G39" s="802"/>
      <c r="H39" s="803"/>
      <c r="I39" s="804"/>
      <c r="J39" s="786"/>
      <c r="T39" s="807"/>
    </row>
    <row r="40" spans="2:22" x14ac:dyDescent="0.3">
      <c r="B40" s="782"/>
      <c r="C40" s="808" t="s">
        <v>149</v>
      </c>
      <c r="D40" s="784" t="s">
        <v>1317</v>
      </c>
      <c r="E40" s="813">
        <f>V.1!T115</f>
        <v>26.67</v>
      </c>
      <c r="F40" s="813" t="str">
        <f>V.1!U115</f>
        <v>M3</v>
      </c>
      <c r="G40" s="802" t="e">
        <f>'R.Anl'!#REF!</f>
        <v>#REF!</v>
      </c>
      <c r="H40" s="803" t="e">
        <f>'R.Anl'!#REF!</f>
        <v>#REF!</v>
      </c>
      <c r="I40" s="804" t="e">
        <f>H40*E40</f>
        <v>#REF!</v>
      </c>
      <c r="J40" s="786"/>
      <c r="T40" s="711">
        <f>E41/E40</f>
        <v>158.65954255718034</v>
      </c>
      <c r="V40" s="807"/>
    </row>
    <row r="41" spans="2:22" x14ac:dyDescent="0.3">
      <c r="B41" s="782"/>
      <c r="C41" s="808" t="s">
        <v>149</v>
      </c>
      <c r="D41" s="784" t="s">
        <v>207</v>
      </c>
      <c r="E41" s="813">
        <f>V.1!T123</f>
        <v>4231.45</v>
      </c>
      <c r="F41" s="813" t="str">
        <f>V.1!U123</f>
        <v>Kg</v>
      </c>
      <c r="G41" s="802" t="str">
        <f>'R.Anl'!$B$32</f>
        <v>A.4.1.1.17.b</v>
      </c>
      <c r="H41" s="803">
        <f>'R.Anl'!$D$32</f>
        <v>21453.25</v>
      </c>
      <c r="I41" s="804">
        <f>H41*E41</f>
        <v>90778354.712499991</v>
      </c>
      <c r="J41" s="786"/>
      <c r="V41" s="807"/>
    </row>
    <row r="42" spans="2:22" x14ac:dyDescent="0.3">
      <c r="B42" s="782"/>
      <c r="C42" s="808" t="s">
        <v>149</v>
      </c>
      <c r="D42" s="784" t="s">
        <v>235</v>
      </c>
      <c r="E42" s="812">
        <f>V.1!T130</f>
        <v>120.96</v>
      </c>
      <c r="F42" s="813" t="str">
        <f>V.1!U130</f>
        <v>M2</v>
      </c>
      <c r="G42" s="802" t="str">
        <f>'R.Anl'!$B$33</f>
        <v>A.4.1.1.18</v>
      </c>
      <c r="H42" s="803">
        <f>'R.Anl'!$D$33</f>
        <v>277742.25</v>
      </c>
      <c r="I42" s="804">
        <f>H42*E42</f>
        <v>33595702.559999995</v>
      </c>
      <c r="J42" s="786"/>
    </row>
    <row r="43" spans="2:22" x14ac:dyDescent="0.3">
      <c r="B43" s="782">
        <f>B39+1</f>
        <v>3</v>
      </c>
      <c r="C43" s="816" t="s">
        <v>1314</v>
      </c>
      <c r="D43" s="817"/>
      <c r="E43" s="812"/>
      <c r="F43" s="819"/>
      <c r="G43" s="802"/>
      <c r="H43" s="803"/>
      <c r="I43" s="804"/>
      <c r="J43" s="786"/>
    </row>
    <row r="44" spans="2:22" x14ac:dyDescent="0.3">
      <c r="B44" s="782"/>
      <c r="C44" s="808" t="s">
        <v>149</v>
      </c>
      <c r="D44" s="784" t="s">
        <v>1317</v>
      </c>
      <c r="E44" s="813">
        <f>V.1!T137</f>
        <v>11.45</v>
      </c>
      <c r="F44" s="813" t="str">
        <f>V.1!U137</f>
        <v>M3</v>
      </c>
      <c r="G44" s="802" t="e">
        <f>G40</f>
        <v>#REF!</v>
      </c>
      <c r="H44" s="803" t="e">
        <f>H40</f>
        <v>#REF!</v>
      </c>
      <c r="I44" s="804" t="e">
        <f>H44*E44</f>
        <v>#REF!</v>
      </c>
      <c r="J44" s="786"/>
      <c r="T44" s="711">
        <f>E45/E44</f>
        <v>143.98864628820962</v>
      </c>
    </row>
    <row r="45" spans="2:22" x14ac:dyDescent="0.3">
      <c r="B45" s="782"/>
      <c r="C45" s="808" t="s">
        <v>149</v>
      </c>
      <c r="D45" s="784" t="s">
        <v>207</v>
      </c>
      <c r="E45" s="813">
        <f>V.1!T145</f>
        <v>1648.67</v>
      </c>
      <c r="F45" s="813" t="str">
        <f>V.1!U145</f>
        <v>Kg</v>
      </c>
      <c r="G45" s="802" t="str">
        <f>'R.Anl'!$B$32</f>
        <v>A.4.1.1.17.b</v>
      </c>
      <c r="H45" s="803">
        <f>'R.Anl'!$D$32</f>
        <v>21453.25</v>
      </c>
      <c r="I45" s="804">
        <f>H45*E45</f>
        <v>35369329.677500002</v>
      </c>
      <c r="J45" s="786"/>
      <c r="T45" s="711"/>
    </row>
    <row r="46" spans="2:22" x14ac:dyDescent="0.3">
      <c r="B46" s="782"/>
      <c r="C46" s="808" t="s">
        <v>149</v>
      </c>
      <c r="D46" s="784" t="s">
        <v>235</v>
      </c>
      <c r="E46" s="812">
        <f>V.1!T152</f>
        <v>38.880000000000003</v>
      </c>
      <c r="F46" s="813" t="str">
        <f>V.1!U152</f>
        <v>M2</v>
      </c>
      <c r="G46" s="802" t="str">
        <f>'R.Anl'!$B$33</f>
        <v>A.4.1.1.18</v>
      </c>
      <c r="H46" s="803">
        <f>'R.Anl'!$D$33</f>
        <v>277742.25</v>
      </c>
      <c r="I46" s="804">
        <f>H46*E46</f>
        <v>10798618.680000002</v>
      </c>
      <c r="J46" s="786"/>
    </row>
    <row r="47" spans="2:22" x14ac:dyDescent="0.3">
      <c r="B47" s="782">
        <f>B43+1</f>
        <v>4</v>
      </c>
      <c r="C47" s="783" t="s">
        <v>1319</v>
      </c>
      <c r="D47" s="784"/>
      <c r="E47" s="812"/>
      <c r="F47" s="745"/>
      <c r="G47" s="802"/>
      <c r="H47" s="803"/>
      <c r="I47" s="804"/>
      <c r="J47" s="786"/>
      <c r="L47" s="810"/>
      <c r="N47" s="807"/>
    </row>
    <row r="48" spans="2:22" x14ac:dyDescent="0.3">
      <c r="B48" s="782"/>
      <c r="C48" s="808" t="s">
        <v>149</v>
      </c>
      <c r="D48" s="784" t="s">
        <v>1317</v>
      </c>
      <c r="E48" s="813">
        <f>V.1!T159</f>
        <v>25.57</v>
      </c>
      <c r="F48" s="813" t="str">
        <f>V.1!U159</f>
        <v>M3</v>
      </c>
      <c r="G48" s="802" t="e">
        <f>G40</f>
        <v>#REF!</v>
      </c>
      <c r="H48" s="1076" t="e">
        <f>H40</f>
        <v>#REF!</v>
      </c>
      <c r="I48" s="804" t="e">
        <f t="shared" ref="I48:I80" si="3">H48*E48</f>
        <v>#REF!</v>
      </c>
      <c r="J48" s="786"/>
      <c r="N48" s="807"/>
      <c r="T48" s="711">
        <f>(E49+E50)/E48</f>
        <v>248.20101681658193</v>
      </c>
    </row>
    <row r="49" spans="2:20" x14ac:dyDescent="0.3">
      <c r="B49" s="782"/>
      <c r="C49" s="808" t="s">
        <v>149</v>
      </c>
      <c r="D49" s="784" t="s">
        <v>207</v>
      </c>
      <c r="E49" s="813">
        <f>V.1!T169</f>
        <v>4045.7</v>
      </c>
      <c r="F49" s="813" t="str">
        <f>V.1!U169</f>
        <v>Kg</v>
      </c>
      <c r="G49" s="802" t="str">
        <f>G41</f>
        <v>A.4.1.1.17.b</v>
      </c>
      <c r="H49" s="1076">
        <f>H41</f>
        <v>21453.25</v>
      </c>
      <c r="I49" s="804">
        <f t="shared" si="3"/>
        <v>86793413.524999991</v>
      </c>
      <c r="J49" s="786"/>
      <c r="L49" s="807"/>
      <c r="N49" s="807"/>
    </row>
    <row r="50" spans="2:20" x14ac:dyDescent="0.3">
      <c r="B50" s="782"/>
      <c r="C50" s="808" t="s">
        <v>149</v>
      </c>
      <c r="D50" s="784" t="s">
        <v>599</v>
      </c>
      <c r="E50" s="813">
        <f>V.1!T180</f>
        <v>2300.8000000000002</v>
      </c>
      <c r="F50" s="813" t="str">
        <f>V.1!U180</f>
        <v>Kg</v>
      </c>
      <c r="G50" s="1077" t="str">
        <f>G49</f>
        <v>A.4.1.1.17.b</v>
      </c>
      <c r="H50" s="746">
        <f>H49</f>
        <v>21453.25</v>
      </c>
      <c r="I50" s="747">
        <f t="shared" si="3"/>
        <v>49359637.600000001</v>
      </c>
      <c r="J50" s="786"/>
      <c r="N50" s="807"/>
    </row>
    <row r="51" spans="2:20" x14ac:dyDescent="0.3">
      <c r="B51" s="782"/>
      <c r="C51" s="808" t="s">
        <v>149</v>
      </c>
      <c r="D51" s="784" t="s">
        <v>209</v>
      </c>
      <c r="E51" s="813">
        <f>V.1!T187</f>
        <v>80.64</v>
      </c>
      <c r="F51" s="813" t="str">
        <f>V.1!U187</f>
        <v>M2</v>
      </c>
      <c r="G51" s="1077" t="e">
        <f>'R.Anl'!#REF!</f>
        <v>#REF!</v>
      </c>
      <c r="H51" s="746" t="e">
        <f>'R.Anl'!#REF!</f>
        <v>#REF!</v>
      </c>
      <c r="I51" s="747" t="e">
        <f t="shared" si="3"/>
        <v>#REF!</v>
      </c>
      <c r="J51" s="786"/>
      <c r="N51" s="807"/>
    </row>
    <row r="52" spans="2:20" x14ac:dyDescent="0.3">
      <c r="B52" s="782">
        <f>B47+1</f>
        <v>5</v>
      </c>
      <c r="C52" s="783" t="s">
        <v>731</v>
      </c>
      <c r="D52" s="784"/>
      <c r="E52" s="812"/>
      <c r="F52" s="745"/>
      <c r="G52" s="820"/>
      <c r="H52" s="746"/>
      <c r="I52" s="747"/>
      <c r="J52" s="786"/>
      <c r="N52" s="717"/>
      <c r="O52" s="807">
        <f>0.5*0.5</f>
        <v>0.25</v>
      </c>
    </row>
    <row r="53" spans="2:20" x14ac:dyDescent="0.3">
      <c r="B53" s="782"/>
      <c r="C53" s="808" t="s">
        <v>149</v>
      </c>
      <c r="D53" s="784" t="s">
        <v>1317</v>
      </c>
      <c r="E53" s="813">
        <f>V.1!T195</f>
        <v>46.37</v>
      </c>
      <c r="F53" s="813" t="str">
        <f>V.1!U195</f>
        <v>M3</v>
      </c>
      <c r="G53" s="820" t="e">
        <f t="shared" ref="G53:H55" si="4">G48</f>
        <v>#REF!</v>
      </c>
      <c r="H53" s="821" t="e">
        <f t="shared" si="4"/>
        <v>#REF!</v>
      </c>
      <c r="I53" s="747" t="e">
        <f t="shared" si="3"/>
        <v>#REF!</v>
      </c>
      <c r="J53" s="786"/>
      <c r="N53" s="717"/>
      <c r="O53" s="710">
        <f>E54*(O52/E53)</f>
        <v>39.525663144274318</v>
      </c>
      <c r="T53" s="711">
        <f>(E54+E55)/E53</f>
        <v>215.89971964632306</v>
      </c>
    </row>
    <row r="54" spans="2:20" x14ac:dyDescent="0.3">
      <c r="B54" s="782"/>
      <c r="C54" s="808" t="s">
        <v>149</v>
      </c>
      <c r="D54" s="784" t="s">
        <v>207</v>
      </c>
      <c r="E54" s="813">
        <f>V.1!T204</f>
        <v>7331.22</v>
      </c>
      <c r="F54" s="813" t="str">
        <f>V.1!U204</f>
        <v>Kg</v>
      </c>
      <c r="G54" s="820" t="str">
        <f t="shared" si="4"/>
        <v>A.4.1.1.17.b</v>
      </c>
      <c r="H54" s="821">
        <f t="shared" si="4"/>
        <v>21453.25</v>
      </c>
      <c r="I54" s="747">
        <f t="shared" si="3"/>
        <v>157278495.465</v>
      </c>
      <c r="J54" s="786"/>
      <c r="N54" s="717"/>
      <c r="O54" s="822">
        <f>E55*(O52/E53)</f>
        <v>14.449266767306449</v>
      </c>
    </row>
    <row r="55" spans="2:20" x14ac:dyDescent="0.3">
      <c r="B55" s="782"/>
      <c r="C55" s="808" t="s">
        <v>149</v>
      </c>
      <c r="D55" s="784" t="s">
        <v>599</v>
      </c>
      <c r="E55" s="813">
        <f>V.1!T210</f>
        <v>2680.05</v>
      </c>
      <c r="F55" s="813" t="str">
        <f>V.1!U210</f>
        <v>Kg</v>
      </c>
      <c r="G55" s="820" t="str">
        <f t="shared" si="4"/>
        <v>A.4.1.1.17.b</v>
      </c>
      <c r="H55" s="821">
        <f t="shared" si="4"/>
        <v>21453.25</v>
      </c>
      <c r="I55" s="747">
        <f t="shared" si="3"/>
        <v>57495782.662500001</v>
      </c>
      <c r="J55" s="786"/>
      <c r="N55" s="717"/>
      <c r="O55" s="710">
        <v>2</v>
      </c>
    </row>
    <row r="56" spans="2:20" x14ac:dyDescent="0.3">
      <c r="B56" s="782"/>
      <c r="C56" s="808" t="s">
        <v>149</v>
      </c>
      <c r="D56" s="784" t="s">
        <v>196</v>
      </c>
      <c r="E56" s="813">
        <f>V.1!T217</f>
        <v>433.02</v>
      </c>
      <c r="F56" s="813" t="str">
        <f>V.1!U217</f>
        <v>M2</v>
      </c>
      <c r="G56" s="820" t="e">
        <f>'R.Anl'!#REF!</f>
        <v>#REF!</v>
      </c>
      <c r="H56" s="821" t="e">
        <f>'R.Anl'!#REF!</f>
        <v>#REF!</v>
      </c>
      <c r="I56" s="747" t="e">
        <f t="shared" si="3"/>
        <v>#REF!</v>
      </c>
      <c r="J56" s="786"/>
      <c r="N56" s="807"/>
    </row>
    <row r="57" spans="2:20" x14ac:dyDescent="0.3">
      <c r="B57" s="782">
        <f>B52+1</f>
        <v>6</v>
      </c>
      <c r="C57" s="783" t="s">
        <v>147</v>
      </c>
      <c r="D57" s="784"/>
      <c r="E57" s="813">
        <f>V.1!T223</f>
        <v>28.8</v>
      </c>
      <c r="F57" s="813" t="s">
        <v>27</v>
      </c>
      <c r="G57" s="820" t="e">
        <f>'R.Anl'!#REF!</f>
        <v>#REF!</v>
      </c>
      <c r="H57" s="746" t="e">
        <f>'R.Anl'!#REF!</f>
        <v>#REF!</v>
      </c>
      <c r="I57" s="747" t="e">
        <f t="shared" si="3"/>
        <v>#REF!</v>
      </c>
      <c r="J57" s="786"/>
      <c r="N57" s="807"/>
    </row>
    <row r="58" spans="2:20" x14ac:dyDescent="0.3">
      <c r="B58" s="782">
        <f>B57+1</f>
        <v>7</v>
      </c>
      <c r="C58" s="783" t="s">
        <v>210</v>
      </c>
      <c r="D58" s="784"/>
      <c r="E58" s="813">
        <f>V.1!T231</f>
        <v>122.4</v>
      </c>
      <c r="F58" s="813" t="s">
        <v>27</v>
      </c>
      <c r="G58" s="820" t="e">
        <f>'R.Anl'!#REF!</f>
        <v>#REF!</v>
      </c>
      <c r="H58" s="746" t="e">
        <f>'R.Anl'!#REF!</f>
        <v>#REF!</v>
      </c>
      <c r="I58" s="747" t="e">
        <f t="shared" si="3"/>
        <v>#REF!</v>
      </c>
      <c r="J58" s="786"/>
      <c r="N58" s="807"/>
    </row>
    <row r="59" spans="2:20" s="753" customFormat="1" x14ac:dyDescent="0.3">
      <c r="B59" s="782">
        <f>B58+1</f>
        <v>8</v>
      </c>
      <c r="C59" s="783" t="s">
        <v>732</v>
      </c>
      <c r="D59" s="784"/>
      <c r="E59" s="813"/>
      <c r="F59" s="813"/>
      <c r="G59" s="820"/>
      <c r="H59" s="746"/>
      <c r="I59" s="747"/>
      <c r="J59" s="823"/>
      <c r="M59" s="754"/>
      <c r="N59" s="772"/>
    </row>
    <row r="60" spans="2:20" s="753" customFormat="1" x14ac:dyDescent="0.3">
      <c r="B60" s="782"/>
      <c r="C60" s="808" t="s">
        <v>149</v>
      </c>
      <c r="D60" s="784" t="s">
        <v>1317</v>
      </c>
      <c r="E60" s="813">
        <f>V.1!T243</f>
        <v>1.31</v>
      </c>
      <c r="F60" s="813" t="str">
        <f>V.1!U243</f>
        <v>M3</v>
      </c>
      <c r="G60" s="820" t="e">
        <f t="shared" ref="G60:H62" si="5">G53</f>
        <v>#REF!</v>
      </c>
      <c r="H60" s="821" t="e">
        <f t="shared" si="5"/>
        <v>#REF!</v>
      </c>
      <c r="I60" s="747" t="e">
        <f t="shared" si="3"/>
        <v>#REF!</v>
      </c>
      <c r="J60" s="823"/>
      <c r="L60" s="772"/>
      <c r="M60" s="754"/>
      <c r="N60" s="772"/>
      <c r="T60" s="711">
        <f>(E61+E62)/E60</f>
        <v>296.54198473282446</v>
      </c>
    </row>
    <row r="61" spans="2:20" s="753" customFormat="1" x14ac:dyDescent="0.3">
      <c r="B61" s="782"/>
      <c r="C61" s="808" t="s">
        <v>149</v>
      </c>
      <c r="D61" s="784" t="s">
        <v>207</v>
      </c>
      <c r="E61" s="813">
        <f>V.1!T253</f>
        <v>361.24</v>
      </c>
      <c r="F61" s="813" t="str">
        <f>V.1!U253</f>
        <v>Kg</v>
      </c>
      <c r="G61" s="820" t="str">
        <f t="shared" si="5"/>
        <v>A.4.1.1.17.b</v>
      </c>
      <c r="H61" s="821">
        <f t="shared" si="5"/>
        <v>21453.25</v>
      </c>
      <c r="I61" s="747">
        <f t="shared" si="3"/>
        <v>7749772.0300000003</v>
      </c>
      <c r="J61" s="823"/>
      <c r="M61" s="754"/>
      <c r="N61" s="772"/>
    </row>
    <row r="62" spans="2:20" s="753" customFormat="1" x14ac:dyDescent="0.3">
      <c r="B62" s="782"/>
      <c r="C62" s="808" t="s">
        <v>149</v>
      </c>
      <c r="D62" s="784" t="s">
        <v>599</v>
      </c>
      <c r="E62" s="813">
        <f>V.1!T261</f>
        <v>27.23</v>
      </c>
      <c r="F62" s="813" t="str">
        <f>V.1!U261</f>
        <v>Kg</v>
      </c>
      <c r="G62" s="820" t="str">
        <f t="shared" si="5"/>
        <v>A.4.1.1.17.b</v>
      </c>
      <c r="H62" s="821">
        <f t="shared" si="5"/>
        <v>21453.25</v>
      </c>
      <c r="I62" s="747">
        <f t="shared" si="3"/>
        <v>584171.99750000006</v>
      </c>
      <c r="J62" s="823"/>
      <c r="M62" s="754"/>
      <c r="N62" s="772"/>
    </row>
    <row r="63" spans="2:20" s="753" customFormat="1" x14ac:dyDescent="0.3">
      <c r="B63" s="782"/>
      <c r="C63" s="808" t="s">
        <v>149</v>
      </c>
      <c r="D63" s="784" t="s">
        <v>174</v>
      </c>
      <c r="E63" s="813">
        <f>V.1!T268</f>
        <v>14.54</v>
      </c>
      <c r="F63" s="813" t="str">
        <f>V.1!U268</f>
        <v>M2</v>
      </c>
      <c r="G63" s="820" t="e">
        <f>'R.Anl'!#REF!</f>
        <v>#REF!</v>
      </c>
      <c r="H63" s="746" t="e">
        <f>'R.Anl'!#REF!</f>
        <v>#REF!</v>
      </c>
      <c r="I63" s="747" t="e">
        <f t="shared" si="3"/>
        <v>#REF!</v>
      </c>
      <c r="J63" s="823"/>
      <c r="M63" s="754"/>
      <c r="N63" s="772"/>
      <c r="T63" s="772" t="e">
        <f>(I63+I68+I73+#REF!)*2</f>
        <v>#REF!</v>
      </c>
    </row>
    <row r="64" spans="2:20" x14ac:dyDescent="0.3">
      <c r="B64" s="782">
        <f>B59+1</f>
        <v>9</v>
      </c>
      <c r="C64" s="783" t="s">
        <v>1325</v>
      </c>
      <c r="D64" s="784"/>
      <c r="E64" s="812"/>
      <c r="F64" s="813"/>
      <c r="G64" s="820"/>
      <c r="H64" s="746"/>
      <c r="I64" s="747"/>
      <c r="J64" s="786"/>
      <c r="N64" s="807"/>
    </row>
    <row r="65" spans="2:20" x14ac:dyDescent="0.3">
      <c r="B65" s="782"/>
      <c r="C65" s="808" t="s">
        <v>149</v>
      </c>
      <c r="D65" s="784" t="s">
        <v>1317</v>
      </c>
      <c r="E65" s="813">
        <f>V.1!T275</f>
        <v>17.96</v>
      </c>
      <c r="F65" s="813" t="str">
        <f>V.1!U275</f>
        <v>M3</v>
      </c>
      <c r="G65" s="820" t="e">
        <f t="shared" ref="G65:H68" si="6">G60</f>
        <v>#REF!</v>
      </c>
      <c r="H65" s="821" t="e">
        <f t="shared" si="6"/>
        <v>#REF!</v>
      </c>
      <c r="I65" s="747" t="e">
        <f t="shared" si="3"/>
        <v>#REF!</v>
      </c>
      <c r="J65" s="786"/>
      <c r="N65" s="807"/>
      <c r="T65" s="711">
        <f>(E66+E67)/E65</f>
        <v>441.64977728285078</v>
      </c>
    </row>
    <row r="66" spans="2:20" x14ac:dyDescent="0.3">
      <c r="B66" s="782"/>
      <c r="C66" s="808" t="s">
        <v>149</v>
      </c>
      <c r="D66" s="784" t="s">
        <v>207</v>
      </c>
      <c r="E66" s="813">
        <f>V.1!T291</f>
        <v>5848.38</v>
      </c>
      <c r="F66" s="813" t="str">
        <f>V.1!U291</f>
        <v>Kg</v>
      </c>
      <c r="G66" s="820" t="str">
        <f t="shared" si="6"/>
        <v>A.4.1.1.17.b</v>
      </c>
      <c r="H66" s="821">
        <f t="shared" si="6"/>
        <v>21453.25</v>
      </c>
      <c r="I66" s="747">
        <f t="shared" si="3"/>
        <v>125466758.235</v>
      </c>
      <c r="J66" s="786"/>
      <c r="N66" s="807"/>
    </row>
    <row r="67" spans="2:20" x14ac:dyDescent="0.3">
      <c r="B67" s="782"/>
      <c r="C67" s="808" t="s">
        <v>149</v>
      </c>
      <c r="D67" s="784" t="s">
        <v>599</v>
      </c>
      <c r="E67" s="813">
        <f>V.1!T316</f>
        <v>2083.65</v>
      </c>
      <c r="F67" s="813" t="str">
        <f>V.1!U316</f>
        <v>Kg</v>
      </c>
      <c r="G67" s="820" t="str">
        <f t="shared" si="6"/>
        <v>A.4.1.1.17.b</v>
      </c>
      <c r="H67" s="821">
        <f t="shared" si="6"/>
        <v>21453.25</v>
      </c>
      <c r="I67" s="747">
        <f t="shared" si="3"/>
        <v>44701064.362500004</v>
      </c>
      <c r="J67" s="786"/>
      <c r="N67" s="807"/>
    </row>
    <row r="68" spans="2:20" x14ac:dyDescent="0.3">
      <c r="B68" s="782"/>
      <c r="C68" s="808" t="s">
        <v>149</v>
      </c>
      <c r="D68" s="784" t="s">
        <v>174</v>
      </c>
      <c r="E68" s="813">
        <f>V.1!T324</f>
        <v>257.48</v>
      </c>
      <c r="F68" s="813" t="str">
        <f>V.1!U324</f>
        <v>M2</v>
      </c>
      <c r="G68" s="820" t="e">
        <f t="shared" si="6"/>
        <v>#REF!</v>
      </c>
      <c r="H68" s="821" t="e">
        <f t="shared" si="6"/>
        <v>#REF!</v>
      </c>
      <c r="I68" s="747" t="e">
        <f t="shared" si="3"/>
        <v>#REF!</v>
      </c>
      <c r="J68" s="786"/>
      <c r="N68" s="807"/>
    </row>
    <row r="69" spans="2:20" x14ac:dyDescent="0.3">
      <c r="B69" s="782">
        <f>B64+1</f>
        <v>10</v>
      </c>
      <c r="C69" s="783" t="s">
        <v>1326</v>
      </c>
      <c r="D69" s="784"/>
      <c r="E69" s="812"/>
      <c r="F69" s="813"/>
      <c r="G69" s="820"/>
      <c r="H69" s="746"/>
      <c r="I69" s="747"/>
      <c r="J69" s="786"/>
      <c r="N69" s="807"/>
    </row>
    <row r="70" spans="2:20" x14ac:dyDescent="0.3">
      <c r="B70" s="782"/>
      <c r="C70" s="808" t="s">
        <v>149</v>
      </c>
      <c r="D70" s="784" t="s">
        <v>1317</v>
      </c>
      <c r="E70" s="813">
        <f>V.1!T333</f>
        <v>4.08</v>
      </c>
      <c r="F70" s="813" t="str">
        <f>V.1!U333</f>
        <v>M3</v>
      </c>
      <c r="G70" s="820" t="e">
        <f t="shared" ref="G70:H73" si="7">G65</f>
        <v>#REF!</v>
      </c>
      <c r="H70" s="821" t="e">
        <f t="shared" si="7"/>
        <v>#REF!</v>
      </c>
      <c r="I70" s="747" t="e">
        <f>H70*E70</f>
        <v>#REF!</v>
      </c>
      <c r="J70" s="786"/>
      <c r="N70" s="807"/>
      <c r="T70" s="711">
        <f>(E71+E72)/E70</f>
        <v>406.68872549019608</v>
      </c>
    </row>
    <row r="71" spans="2:20" x14ac:dyDescent="0.3">
      <c r="B71" s="782"/>
      <c r="C71" s="808" t="s">
        <v>149</v>
      </c>
      <c r="D71" s="784" t="s">
        <v>207</v>
      </c>
      <c r="E71" s="813">
        <f>V.1!T346</f>
        <v>918.95</v>
      </c>
      <c r="F71" s="813" t="str">
        <f>V.1!U346</f>
        <v>Kg</v>
      </c>
      <c r="G71" s="820" t="str">
        <f t="shared" si="7"/>
        <v>A.4.1.1.17.b</v>
      </c>
      <c r="H71" s="821">
        <f t="shared" si="7"/>
        <v>21453.25</v>
      </c>
      <c r="I71" s="747">
        <f>H71*E71</f>
        <v>19714464.087500002</v>
      </c>
      <c r="J71" s="786"/>
      <c r="N71" s="807"/>
    </row>
    <row r="72" spans="2:20" x14ac:dyDescent="0.3">
      <c r="B72" s="782"/>
      <c r="C72" s="808" t="s">
        <v>149</v>
      </c>
      <c r="D72" s="784" t="s">
        <v>599</v>
      </c>
      <c r="E72" s="813">
        <f>V.1!T359</f>
        <v>740.34</v>
      </c>
      <c r="F72" s="813" t="str">
        <f>V.1!U359</f>
        <v>Kg</v>
      </c>
      <c r="G72" s="820" t="str">
        <f t="shared" si="7"/>
        <v>A.4.1.1.17.b</v>
      </c>
      <c r="H72" s="821">
        <f t="shared" si="7"/>
        <v>21453.25</v>
      </c>
      <c r="I72" s="747">
        <f>H72*E72</f>
        <v>15882699.105</v>
      </c>
      <c r="J72" s="786"/>
      <c r="N72" s="807"/>
    </row>
    <row r="73" spans="2:20" x14ac:dyDescent="0.3">
      <c r="B73" s="782"/>
      <c r="C73" s="808" t="s">
        <v>149</v>
      </c>
      <c r="D73" s="784" t="s">
        <v>174</v>
      </c>
      <c r="E73" s="813">
        <f>V.1!T367</f>
        <v>81.19</v>
      </c>
      <c r="F73" s="813" t="str">
        <f>V.1!U367</f>
        <v>M2</v>
      </c>
      <c r="G73" s="820" t="e">
        <f t="shared" si="7"/>
        <v>#REF!</v>
      </c>
      <c r="H73" s="821" t="e">
        <f t="shared" si="7"/>
        <v>#REF!</v>
      </c>
      <c r="I73" s="747" t="e">
        <f>H73*E73</f>
        <v>#REF!</v>
      </c>
      <c r="J73" s="786"/>
      <c r="N73" s="807"/>
    </row>
    <row r="74" spans="2:20" x14ac:dyDescent="0.3">
      <c r="B74" s="782">
        <f>B69+1</f>
        <v>11</v>
      </c>
      <c r="C74" s="783" t="s">
        <v>1331</v>
      </c>
      <c r="D74" s="784"/>
      <c r="E74" s="812"/>
      <c r="F74" s="745"/>
      <c r="G74" s="820"/>
      <c r="H74" s="746"/>
      <c r="I74" s="747"/>
      <c r="J74" s="786"/>
      <c r="N74" s="807"/>
    </row>
    <row r="75" spans="2:20" x14ac:dyDescent="0.3">
      <c r="B75" s="782"/>
      <c r="C75" s="808" t="s">
        <v>149</v>
      </c>
      <c r="D75" s="784" t="s">
        <v>1317</v>
      </c>
      <c r="E75" s="813">
        <f>V.1!T376</f>
        <v>22.26</v>
      </c>
      <c r="F75" s="813" t="str">
        <f>V.1!U376</f>
        <v>M3</v>
      </c>
      <c r="G75" s="820" t="e">
        <f>G60</f>
        <v>#REF!</v>
      </c>
      <c r="H75" s="821" t="e">
        <f>H60</f>
        <v>#REF!</v>
      </c>
      <c r="I75" s="747" t="e">
        <f t="shared" si="3"/>
        <v>#REF!</v>
      </c>
      <c r="J75" s="786"/>
      <c r="N75" s="807"/>
    </row>
    <row r="76" spans="2:20" x14ac:dyDescent="0.3">
      <c r="B76" s="782"/>
      <c r="C76" s="808" t="s">
        <v>149</v>
      </c>
      <c r="D76" s="824" t="s">
        <v>207</v>
      </c>
      <c r="E76" s="813">
        <f>V.1!T387</f>
        <v>3461.82</v>
      </c>
      <c r="F76" s="813" t="str">
        <f>V.1!U387</f>
        <v>Kg</v>
      </c>
      <c r="G76" s="820" t="str">
        <f>G61</f>
        <v>A.4.1.1.17.b</v>
      </c>
      <c r="H76" s="821">
        <f>H61</f>
        <v>21453.25</v>
      </c>
      <c r="I76" s="747">
        <f t="shared" si="3"/>
        <v>74267289.915000007</v>
      </c>
      <c r="J76" s="786"/>
      <c r="N76" s="807"/>
    </row>
    <row r="77" spans="2:20" x14ac:dyDescent="0.3">
      <c r="B77" s="782"/>
      <c r="C77" s="808" t="s">
        <v>149</v>
      </c>
      <c r="D77" s="824" t="s">
        <v>306</v>
      </c>
      <c r="E77" s="813">
        <f>V.1!T399</f>
        <v>151.36000000000001</v>
      </c>
      <c r="F77" s="813" t="str">
        <f>V.1!U399</f>
        <v>M2</v>
      </c>
      <c r="G77" s="820" t="e">
        <f>'R.Anl'!#REF!</f>
        <v>#REF!</v>
      </c>
      <c r="H77" s="746" t="e">
        <f>'R.Anl'!#REF!</f>
        <v>#REF!</v>
      </c>
      <c r="I77" s="747" t="e">
        <f t="shared" si="3"/>
        <v>#REF!</v>
      </c>
      <c r="J77" s="786"/>
      <c r="N77" s="807"/>
    </row>
    <row r="78" spans="2:20" x14ac:dyDescent="0.3">
      <c r="B78" s="825">
        <f>B74+1</f>
        <v>12</v>
      </c>
      <c r="C78" s="783" t="s">
        <v>148</v>
      </c>
      <c r="D78" s="784"/>
      <c r="E78" s="812"/>
      <c r="F78" s="745"/>
      <c r="G78" s="820"/>
      <c r="H78" s="746"/>
      <c r="I78" s="747"/>
      <c r="J78" s="786"/>
      <c r="N78" s="807"/>
    </row>
    <row r="79" spans="2:20" x14ac:dyDescent="0.3">
      <c r="B79" s="825"/>
      <c r="C79" s="808" t="s">
        <v>149</v>
      </c>
      <c r="D79" s="784" t="s">
        <v>1317</v>
      </c>
      <c r="E79" s="813">
        <f>V.1!T409</f>
        <v>69.69</v>
      </c>
      <c r="F79" s="813" t="str">
        <f>V.1!U409</f>
        <v>M3</v>
      </c>
      <c r="G79" s="820" t="e">
        <f>G75</f>
        <v>#REF!</v>
      </c>
      <c r="H79" s="821" t="e">
        <f>H75</f>
        <v>#REF!</v>
      </c>
      <c r="I79" s="747" t="e">
        <f t="shared" si="3"/>
        <v>#REF!</v>
      </c>
      <c r="J79" s="786"/>
      <c r="N79" s="807"/>
      <c r="T79" s="710">
        <f>E80/E79</f>
        <v>84.539101736260577</v>
      </c>
    </row>
    <row r="80" spans="2:20" x14ac:dyDescent="0.3">
      <c r="B80" s="825"/>
      <c r="C80" s="808" t="s">
        <v>149</v>
      </c>
      <c r="D80" s="784" t="s">
        <v>208</v>
      </c>
      <c r="E80" s="813">
        <f>V.1!T419</f>
        <v>5891.53</v>
      </c>
      <c r="F80" s="813" t="str">
        <f>V.1!U419</f>
        <v>Kg</v>
      </c>
      <c r="G80" s="820" t="str">
        <f>'R.Anl'!B31</f>
        <v>A.4.1.1.17.</v>
      </c>
      <c r="H80" s="746">
        <f>'R.Anl'!D31</f>
        <v>20849.5</v>
      </c>
      <c r="I80" s="747">
        <f t="shared" si="3"/>
        <v>122835454.735</v>
      </c>
      <c r="J80" s="786"/>
      <c r="N80" s="807"/>
    </row>
    <row r="81" spans="2:20" ht="17.25" thickBot="1" x14ac:dyDescent="0.35">
      <c r="B81" s="826"/>
      <c r="C81" s="827"/>
      <c r="D81" s="828"/>
      <c r="E81" s="791"/>
      <c r="F81" s="791"/>
      <c r="G81" s="829"/>
      <c r="H81" s="793"/>
      <c r="I81" s="830"/>
      <c r="J81" s="786"/>
      <c r="N81" s="807"/>
    </row>
    <row r="82" spans="2:20" ht="17.25" thickBot="1" x14ac:dyDescent="0.35">
      <c r="B82" s="795"/>
      <c r="C82" s="831"/>
      <c r="D82" s="832"/>
      <c r="E82" s="3064" t="s">
        <v>211</v>
      </c>
      <c r="F82" s="3064"/>
      <c r="G82" s="3064"/>
      <c r="H82" s="3065"/>
      <c r="I82" s="764" t="e">
        <f>SUM(I31:I81)</f>
        <v>#REF!</v>
      </c>
      <c r="J82" s="726"/>
      <c r="T82" s="807" t="e">
        <f>I82+I30+I20</f>
        <v>#REF!</v>
      </c>
    </row>
    <row r="83" spans="2:20" x14ac:dyDescent="0.3">
      <c r="B83" s="773" t="s">
        <v>140</v>
      </c>
      <c r="C83" s="774" t="s">
        <v>212</v>
      </c>
      <c r="D83" s="775"/>
      <c r="E83" s="800"/>
      <c r="F83" s="801"/>
      <c r="G83" s="802"/>
      <c r="H83" s="803"/>
      <c r="I83" s="804"/>
      <c r="J83" s="786"/>
    </row>
    <row r="84" spans="2:20" x14ac:dyDescent="0.3">
      <c r="B84" s="782">
        <v>1</v>
      </c>
      <c r="C84" s="783" t="s">
        <v>213</v>
      </c>
      <c r="D84" s="784"/>
      <c r="E84" s="813">
        <f>V.1!T439</f>
        <v>776.56</v>
      </c>
      <c r="F84" s="813" t="str">
        <f>V.1!U439</f>
        <v>M2</v>
      </c>
      <c r="G84" s="820" t="e">
        <f>'R.Anl'!#REF!</f>
        <v>#REF!</v>
      </c>
      <c r="H84" s="746" t="e">
        <f>'R.Anl'!#REF!</f>
        <v>#REF!</v>
      </c>
      <c r="I84" s="747" t="e">
        <f>H84*E84</f>
        <v>#REF!</v>
      </c>
      <c r="J84" s="786"/>
    </row>
    <row r="85" spans="2:20" x14ac:dyDescent="0.3">
      <c r="B85" s="782">
        <f>B84+1</f>
        <v>2</v>
      </c>
      <c r="C85" s="783" t="s">
        <v>214</v>
      </c>
      <c r="D85" s="784"/>
      <c r="E85" s="813">
        <f>V.1!T467</f>
        <v>1553.12</v>
      </c>
      <c r="F85" s="813" t="str">
        <f>V.1!U467</f>
        <v>M2</v>
      </c>
      <c r="G85" s="820" t="e">
        <f>'R.Anl'!#REF!</f>
        <v>#REF!</v>
      </c>
      <c r="H85" s="746" t="e">
        <f>'R.Anl'!#REF!</f>
        <v>#REF!</v>
      </c>
      <c r="I85" s="747" t="e">
        <f>H85*E85</f>
        <v>#REF!</v>
      </c>
      <c r="J85" s="786"/>
    </row>
    <row r="86" spans="2:20" x14ac:dyDescent="0.3">
      <c r="B86" s="782">
        <f>B85+1</f>
        <v>3</v>
      </c>
      <c r="C86" s="833" t="s">
        <v>195</v>
      </c>
      <c r="D86" s="834"/>
      <c r="E86" s="835">
        <f>V.1!T473</f>
        <v>546.52</v>
      </c>
      <c r="F86" s="835" t="str">
        <f>V.1!U473</f>
        <v>M2</v>
      </c>
      <c r="G86" s="836" t="e">
        <f>'R.Anl'!#REF!</f>
        <v>#REF!</v>
      </c>
      <c r="H86" s="751" t="e">
        <f>'R.Anl'!#REF!</f>
        <v>#REF!</v>
      </c>
      <c r="I86" s="747" t="e">
        <f>H86*E86</f>
        <v>#REF!</v>
      </c>
      <c r="J86" s="786"/>
    </row>
    <row r="87" spans="2:20" x14ac:dyDescent="0.3">
      <c r="B87" s="782">
        <f>B86+1</f>
        <v>4</v>
      </c>
      <c r="C87" s="833" t="s">
        <v>738</v>
      </c>
      <c r="D87" s="834"/>
      <c r="E87" s="835">
        <f>V.1!T482</f>
        <v>228</v>
      </c>
      <c r="F87" s="835" t="str">
        <f>V.1!U482</f>
        <v>M'</v>
      </c>
      <c r="G87" s="836" t="e">
        <f>'R.Anl'!#REF!</f>
        <v>#REF!</v>
      </c>
      <c r="H87" s="751" t="e">
        <f>'R.Anl'!#REF!</f>
        <v>#REF!</v>
      </c>
      <c r="I87" s="747" t="e">
        <f>H87*E87</f>
        <v>#REF!</v>
      </c>
      <c r="J87" s="786"/>
    </row>
    <row r="88" spans="2:20" x14ac:dyDescent="0.3">
      <c r="B88" s="782">
        <f>B87+1</f>
        <v>5</v>
      </c>
      <c r="C88" s="833" t="s">
        <v>718</v>
      </c>
      <c r="D88" s="834"/>
      <c r="E88" s="837">
        <f>V.1!T489</f>
        <v>8.4</v>
      </c>
      <c r="F88" s="837" t="str">
        <f>V.1!U489</f>
        <v>M'</v>
      </c>
      <c r="G88" s="836" t="e">
        <f>'R.Anl'!#REF!</f>
        <v>#REF!</v>
      </c>
      <c r="H88" s="751" t="e">
        <f>'R.Anl'!#REF!</f>
        <v>#REF!</v>
      </c>
      <c r="I88" s="747" t="e">
        <f>H88*E88</f>
        <v>#REF!</v>
      </c>
      <c r="J88" s="786"/>
    </row>
    <row r="89" spans="2:20" ht="17.25" thickBot="1" x14ac:dyDescent="0.35">
      <c r="B89" s="782"/>
      <c r="C89" s="833"/>
      <c r="D89" s="834"/>
      <c r="E89" s="837"/>
      <c r="F89" s="837"/>
      <c r="G89" s="836"/>
      <c r="H89" s="751"/>
      <c r="I89" s="838"/>
      <c r="J89" s="786"/>
    </row>
    <row r="90" spans="2:20" ht="17.25" thickBot="1" x14ac:dyDescent="0.35">
      <c r="B90" s="795"/>
      <c r="C90" s="796"/>
      <c r="D90" s="797"/>
      <c r="E90" s="3064" t="s">
        <v>215</v>
      </c>
      <c r="F90" s="3064"/>
      <c r="G90" s="3064"/>
      <c r="H90" s="3065"/>
      <c r="I90" s="764" t="e">
        <f>SUM(I83:I89)</f>
        <v>#REF!</v>
      </c>
      <c r="J90" s="726"/>
    </row>
    <row r="91" spans="2:20" s="753" customFormat="1" x14ac:dyDescent="0.3">
      <c r="B91" s="854" t="s">
        <v>141</v>
      </c>
      <c r="C91" s="855" t="s">
        <v>216</v>
      </c>
      <c r="D91" s="1039"/>
      <c r="E91" s="839"/>
      <c r="F91" s="840"/>
      <c r="G91" s="1078"/>
      <c r="H91" s="739"/>
      <c r="I91" s="841"/>
      <c r="J91" s="823"/>
      <c r="M91" s="754"/>
    </row>
    <row r="92" spans="2:20" s="753" customFormat="1" x14ac:dyDescent="0.3">
      <c r="B92" s="780">
        <v>1</v>
      </c>
      <c r="C92" s="781" t="s">
        <v>712</v>
      </c>
      <c r="D92" s="842"/>
      <c r="E92" s="843">
        <v>1</v>
      </c>
      <c r="F92" s="843" t="str">
        <f>V.1!U497</f>
        <v>Unit</v>
      </c>
      <c r="G92" s="820" t="e">
        <f>'R.Anl'!#REF!</f>
        <v>#REF!</v>
      </c>
      <c r="H92" s="746" t="e">
        <f>'R.Anl'!#REF!</f>
        <v>#REF!</v>
      </c>
      <c r="I92" s="747" t="e">
        <f>H92*E92</f>
        <v>#REF!</v>
      </c>
      <c r="J92" s="823"/>
      <c r="M92" s="754"/>
      <c r="T92" s="754">
        <v>14500000</v>
      </c>
    </row>
    <row r="93" spans="2:20" s="421" customFormat="1" x14ac:dyDescent="0.2">
      <c r="B93" s="322"/>
      <c r="C93" s="359"/>
      <c r="D93" s="1043" t="s">
        <v>749</v>
      </c>
      <c r="E93" s="425"/>
      <c r="F93" s="426"/>
      <c r="G93" s="1079"/>
      <c r="H93" s="1080"/>
      <c r="I93" s="423"/>
      <c r="J93" s="427"/>
      <c r="M93" s="422"/>
      <c r="T93" s="424">
        <f>T92*1.15</f>
        <v>16674999.999999998</v>
      </c>
    </row>
    <row r="94" spans="2:20" s="421" customFormat="1" x14ac:dyDescent="0.2">
      <c r="B94" s="322"/>
      <c r="C94" s="359"/>
      <c r="D94" s="1043" t="s">
        <v>750</v>
      </c>
      <c r="E94" s="425"/>
      <c r="F94" s="426"/>
      <c r="G94" s="1079"/>
      <c r="H94" s="1080"/>
      <c r="I94" s="423"/>
      <c r="J94" s="427"/>
      <c r="M94" s="422"/>
    </row>
    <row r="95" spans="2:20" s="421" customFormat="1" x14ac:dyDescent="0.2">
      <c r="B95" s="322"/>
      <c r="C95" s="359"/>
      <c r="D95" s="1043" t="s">
        <v>751</v>
      </c>
      <c r="E95" s="425"/>
      <c r="F95" s="426"/>
      <c r="G95" s="1079"/>
      <c r="H95" s="1080"/>
      <c r="I95" s="423"/>
      <c r="J95" s="427"/>
      <c r="M95" s="422"/>
    </row>
    <row r="96" spans="2:20" s="421" customFormat="1" x14ac:dyDescent="0.2">
      <c r="B96" s="322"/>
      <c r="C96" s="359"/>
      <c r="D96" s="1043" t="s">
        <v>752</v>
      </c>
      <c r="E96" s="425"/>
      <c r="F96" s="426"/>
      <c r="G96" s="1079"/>
      <c r="H96" s="1080"/>
      <c r="I96" s="423"/>
      <c r="J96" s="427"/>
      <c r="M96" s="422"/>
    </row>
    <row r="97" spans="2:23" s="421" customFormat="1" x14ac:dyDescent="0.2">
      <c r="B97" s="322"/>
      <c r="C97" s="359"/>
      <c r="D97" s="1043" t="s">
        <v>753</v>
      </c>
      <c r="E97" s="425"/>
      <c r="F97" s="426"/>
      <c r="G97" s="1079"/>
      <c r="H97" s="1080"/>
      <c r="I97" s="423"/>
      <c r="J97" s="427"/>
      <c r="M97" s="422"/>
    </row>
    <row r="98" spans="2:23" s="421" customFormat="1" x14ac:dyDescent="0.2">
      <c r="B98" s="322"/>
      <c r="C98" s="359"/>
      <c r="D98" s="1043" t="s">
        <v>748</v>
      </c>
      <c r="E98" s="425"/>
      <c r="F98" s="426"/>
      <c r="G98" s="1079"/>
      <c r="H98" s="1080"/>
      <c r="I98" s="423"/>
      <c r="J98" s="427"/>
      <c r="M98" s="422"/>
    </row>
    <row r="99" spans="2:23" x14ac:dyDescent="0.3">
      <c r="B99" s="782">
        <f>B92+1</f>
        <v>2</v>
      </c>
      <c r="C99" s="783" t="s">
        <v>585</v>
      </c>
      <c r="D99" s="846"/>
      <c r="E99" s="785"/>
      <c r="F99" s="745"/>
      <c r="G99" s="820"/>
      <c r="H99" s="746"/>
      <c r="I99" s="747"/>
      <c r="J99" s="786"/>
    </row>
    <row r="100" spans="2:23" s="753" customFormat="1" x14ac:dyDescent="0.3">
      <c r="B100" s="847"/>
      <c r="C100" s="848"/>
      <c r="D100" s="849" t="s">
        <v>761</v>
      </c>
      <c r="E100" s="785">
        <f>V.1!T505</f>
        <v>0.2</v>
      </c>
      <c r="F100" s="785" t="str">
        <f>V.1!U505</f>
        <v>M3</v>
      </c>
      <c r="G100" s="820" t="e">
        <f>'R.Anl'!#REF!</f>
        <v>#REF!</v>
      </c>
      <c r="H100" s="746" t="e">
        <f>'R.Anl'!#REF!</f>
        <v>#REF!</v>
      </c>
      <c r="I100" s="747" t="e">
        <f t="shared" ref="I100:I107" si="8">H100*E100</f>
        <v>#REF!</v>
      </c>
      <c r="J100" s="823"/>
      <c r="M100" s="754"/>
    </row>
    <row r="101" spans="2:23" s="753" customFormat="1" x14ac:dyDescent="0.3">
      <c r="B101" s="847"/>
      <c r="C101" s="848"/>
      <c r="D101" s="849" t="s">
        <v>850</v>
      </c>
      <c r="E101" s="785">
        <f>V.1!T506</f>
        <v>25.2</v>
      </c>
      <c r="F101" s="785" t="str">
        <f>V.1!U506</f>
        <v>M2</v>
      </c>
      <c r="G101" s="820" t="e">
        <f>'R.Anl'!#REF!</f>
        <v>#REF!</v>
      </c>
      <c r="H101" s="746" t="e">
        <f>'R.Anl'!#REF!</f>
        <v>#REF!</v>
      </c>
      <c r="I101" s="747" t="e">
        <f t="shared" si="8"/>
        <v>#REF!</v>
      </c>
      <c r="J101" s="823"/>
      <c r="M101" s="754"/>
    </row>
    <row r="102" spans="2:23" s="753" customFormat="1" x14ac:dyDescent="0.3">
      <c r="B102" s="847"/>
      <c r="C102" s="848"/>
      <c r="D102" s="849" t="s">
        <v>754</v>
      </c>
      <c r="E102" s="785">
        <f>V.1!T508</f>
        <v>48</v>
      </c>
      <c r="F102" s="785" t="str">
        <f>V.1!U508</f>
        <v>Bh</v>
      </c>
      <c r="G102" s="820" t="e">
        <f>'R.Anl'!#REF!</f>
        <v>#REF!</v>
      </c>
      <c r="H102" s="746" t="e">
        <f>'R.Anl'!#REF!</f>
        <v>#REF!</v>
      </c>
      <c r="I102" s="747" t="e">
        <f t="shared" si="8"/>
        <v>#REF!</v>
      </c>
      <c r="J102" s="823"/>
      <c r="M102" s="754"/>
    </row>
    <row r="103" spans="2:23" s="753" customFormat="1" x14ac:dyDescent="0.3">
      <c r="B103" s="847"/>
      <c r="C103" s="848"/>
      <c r="D103" s="849" t="s">
        <v>851</v>
      </c>
      <c r="E103" s="785">
        <f>V.1!T510</f>
        <v>8</v>
      </c>
      <c r="F103" s="785" t="str">
        <f>V.1!U510</f>
        <v>Set</v>
      </c>
      <c r="G103" s="820" t="e">
        <f>'R.Anl'!#REF!</f>
        <v>#REF!</v>
      </c>
      <c r="H103" s="746" t="e">
        <f>'R.Anl'!#REF!</f>
        <v>#REF!</v>
      </c>
      <c r="I103" s="747" t="e">
        <f t="shared" si="8"/>
        <v>#REF!</v>
      </c>
      <c r="J103" s="823"/>
      <c r="M103" s="754"/>
    </row>
    <row r="104" spans="2:23" s="753" customFormat="1" x14ac:dyDescent="0.3">
      <c r="B104" s="847"/>
      <c r="C104" s="848"/>
      <c r="D104" s="849" t="s">
        <v>755</v>
      </c>
      <c r="E104" s="785">
        <f>V.1!T513</f>
        <v>8</v>
      </c>
      <c r="F104" s="785" t="str">
        <f>V.1!U513</f>
        <v>set</v>
      </c>
      <c r="G104" s="820" t="e">
        <f>'R.Anl'!#REF!</f>
        <v>#REF!</v>
      </c>
      <c r="H104" s="746" t="e">
        <f>'R.Anl'!#REF!</f>
        <v>#REF!</v>
      </c>
      <c r="I104" s="747" t="e">
        <f t="shared" si="8"/>
        <v>#REF!</v>
      </c>
      <c r="J104" s="823"/>
      <c r="M104" s="754"/>
    </row>
    <row r="105" spans="2:23" s="753" customFormat="1" x14ac:dyDescent="0.3">
      <c r="B105" s="847"/>
      <c r="C105" s="848"/>
      <c r="D105" s="849" t="s">
        <v>853</v>
      </c>
      <c r="E105" s="785">
        <f>V.1!T514</f>
        <v>8</v>
      </c>
      <c r="F105" s="785" t="str">
        <f>V.1!U514</f>
        <v>set</v>
      </c>
      <c r="G105" s="820" t="e">
        <f>'R.Anl'!#REF!</f>
        <v>#REF!</v>
      </c>
      <c r="H105" s="746" t="e">
        <f>'R.Anl'!#REF!</f>
        <v>#REF!</v>
      </c>
      <c r="I105" s="747" t="e">
        <f t="shared" si="8"/>
        <v>#REF!</v>
      </c>
      <c r="J105" s="823"/>
      <c r="M105" s="754"/>
    </row>
    <row r="106" spans="2:23" x14ac:dyDescent="0.3">
      <c r="B106" s="782">
        <f>B99+1</f>
        <v>3</v>
      </c>
      <c r="C106" s="783" t="s">
        <v>595</v>
      </c>
      <c r="D106" s="846"/>
      <c r="E106" s="785">
        <f>V.1!T518</f>
        <v>114.4</v>
      </c>
      <c r="F106" s="785" t="str">
        <f>V.1!U518</f>
        <v>M2</v>
      </c>
      <c r="G106" s="337" t="s">
        <v>1342</v>
      </c>
      <c r="H106" s="746">
        <v>1750000</v>
      </c>
      <c r="I106" s="747">
        <f t="shared" si="8"/>
        <v>200200000</v>
      </c>
      <c r="J106" s="786"/>
      <c r="T106" s="711">
        <f>W107*1200000</f>
        <v>1666666.6666666665</v>
      </c>
      <c r="U106" s="710">
        <v>0.6</v>
      </c>
      <c r="V106" s="710">
        <v>1.2</v>
      </c>
      <c r="W106" s="710">
        <f>U106*V106</f>
        <v>0.72</v>
      </c>
    </row>
    <row r="107" spans="2:23" s="753" customFormat="1" x14ac:dyDescent="0.3">
      <c r="B107" s="782">
        <f>B106+1</f>
        <v>4</v>
      </c>
      <c r="C107" s="783" t="s">
        <v>713</v>
      </c>
      <c r="D107" s="846"/>
      <c r="E107" s="785">
        <f>V.1!T524</f>
        <v>6.24</v>
      </c>
      <c r="F107" s="785" t="s">
        <v>2</v>
      </c>
      <c r="G107" s="337" t="s">
        <v>1342</v>
      </c>
      <c r="H107" s="746">
        <f>H106</f>
        <v>1750000</v>
      </c>
      <c r="I107" s="747">
        <f t="shared" si="8"/>
        <v>10920000</v>
      </c>
      <c r="J107" s="823"/>
      <c r="M107" s="754"/>
      <c r="T107" s="754">
        <v>1040000</v>
      </c>
      <c r="W107" s="753">
        <f>1/W106</f>
        <v>1.3888888888888888</v>
      </c>
    </row>
    <row r="108" spans="2:23" s="753" customFormat="1" ht="17.25" thickBot="1" x14ac:dyDescent="0.35">
      <c r="B108" s="847"/>
      <c r="C108" s="848"/>
      <c r="D108" s="850"/>
      <c r="E108" s="844"/>
      <c r="F108" s="844"/>
      <c r="G108" s="337"/>
      <c r="H108" s="1046"/>
      <c r="I108" s="845"/>
      <c r="J108" s="823"/>
      <c r="M108" s="754"/>
      <c r="W108" s="753">
        <f>W107*1200000</f>
        <v>1666666.6666666665</v>
      </c>
    </row>
    <row r="109" spans="2:23" s="753" customFormat="1" ht="17.25" thickBot="1" x14ac:dyDescent="0.35">
      <c r="B109" s="851"/>
      <c r="C109" s="852"/>
      <c r="D109" s="853"/>
      <c r="E109" s="3064" t="s">
        <v>217</v>
      </c>
      <c r="F109" s="3064"/>
      <c r="G109" s="3064"/>
      <c r="H109" s="3065"/>
      <c r="I109" s="764" t="e">
        <f>SUM(I91:I108)</f>
        <v>#REF!</v>
      </c>
      <c r="J109" s="765"/>
      <c r="M109" s="754"/>
    </row>
    <row r="110" spans="2:23" x14ac:dyDescent="0.3">
      <c r="B110" s="773" t="s">
        <v>143</v>
      </c>
      <c r="C110" s="774" t="s">
        <v>218</v>
      </c>
      <c r="D110" s="775"/>
      <c r="E110" s="800"/>
      <c r="F110" s="801"/>
      <c r="G110" s="802"/>
      <c r="H110" s="803"/>
      <c r="I110" s="804"/>
      <c r="J110" s="786"/>
    </row>
    <row r="111" spans="2:23" x14ac:dyDescent="0.3">
      <c r="B111" s="780">
        <v>1</v>
      </c>
      <c r="C111" s="783" t="s">
        <v>1334</v>
      </c>
      <c r="D111" s="784"/>
      <c r="E111" s="812">
        <f>V.1!T552</f>
        <v>678.92</v>
      </c>
      <c r="F111" s="813" t="str">
        <f>V.1!U552</f>
        <v>M2</v>
      </c>
      <c r="G111" s="820" t="e">
        <f>'R.Anl'!#REF!</f>
        <v>#REF!</v>
      </c>
      <c r="H111" s="746" t="e">
        <f>'R.Anl'!#REF!</f>
        <v>#REF!</v>
      </c>
      <c r="I111" s="747" t="e">
        <f>E111*H111</f>
        <v>#REF!</v>
      </c>
      <c r="J111" s="786"/>
    </row>
    <row r="112" spans="2:23" x14ac:dyDescent="0.3">
      <c r="B112" s="780">
        <f>B111+1</f>
        <v>2</v>
      </c>
      <c r="C112" s="783" t="s">
        <v>1335</v>
      </c>
      <c r="D112" s="784"/>
      <c r="E112" s="812">
        <f>V.1!T566</f>
        <v>66</v>
      </c>
      <c r="F112" s="813" t="str">
        <f>V.1!U566</f>
        <v>M2</v>
      </c>
      <c r="G112" s="820" t="e">
        <f>'R.Anl'!#REF!</f>
        <v>#REF!</v>
      </c>
      <c r="H112" s="746" t="e">
        <f>'R.Anl'!#REF!</f>
        <v>#REF!</v>
      </c>
      <c r="I112" s="747" t="e">
        <f>E112*H112</f>
        <v>#REF!</v>
      </c>
      <c r="J112" s="786"/>
    </row>
    <row r="113" spans="2:12" x14ac:dyDescent="0.3">
      <c r="B113" s="780">
        <f>B112+1</f>
        <v>3</v>
      </c>
      <c r="C113" s="783" t="s">
        <v>740</v>
      </c>
      <c r="D113" s="834"/>
      <c r="E113" s="835">
        <f>V.1!T573</f>
        <v>59.2</v>
      </c>
      <c r="F113" s="835" t="str">
        <f>V.1!U573</f>
        <v>M2</v>
      </c>
      <c r="G113" s="820" t="e">
        <f>'R.Anl'!#REF!</f>
        <v>#REF!</v>
      </c>
      <c r="H113" s="821" t="e">
        <f>'R.Anl'!#REF!</f>
        <v>#REF!</v>
      </c>
      <c r="I113" s="747" t="e">
        <f>E113*H113</f>
        <v>#REF!</v>
      </c>
      <c r="J113" s="786"/>
    </row>
    <row r="114" spans="2:12" x14ac:dyDescent="0.3">
      <c r="B114" s="780">
        <f>B113+1</f>
        <v>4</v>
      </c>
      <c r="C114" s="783" t="s">
        <v>1341</v>
      </c>
      <c r="D114" s="834"/>
      <c r="E114" s="835">
        <f>V.1!T579</f>
        <v>13.6</v>
      </c>
      <c r="F114" s="835" t="s">
        <v>2</v>
      </c>
      <c r="G114" s="820" t="e">
        <f>ANL!#REF!</f>
        <v>#REF!</v>
      </c>
      <c r="H114" s="821" t="e">
        <f>ANL!#REF!</f>
        <v>#REF!</v>
      </c>
      <c r="I114" s="747" t="e">
        <f>E114*H114</f>
        <v>#REF!</v>
      </c>
      <c r="J114" s="786"/>
    </row>
    <row r="115" spans="2:12" x14ac:dyDescent="0.3">
      <c r="B115" s="780">
        <f>B114+1</f>
        <v>5</v>
      </c>
      <c r="C115" s="833" t="s">
        <v>1339</v>
      </c>
      <c r="D115" s="834"/>
      <c r="E115" s="835">
        <f>V.1!T585</f>
        <v>145.6</v>
      </c>
      <c r="F115" s="835" t="str">
        <f>V.1!U585</f>
        <v>M'</v>
      </c>
      <c r="G115" s="820" t="e">
        <f>'R.Anl'!#REF!</f>
        <v>#REF!</v>
      </c>
      <c r="H115" s="746" t="e">
        <f>'R.Anl'!#REF!</f>
        <v>#REF!</v>
      </c>
      <c r="I115" s="747" t="e">
        <f>E115*H115</f>
        <v>#REF!</v>
      </c>
      <c r="J115" s="786"/>
    </row>
    <row r="116" spans="2:12" ht="17.25" thickBot="1" x14ac:dyDescent="0.35">
      <c r="B116" s="780"/>
      <c r="C116" s="833"/>
      <c r="D116" s="834"/>
      <c r="E116" s="835"/>
      <c r="F116" s="835"/>
      <c r="G116" s="836"/>
      <c r="H116" s="746"/>
      <c r="I116" s="747"/>
      <c r="J116" s="786"/>
      <c r="L116" s="807"/>
    </row>
    <row r="117" spans="2:12" ht="17.25" thickBot="1" x14ac:dyDescent="0.35">
      <c r="B117" s="795"/>
      <c r="C117" s="796"/>
      <c r="D117" s="797"/>
      <c r="E117" s="3064" t="s">
        <v>219</v>
      </c>
      <c r="F117" s="3064"/>
      <c r="G117" s="3064"/>
      <c r="H117" s="3065"/>
      <c r="I117" s="764" t="e">
        <f>SUM(I110:I116)</f>
        <v>#REF!</v>
      </c>
      <c r="J117" s="726"/>
    </row>
    <row r="118" spans="2:12" x14ac:dyDescent="0.3">
      <c r="B118" s="854" t="s">
        <v>144</v>
      </c>
      <c r="C118" s="855" t="s">
        <v>587</v>
      </c>
      <c r="D118" s="856"/>
      <c r="E118" s="857"/>
      <c r="F118" s="738"/>
      <c r="G118" s="1078"/>
      <c r="H118" s="739"/>
      <c r="I118" s="740"/>
      <c r="J118" s="786"/>
    </row>
    <row r="119" spans="2:12" x14ac:dyDescent="0.3">
      <c r="B119" s="782">
        <v>1</v>
      </c>
      <c r="C119" s="858" t="s">
        <v>737</v>
      </c>
      <c r="D119" s="784"/>
      <c r="E119" s="785">
        <f>V.1!T593</f>
        <v>542.55999999999995</v>
      </c>
      <c r="F119" s="785" t="str">
        <f>V.1!U593</f>
        <v>M2</v>
      </c>
      <c r="G119" s="820" t="e">
        <f>'R.Anl'!#REF!</f>
        <v>#REF!</v>
      </c>
      <c r="H119" s="746" t="e">
        <f>'R.Anl'!#REF!</f>
        <v>#REF!</v>
      </c>
      <c r="I119" s="747" t="e">
        <f>H119*E119</f>
        <v>#REF!</v>
      </c>
      <c r="J119" s="786"/>
    </row>
    <row r="120" spans="2:12" x14ac:dyDescent="0.3">
      <c r="B120" s="782">
        <v>2</v>
      </c>
      <c r="C120" s="784" t="s">
        <v>736</v>
      </c>
      <c r="D120" s="784"/>
      <c r="E120" s="785">
        <f>V.1!T603</f>
        <v>542.55999999999995</v>
      </c>
      <c r="F120" s="785" t="str">
        <f>V.1!U603</f>
        <v>M2</v>
      </c>
      <c r="G120" s="820" t="e">
        <f>'R.Anl'!#REF!</f>
        <v>#REF!</v>
      </c>
      <c r="H120" s="746" t="e">
        <f>'R.Anl'!#REF!</f>
        <v>#REF!</v>
      </c>
      <c r="I120" s="747" t="e">
        <f>H120*E120</f>
        <v>#REF!</v>
      </c>
      <c r="J120" s="786"/>
    </row>
    <row r="121" spans="2:12" ht="17.25" thickBot="1" x14ac:dyDescent="0.35">
      <c r="B121" s="782"/>
      <c r="C121" s="859"/>
      <c r="D121" s="790"/>
      <c r="E121" s="860"/>
      <c r="F121" s="861"/>
      <c r="G121" s="829"/>
      <c r="H121" s="793"/>
      <c r="I121" s="747"/>
      <c r="J121" s="786"/>
    </row>
    <row r="122" spans="2:12" ht="17.25" thickBot="1" x14ac:dyDescent="0.35">
      <c r="B122" s="795"/>
      <c r="C122" s="831"/>
      <c r="D122" s="832"/>
      <c r="E122" s="3064" t="s">
        <v>1343</v>
      </c>
      <c r="F122" s="3064"/>
      <c r="G122" s="3064"/>
      <c r="H122" s="3065"/>
      <c r="I122" s="764" t="e">
        <f>SUM(I118:I121)</f>
        <v>#REF!</v>
      </c>
      <c r="J122" s="726"/>
    </row>
    <row r="123" spans="2:12" x14ac:dyDescent="0.3">
      <c r="B123" s="854" t="s">
        <v>145</v>
      </c>
      <c r="C123" s="855" t="s">
        <v>142</v>
      </c>
      <c r="D123" s="856"/>
      <c r="E123" s="857"/>
      <c r="F123" s="738"/>
      <c r="G123" s="1078"/>
      <c r="H123" s="739"/>
      <c r="I123" s="740"/>
      <c r="J123" s="786"/>
    </row>
    <row r="124" spans="2:12" x14ac:dyDescent="0.3">
      <c r="B124" s="782">
        <v>1</v>
      </c>
      <c r="C124" s="783" t="s">
        <v>703</v>
      </c>
      <c r="D124" s="784"/>
      <c r="E124" s="785">
        <f>V.1!T610</f>
        <v>240.56</v>
      </c>
      <c r="F124" s="785" t="str">
        <f>V.1!U610</f>
        <v>M2</v>
      </c>
      <c r="G124" s="820" t="e">
        <f>'R.Anl'!#REF!</f>
        <v>#REF!</v>
      </c>
      <c r="H124" s="746" t="e">
        <f>'R.Anl'!#REF!</f>
        <v>#REF!</v>
      </c>
      <c r="I124" s="747" t="e">
        <f>E124*H124</f>
        <v>#REF!</v>
      </c>
      <c r="J124" s="786"/>
    </row>
    <row r="125" spans="2:12" x14ac:dyDescent="0.3">
      <c r="B125" s="782">
        <v>2</v>
      </c>
      <c r="C125" s="783" t="s">
        <v>701</v>
      </c>
      <c r="D125" s="784"/>
      <c r="E125" s="785">
        <f>V.1!T622</f>
        <v>776.56</v>
      </c>
      <c r="F125" s="785" t="str">
        <f>V.1!U622</f>
        <v>M2</v>
      </c>
      <c r="G125" s="820" t="e">
        <f>'R.Anl'!#REF!</f>
        <v>#REF!</v>
      </c>
      <c r="H125" s="746" t="e">
        <f>'R.Anl'!#REF!</f>
        <v>#REF!</v>
      </c>
      <c r="I125" s="747" t="e">
        <f>E125*H125</f>
        <v>#REF!</v>
      </c>
      <c r="J125" s="786"/>
    </row>
    <row r="126" spans="2:12" x14ac:dyDescent="0.3">
      <c r="B126" s="782">
        <v>3</v>
      </c>
      <c r="C126" s="783" t="s">
        <v>702</v>
      </c>
      <c r="D126" s="784"/>
      <c r="E126" s="785">
        <f>V.1!T628</f>
        <v>656.06399999999996</v>
      </c>
      <c r="F126" s="785" t="s">
        <v>2</v>
      </c>
      <c r="G126" s="820" t="e">
        <f>'R.Anl'!#REF!</f>
        <v>#REF!</v>
      </c>
      <c r="H126" s="746" t="e">
        <f>'R.Anl'!#REF!</f>
        <v>#REF!</v>
      </c>
      <c r="I126" s="747" t="e">
        <f>E126*H126</f>
        <v>#REF!</v>
      </c>
      <c r="J126" s="786"/>
    </row>
    <row r="127" spans="2:12" x14ac:dyDescent="0.3">
      <c r="B127" s="782">
        <v>4</v>
      </c>
      <c r="C127" s="783" t="s">
        <v>746</v>
      </c>
      <c r="D127" s="784"/>
      <c r="E127" s="785">
        <f>V.1!T635</f>
        <v>70.92</v>
      </c>
      <c r="F127" s="785" t="str">
        <f>V.1!U635</f>
        <v>M2</v>
      </c>
      <c r="G127" s="820" t="e">
        <f>'R.Anl'!#REF!</f>
        <v>#REF!</v>
      </c>
      <c r="H127" s="746" t="e">
        <f>'R.Anl'!#REF!</f>
        <v>#REF!</v>
      </c>
      <c r="I127" s="747" t="e">
        <f>E127*H127</f>
        <v>#REF!</v>
      </c>
      <c r="J127" s="786"/>
    </row>
    <row r="128" spans="2:12" ht="17.25" thickBot="1" x14ac:dyDescent="0.35">
      <c r="B128" s="788"/>
      <c r="C128" s="859"/>
      <c r="D128" s="790"/>
      <c r="E128" s="860"/>
      <c r="F128" s="791"/>
      <c r="G128" s="829"/>
      <c r="H128" s="793"/>
      <c r="I128" s="747"/>
      <c r="J128" s="786"/>
    </row>
    <row r="129" spans="2:13" ht="17.25" thickBot="1" x14ac:dyDescent="0.35">
      <c r="B129" s="795"/>
      <c r="C129" s="831"/>
      <c r="D129" s="832"/>
      <c r="E129" s="3064" t="s">
        <v>220</v>
      </c>
      <c r="F129" s="3064"/>
      <c r="G129" s="3064"/>
      <c r="H129" s="3065"/>
      <c r="I129" s="764" t="e">
        <f>SUM(I123:I128)</f>
        <v>#REF!</v>
      </c>
      <c r="J129" s="726"/>
    </row>
    <row r="130" spans="2:13" x14ac:dyDescent="0.3">
      <c r="B130" s="854" t="s">
        <v>827</v>
      </c>
      <c r="C130" s="855" t="s">
        <v>251</v>
      </c>
      <c r="D130" s="856"/>
      <c r="E130" s="800"/>
      <c r="F130" s="801"/>
      <c r="G130" s="802"/>
      <c r="H130" s="803"/>
      <c r="I130" s="804"/>
      <c r="J130" s="786"/>
    </row>
    <row r="131" spans="2:13" s="753" customFormat="1" x14ac:dyDescent="0.3">
      <c r="B131" s="941">
        <v>1</v>
      </c>
      <c r="C131" s="1047" t="s">
        <v>773</v>
      </c>
      <c r="D131" s="784"/>
      <c r="E131" s="863"/>
      <c r="F131" s="863"/>
      <c r="G131" s="820"/>
      <c r="H131" s="746"/>
      <c r="I131" s="747"/>
      <c r="J131" s="823"/>
      <c r="M131" s="754"/>
    </row>
    <row r="132" spans="2:13" s="753" customFormat="1" x14ac:dyDescent="0.3">
      <c r="B132" s="941"/>
      <c r="C132" s="867"/>
      <c r="D132" s="708" t="s">
        <v>774</v>
      </c>
      <c r="E132" s="813">
        <f>V.1!T660</f>
        <v>60</v>
      </c>
      <c r="F132" s="813" t="str">
        <f>V.1!U660</f>
        <v>M'</v>
      </c>
      <c r="G132" s="820" t="e">
        <f>'R.Anl'!#REF!</f>
        <v>#REF!</v>
      </c>
      <c r="H132" s="746" t="e">
        <f>'R.Anl'!#REF!</f>
        <v>#REF!</v>
      </c>
      <c r="I132" s="747" t="e">
        <f t="shared" ref="I132:I137" si="9">E132*H132</f>
        <v>#REF!</v>
      </c>
      <c r="J132" s="823"/>
      <c r="M132" s="754"/>
    </row>
    <row r="133" spans="2:13" s="753" customFormat="1" x14ac:dyDescent="0.3">
      <c r="B133" s="941"/>
      <c r="C133" s="867"/>
      <c r="D133" s="708" t="s">
        <v>775</v>
      </c>
      <c r="E133" s="813">
        <f>V.1!T661</f>
        <v>1</v>
      </c>
      <c r="F133" s="813" t="str">
        <f>V.1!U661</f>
        <v>Bh</v>
      </c>
      <c r="G133" s="820" t="e">
        <f>'R.Anl'!#REF!</f>
        <v>#REF!</v>
      </c>
      <c r="H133" s="746" t="e">
        <f>'R.Anl'!#REF!</f>
        <v>#REF!</v>
      </c>
      <c r="I133" s="747" t="e">
        <f t="shared" si="9"/>
        <v>#REF!</v>
      </c>
      <c r="J133" s="823"/>
      <c r="M133" s="754"/>
    </row>
    <row r="134" spans="2:13" s="753" customFormat="1" x14ac:dyDescent="0.3">
      <c r="B134" s="941">
        <f>B131+1</f>
        <v>2</v>
      </c>
      <c r="C134" s="1047" t="s">
        <v>776</v>
      </c>
      <c r="D134" s="784"/>
      <c r="E134" s="813"/>
      <c r="F134" s="813"/>
      <c r="G134" s="820"/>
      <c r="H134" s="746"/>
      <c r="I134" s="747"/>
      <c r="J134" s="823"/>
      <c r="M134" s="754"/>
    </row>
    <row r="135" spans="2:13" s="753" customFormat="1" x14ac:dyDescent="0.3">
      <c r="B135" s="941"/>
      <c r="C135" s="867"/>
      <c r="D135" s="1048" t="s">
        <v>777</v>
      </c>
      <c r="E135" s="813">
        <f>V.1!T664</f>
        <v>15</v>
      </c>
      <c r="F135" s="813" t="str">
        <f>V.1!U664</f>
        <v>M'</v>
      </c>
      <c r="G135" s="820" t="e">
        <f>'R.Anl'!#REF!</f>
        <v>#REF!</v>
      </c>
      <c r="H135" s="746" t="e">
        <f>'R.Anl'!#REF!</f>
        <v>#REF!</v>
      </c>
      <c r="I135" s="747" t="e">
        <f t="shared" si="9"/>
        <v>#REF!</v>
      </c>
      <c r="J135" s="823"/>
      <c r="M135" s="754"/>
    </row>
    <row r="136" spans="2:13" s="753" customFormat="1" x14ac:dyDescent="0.3">
      <c r="B136" s="941"/>
      <c r="C136" s="867"/>
      <c r="D136" s="1048" t="s">
        <v>778</v>
      </c>
      <c r="E136" s="813">
        <f>V.1!T665</f>
        <v>30</v>
      </c>
      <c r="F136" s="813" t="str">
        <f>V.1!U665</f>
        <v>M'</v>
      </c>
      <c r="G136" s="820" t="e">
        <f>G135</f>
        <v>#REF!</v>
      </c>
      <c r="H136" s="746" t="e">
        <f>H135</f>
        <v>#REF!</v>
      </c>
      <c r="I136" s="747" t="e">
        <f t="shared" si="9"/>
        <v>#REF!</v>
      </c>
      <c r="J136" s="823"/>
      <c r="M136" s="754"/>
    </row>
    <row r="137" spans="2:13" s="753" customFormat="1" x14ac:dyDescent="0.3">
      <c r="B137" s="941"/>
      <c r="C137" s="867"/>
      <c r="D137" s="1048" t="s">
        <v>779</v>
      </c>
      <c r="E137" s="813">
        <f>V.1!T666</f>
        <v>72</v>
      </c>
      <c r="F137" s="813" t="str">
        <f>V.1!U666</f>
        <v>M'</v>
      </c>
      <c r="G137" s="820" t="e">
        <f>'R.Anl'!#REF!</f>
        <v>#REF!</v>
      </c>
      <c r="H137" s="746" t="e">
        <f>'R.Anl'!#REF!</f>
        <v>#REF!</v>
      </c>
      <c r="I137" s="747" t="e">
        <f t="shared" si="9"/>
        <v>#REF!</v>
      </c>
      <c r="J137" s="823"/>
      <c r="M137" s="754"/>
    </row>
    <row r="138" spans="2:13" s="753" customFormat="1" x14ac:dyDescent="0.3">
      <c r="B138" s="941">
        <f>B134+1</f>
        <v>3</v>
      </c>
      <c r="C138" s="1047" t="s">
        <v>780</v>
      </c>
      <c r="D138" s="784"/>
      <c r="E138" s="813">
        <f>V.1!T668</f>
        <v>8</v>
      </c>
      <c r="F138" s="813" t="str">
        <f>V.1!U668</f>
        <v>Bh</v>
      </c>
      <c r="G138" s="820" t="e">
        <f>'R.Anl'!#REF!</f>
        <v>#REF!</v>
      </c>
      <c r="H138" s="746" t="e">
        <f>'R.Anl'!#REF!</f>
        <v>#REF!</v>
      </c>
      <c r="I138" s="747" t="e">
        <f>H138*E138</f>
        <v>#REF!</v>
      </c>
      <c r="J138" s="823"/>
      <c r="M138" s="754"/>
    </row>
    <row r="139" spans="2:13" s="753" customFormat="1" x14ac:dyDescent="0.3">
      <c r="B139" s="941">
        <f>B138+1</f>
        <v>4</v>
      </c>
      <c r="C139" s="1047" t="s">
        <v>782</v>
      </c>
      <c r="D139" s="784"/>
      <c r="E139" s="813">
        <f>V.1!T669</f>
        <v>8</v>
      </c>
      <c r="F139" s="813" t="str">
        <f>V.1!U669</f>
        <v>Bh</v>
      </c>
      <c r="G139" s="820" t="e">
        <f>'R.Anl'!#REF!</f>
        <v>#REF!</v>
      </c>
      <c r="H139" s="746" t="e">
        <f>'R.Anl'!#REF!</f>
        <v>#REF!</v>
      </c>
      <c r="I139" s="747" t="e">
        <f>H139*E139</f>
        <v>#REF!</v>
      </c>
      <c r="J139" s="823"/>
      <c r="M139" s="754"/>
    </row>
    <row r="140" spans="2:13" s="753" customFormat="1" x14ac:dyDescent="0.3">
      <c r="B140" s="941">
        <f>B139+1</f>
        <v>5</v>
      </c>
      <c r="C140" s="1047" t="s">
        <v>781</v>
      </c>
      <c r="D140" s="784"/>
      <c r="E140" s="813">
        <f>V.1!T670</f>
        <v>8</v>
      </c>
      <c r="F140" s="813" t="str">
        <f>V.1!U670</f>
        <v>Bh</v>
      </c>
      <c r="G140" s="820" t="e">
        <f>'R.Anl'!#REF!</f>
        <v>#REF!</v>
      </c>
      <c r="H140" s="746" t="e">
        <f>'R.Anl'!#REF!</f>
        <v>#REF!</v>
      </c>
      <c r="I140" s="747" t="e">
        <f>H140*E140</f>
        <v>#REF!</v>
      </c>
      <c r="J140" s="823"/>
      <c r="M140" s="754"/>
    </row>
    <row r="141" spans="2:13" s="753" customFormat="1" x14ac:dyDescent="0.3">
      <c r="B141" s="941">
        <f>B140+1</f>
        <v>6</v>
      </c>
      <c r="C141" s="868" t="s">
        <v>783</v>
      </c>
      <c r="D141" s="869"/>
      <c r="E141" s="863"/>
      <c r="F141" s="863"/>
      <c r="G141" s="820"/>
      <c r="H141" s="746"/>
      <c r="I141" s="845"/>
      <c r="J141" s="823"/>
      <c r="M141" s="754"/>
    </row>
    <row r="142" spans="2:13" s="753" customFormat="1" x14ac:dyDescent="0.3">
      <c r="B142" s="941"/>
      <c r="C142" s="870"/>
      <c r="D142" s="871" t="s">
        <v>784</v>
      </c>
      <c r="E142" s="813">
        <f>V.1!T673</f>
        <v>12.6</v>
      </c>
      <c r="F142" s="813" t="str">
        <f>V.1!U673</f>
        <v>M3</v>
      </c>
      <c r="G142" s="820" t="str">
        <f>'R.Anl'!B20</f>
        <v>A.2.3.1.2</v>
      </c>
      <c r="H142" s="746">
        <f>'R.Anl'!D20</f>
        <v>129375</v>
      </c>
      <c r="I142" s="747">
        <f>H142*E142</f>
        <v>1630125</v>
      </c>
      <c r="J142" s="823"/>
      <c r="M142" s="754"/>
    </row>
    <row r="143" spans="2:13" s="753" customFormat="1" x14ac:dyDescent="0.3">
      <c r="B143" s="941"/>
      <c r="C143" s="870"/>
      <c r="D143" s="871" t="s">
        <v>785</v>
      </c>
      <c r="E143" s="813">
        <f>V.1!T676</f>
        <v>31.5</v>
      </c>
      <c r="F143" s="813" t="str">
        <f>V.1!U676</f>
        <v>M2</v>
      </c>
      <c r="G143" s="820" t="e">
        <f>'R.Anl'!#REF!</f>
        <v>#REF!</v>
      </c>
      <c r="H143" s="746" t="e">
        <f>'R.Anl'!#REF!</f>
        <v>#REF!</v>
      </c>
      <c r="I143" s="747" t="e">
        <f>H143*E143</f>
        <v>#REF!</v>
      </c>
      <c r="J143" s="823"/>
      <c r="M143" s="754"/>
    </row>
    <row r="144" spans="2:13" s="753" customFormat="1" x14ac:dyDescent="0.3">
      <c r="B144" s="941"/>
      <c r="C144" s="870"/>
      <c r="D144" s="871" t="s">
        <v>786</v>
      </c>
      <c r="E144" s="813">
        <f>V.1!T679</f>
        <v>31.5</v>
      </c>
      <c r="F144" s="813" t="str">
        <f>V.1!U679</f>
        <v>M2</v>
      </c>
      <c r="G144" s="820" t="e">
        <f>'R.Anl'!#REF!</f>
        <v>#REF!</v>
      </c>
      <c r="H144" s="746" t="e">
        <f>'R.Anl'!#REF!</f>
        <v>#REF!</v>
      </c>
      <c r="I144" s="747" t="e">
        <f>H144*E144</f>
        <v>#REF!</v>
      </c>
      <c r="J144" s="823"/>
      <c r="M144" s="754"/>
    </row>
    <row r="145" spans="1:13" s="753" customFormat="1" ht="16.5" customHeight="1" x14ac:dyDescent="0.3">
      <c r="B145" s="941"/>
      <c r="C145" s="872"/>
      <c r="D145" s="873" t="s">
        <v>787</v>
      </c>
      <c r="E145" s="813">
        <f>V.1!T680</f>
        <v>0.67</v>
      </c>
      <c r="F145" s="813" t="str">
        <f>V.1!U680</f>
        <v>M3</v>
      </c>
      <c r="G145" s="820" t="e">
        <f>'R.Anl'!#REF!</f>
        <v>#REF!</v>
      </c>
      <c r="H145" s="746" t="e">
        <f>'R.Anl'!#REF!</f>
        <v>#REF!</v>
      </c>
      <c r="I145" s="747" t="e">
        <f>H145*E145</f>
        <v>#REF!</v>
      </c>
      <c r="J145" s="823"/>
      <c r="M145" s="754"/>
    </row>
    <row r="146" spans="1:13" s="753" customFormat="1" x14ac:dyDescent="0.3">
      <c r="B146" s="941"/>
      <c r="C146" s="870"/>
      <c r="D146" s="871" t="s">
        <v>788</v>
      </c>
      <c r="E146" s="813">
        <f>V.1!T683</f>
        <v>220.06</v>
      </c>
      <c r="F146" s="813" t="str">
        <f>V.1!U683</f>
        <v>Kg</v>
      </c>
      <c r="G146" s="820" t="str">
        <f>'R.Anl'!B31</f>
        <v>A.4.1.1.17.</v>
      </c>
      <c r="H146" s="746">
        <f>'R.Anl'!D31</f>
        <v>20849.5</v>
      </c>
      <c r="I146" s="747">
        <f t="shared" ref="I146:I151" si="10">H146*E146</f>
        <v>4588140.97</v>
      </c>
      <c r="J146" s="823"/>
      <c r="M146" s="754"/>
    </row>
    <row r="147" spans="1:13" s="753" customFormat="1" x14ac:dyDescent="0.3">
      <c r="B147" s="941"/>
      <c r="C147" s="870"/>
      <c r="D147" s="871" t="s">
        <v>789</v>
      </c>
      <c r="E147" s="813">
        <f>V.1!T690</f>
        <v>8.4</v>
      </c>
      <c r="F147" s="813" t="str">
        <f>V.1!U690</f>
        <v>M2</v>
      </c>
      <c r="G147" s="820" t="str">
        <f>'R.Anl'!B37</f>
        <v>A.4.1.1.24A</v>
      </c>
      <c r="H147" s="746">
        <f>'R.Anl'!D37</f>
        <v>428264.31</v>
      </c>
      <c r="I147" s="747">
        <f t="shared" si="10"/>
        <v>3597420.2039999999</v>
      </c>
      <c r="J147" s="823"/>
      <c r="M147" s="754"/>
    </row>
    <row r="148" spans="1:13" s="753" customFormat="1" x14ac:dyDescent="0.3">
      <c r="B148" s="941"/>
      <c r="C148" s="870"/>
      <c r="D148" s="871" t="s">
        <v>790</v>
      </c>
      <c r="E148" s="813">
        <f>V.1!T693</f>
        <v>2</v>
      </c>
      <c r="F148" s="813" t="str">
        <f>V.1!U693</f>
        <v>Bh</v>
      </c>
      <c r="G148" s="820" t="s">
        <v>327</v>
      </c>
      <c r="H148" s="746" t="e">
        <f>BAHAN!#REF!</f>
        <v>#REF!</v>
      </c>
      <c r="I148" s="747" t="e">
        <f t="shared" si="10"/>
        <v>#REF!</v>
      </c>
      <c r="J148" s="823"/>
      <c r="M148" s="754"/>
    </row>
    <row r="149" spans="1:13" s="753" customFormat="1" x14ac:dyDescent="0.3">
      <c r="B149" s="941"/>
      <c r="C149" s="870"/>
      <c r="D149" s="871" t="s">
        <v>791</v>
      </c>
      <c r="E149" s="813">
        <f>V.1!T694</f>
        <v>9</v>
      </c>
      <c r="F149" s="813" t="str">
        <f>V.1!U694</f>
        <v>M'</v>
      </c>
      <c r="G149" s="820" t="e">
        <f>'R.Anl'!#REF!</f>
        <v>#REF!</v>
      </c>
      <c r="H149" s="746" t="e">
        <f>'R.Anl'!#REF!</f>
        <v>#REF!</v>
      </c>
      <c r="I149" s="747" t="e">
        <f t="shared" si="10"/>
        <v>#REF!</v>
      </c>
      <c r="J149" s="823"/>
      <c r="M149" s="754"/>
    </row>
    <row r="150" spans="1:13" s="753" customFormat="1" x14ac:dyDescent="0.3">
      <c r="B150" s="941"/>
      <c r="C150" s="870"/>
      <c r="D150" s="871" t="s">
        <v>792</v>
      </c>
      <c r="E150" s="813">
        <f>V.1!T695</f>
        <v>1.88</v>
      </c>
      <c r="F150" s="813" t="str">
        <f>V.1!U695</f>
        <v>M2</v>
      </c>
      <c r="G150" s="820" t="e">
        <f>'R.Anl'!#REF!</f>
        <v>#REF!</v>
      </c>
      <c r="H150" s="746" t="e">
        <f>'R.Anl'!#REF!</f>
        <v>#REF!</v>
      </c>
      <c r="I150" s="747" t="e">
        <f t="shared" si="10"/>
        <v>#REF!</v>
      </c>
      <c r="J150" s="823"/>
      <c r="M150" s="754"/>
    </row>
    <row r="151" spans="1:13" s="753" customFormat="1" x14ac:dyDescent="0.3">
      <c r="B151" s="941"/>
      <c r="C151" s="870"/>
      <c r="D151" s="871" t="s">
        <v>793</v>
      </c>
      <c r="E151" s="813">
        <f>V.1!T696</f>
        <v>0.98</v>
      </c>
      <c r="F151" s="813" t="str">
        <f>V.1!U696</f>
        <v>M3</v>
      </c>
      <c r="G151" s="820" t="str">
        <f>'R.Anl'!B24</f>
        <v>A.2.3.1.14</v>
      </c>
      <c r="H151" s="746">
        <f>'R.Anl'!D24</f>
        <v>402787.5</v>
      </c>
      <c r="I151" s="747">
        <f t="shared" si="10"/>
        <v>394731.75</v>
      </c>
      <c r="J151" s="823"/>
      <c r="M151" s="754"/>
    </row>
    <row r="152" spans="1:13" s="753" customFormat="1" ht="17.25" thickBot="1" x14ac:dyDescent="0.35">
      <c r="B152" s="874"/>
      <c r="C152" s="875"/>
      <c r="D152" s="876"/>
      <c r="E152" s="863"/>
      <c r="F152" s="863"/>
      <c r="G152" s="820"/>
      <c r="H152" s="746"/>
      <c r="I152" s="845"/>
      <c r="J152" s="823"/>
      <c r="M152" s="754"/>
    </row>
    <row r="153" spans="1:13" ht="17.25" thickBot="1" x14ac:dyDescent="0.35">
      <c r="B153" s="795"/>
      <c r="C153" s="831"/>
      <c r="D153" s="832"/>
      <c r="E153" s="3064" t="s">
        <v>1344</v>
      </c>
      <c r="F153" s="3064"/>
      <c r="G153" s="3064"/>
      <c r="H153" s="3065"/>
      <c r="I153" s="764" t="e">
        <f>SUM(I130:I152)</f>
        <v>#REF!</v>
      </c>
      <c r="J153" s="726"/>
    </row>
    <row r="154" spans="1:13" x14ac:dyDescent="0.3">
      <c r="A154" s="879"/>
      <c r="B154" s="854" t="s">
        <v>241</v>
      </c>
      <c r="C154" s="855" t="s">
        <v>794</v>
      </c>
      <c r="D154" s="856"/>
      <c r="E154" s="857"/>
      <c r="F154" s="738"/>
      <c r="G154" s="1078"/>
      <c r="H154" s="739"/>
      <c r="I154" s="740"/>
      <c r="J154" s="786"/>
    </row>
    <row r="155" spans="1:13" s="887" customFormat="1" ht="16.5" customHeight="1" x14ac:dyDescent="0.3">
      <c r="A155" s="880"/>
      <c r="B155" s="1011">
        <v>1</v>
      </c>
      <c r="C155" s="881" t="s">
        <v>807</v>
      </c>
      <c r="D155" s="882"/>
      <c r="E155" s="883"/>
      <c r="F155" s="884"/>
      <c r="G155" s="1058"/>
      <c r="H155" s="1081"/>
      <c r="I155" s="885"/>
      <c r="J155" s="886"/>
      <c r="M155" s="888"/>
    </row>
    <row r="156" spans="1:13" s="887" customFormat="1" ht="15.95" customHeight="1" x14ac:dyDescent="0.3">
      <c r="A156" s="889"/>
      <c r="B156" s="890"/>
      <c r="C156" s="706"/>
      <c r="D156" s="707" t="s">
        <v>795</v>
      </c>
      <c r="E156" s="1006">
        <f>V.1!T712</f>
        <v>53000</v>
      </c>
      <c r="F156" s="1006" t="str">
        <f>V.1!U712</f>
        <v>Va</v>
      </c>
      <c r="G156" s="1058" t="s">
        <v>327</v>
      </c>
      <c r="H156" s="1059">
        <f>'UB mep'!J135</f>
        <v>1000</v>
      </c>
      <c r="I156" s="885">
        <f>H156*E156</f>
        <v>53000000</v>
      </c>
      <c r="J156" s="886"/>
    </row>
    <row r="157" spans="1:13" s="887" customFormat="1" ht="15.95" customHeight="1" x14ac:dyDescent="0.3">
      <c r="A157" s="889"/>
      <c r="B157" s="890"/>
      <c r="C157" s="706"/>
      <c r="D157" s="707" t="s">
        <v>796</v>
      </c>
      <c r="E157" s="1006">
        <f>V.1!T713</f>
        <v>53000</v>
      </c>
      <c r="F157" s="1006" t="str">
        <f>V.1!U713</f>
        <v>Va</v>
      </c>
      <c r="G157" s="1058" t="s">
        <v>327</v>
      </c>
      <c r="H157" s="1059">
        <f>'UB mep'!J136</f>
        <v>255</v>
      </c>
      <c r="I157" s="885">
        <f>H157*E157</f>
        <v>13515000</v>
      </c>
      <c r="J157" s="886"/>
    </row>
    <row r="158" spans="1:13" s="887" customFormat="1" ht="15.95" customHeight="1" x14ac:dyDescent="0.3">
      <c r="A158" s="889"/>
      <c r="B158" s="890"/>
      <c r="C158" s="706"/>
      <c r="D158" s="707" t="s">
        <v>797</v>
      </c>
      <c r="E158" s="1006">
        <f>V.1!T714</f>
        <v>1</v>
      </c>
      <c r="F158" s="1006" t="str">
        <f>V.1!U714</f>
        <v>Ls</v>
      </c>
      <c r="G158" s="1058" t="s">
        <v>327</v>
      </c>
      <c r="H158" s="1059">
        <f>'UB mep'!J137</f>
        <v>1200000</v>
      </c>
      <c r="I158" s="885">
        <f>H158*E158</f>
        <v>1200000</v>
      </c>
      <c r="J158" s="886"/>
    </row>
    <row r="159" spans="1:13" s="887" customFormat="1" ht="15.95" customHeight="1" x14ac:dyDescent="0.3">
      <c r="A159" s="889"/>
      <c r="B159" s="890"/>
      <c r="C159" s="706"/>
      <c r="D159" s="707" t="s">
        <v>798</v>
      </c>
      <c r="E159" s="1006">
        <f>V.1!T715</f>
        <v>1</v>
      </c>
      <c r="F159" s="1006" t="str">
        <f>V.1!U715</f>
        <v>Ls</v>
      </c>
      <c r="G159" s="1058" t="s">
        <v>327</v>
      </c>
      <c r="H159" s="1059">
        <f>'UB mep'!J138</f>
        <v>3500000</v>
      </c>
      <c r="I159" s="885">
        <f>H159*E159</f>
        <v>3500000</v>
      </c>
      <c r="J159" s="886"/>
    </row>
    <row r="160" spans="1:13" s="898" customFormat="1" ht="15.75" customHeight="1" x14ac:dyDescent="0.3">
      <c r="A160" s="891"/>
      <c r="B160" s="1012">
        <f>B155+1</f>
        <v>2</v>
      </c>
      <c r="C160" s="892" t="s">
        <v>799</v>
      </c>
      <c r="D160" s="893"/>
      <c r="E160" s="894"/>
      <c r="F160" s="895"/>
      <c r="G160" s="907"/>
      <c r="H160" s="1057"/>
      <c r="I160" s="896"/>
      <c r="J160" s="897"/>
    </row>
    <row r="161" spans="1:21" s="898" customFormat="1" ht="16.5" customHeight="1" x14ac:dyDescent="0.3">
      <c r="A161" s="899"/>
      <c r="B161" s="900"/>
      <c r="C161" s="3083" t="s">
        <v>1272</v>
      </c>
      <c r="D161" s="3084"/>
      <c r="E161" s="1008">
        <f>V.1!T718</f>
        <v>1</v>
      </c>
      <c r="F161" s="1008" t="str">
        <f>V.1!U718</f>
        <v>Unit</v>
      </c>
      <c r="G161" s="908" t="e">
        <f>'R.Anl'!#REF!</f>
        <v>#REF!</v>
      </c>
      <c r="H161" s="908" t="e">
        <f>'R.Anl'!#REF!</f>
        <v>#REF!</v>
      </c>
      <c r="I161" s="885" t="e">
        <f>H161*E161</f>
        <v>#REF!</v>
      </c>
      <c r="J161" s="897"/>
    </row>
    <row r="162" spans="1:21" s="898" customFormat="1" ht="15.95" customHeight="1" x14ac:dyDescent="0.3">
      <c r="A162" s="902"/>
      <c r="B162" s="900"/>
      <c r="C162" s="1137" t="s">
        <v>1273</v>
      </c>
      <c r="D162" s="893"/>
      <c r="E162" s="1008">
        <f>V.1!T719</f>
        <v>1</v>
      </c>
      <c r="F162" s="1008" t="str">
        <f>V.1!U719</f>
        <v>Unit</v>
      </c>
      <c r="G162" s="908" t="e">
        <f>'R.Anl'!#REF!</f>
        <v>#REF!</v>
      </c>
      <c r="H162" s="908" t="e">
        <f>'R.Anl'!#REF!</f>
        <v>#REF!</v>
      </c>
      <c r="I162" s="885" t="e">
        <f>H162*E162</f>
        <v>#REF!</v>
      </c>
      <c r="J162" s="897"/>
    </row>
    <row r="163" spans="1:21" s="898" customFormat="1" ht="15.95" customHeight="1" x14ac:dyDescent="0.3">
      <c r="A163" s="891"/>
      <c r="B163" s="1013">
        <f>B160+1</f>
        <v>3</v>
      </c>
      <c r="C163" s="892" t="s">
        <v>801</v>
      </c>
      <c r="D163" s="893"/>
      <c r="E163" s="894"/>
      <c r="F163" s="901"/>
      <c r="G163" s="883"/>
      <c r="H163" s="908"/>
      <c r="I163" s="896"/>
      <c r="J163" s="897"/>
      <c r="T163" s="904"/>
    </row>
    <row r="164" spans="1:21" s="961" customFormat="1" ht="16.5" customHeight="1" x14ac:dyDescent="0.3">
      <c r="A164" s="891"/>
      <c r="B164" s="903"/>
      <c r="C164" s="1055" t="s">
        <v>814</v>
      </c>
      <c r="D164" s="959"/>
      <c r="E164" s="1008">
        <f>V.1!T723</f>
        <v>20</v>
      </c>
      <c r="F164" s="1008" t="str">
        <f>V.1!U723</f>
        <v>M'</v>
      </c>
      <c r="G164" s="907" t="e">
        <f>'R.Anl'!#REF!</f>
        <v>#REF!</v>
      </c>
      <c r="H164" s="908" t="e">
        <f>'R.Anl'!#REF!</f>
        <v>#REF!</v>
      </c>
      <c r="I164" s="136" t="e">
        <f>E164*H164</f>
        <v>#REF!</v>
      </c>
      <c r="J164" s="960"/>
      <c r="T164" s="962"/>
    </row>
    <row r="165" spans="1:21" s="910" customFormat="1" ht="15.95" customHeight="1" x14ac:dyDescent="0.3">
      <c r="A165" s="905"/>
      <c r="B165" s="890"/>
      <c r="C165" s="1050" t="s">
        <v>815</v>
      </c>
      <c r="D165" s="906"/>
      <c r="E165" s="1008">
        <f>V.1!T724</f>
        <v>6</v>
      </c>
      <c r="F165" s="1008" t="str">
        <f>V.1!U724</f>
        <v>M'</v>
      </c>
      <c r="G165" s="907" t="e">
        <f>'R.Anl'!#REF!</f>
        <v>#REF!</v>
      </c>
      <c r="H165" s="908" t="e">
        <f>'R.Anl'!#REF!</f>
        <v>#REF!</v>
      </c>
      <c r="I165" s="136" t="e">
        <f>E165*H165</f>
        <v>#REF!</v>
      </c>
      <c r="J165" s="909"/>
      <c r="T165" s="911"/>
    </row>
    <row r="166" spans="1:21" s="887" customFormat="1" ht="16.5" customHeight="1" x14ac:dyDescent="0.3">
      <c r="A166" s="905"/>
      <c r="B166" s="890">
        <f>B163+1</f>
        <v>4</v>
      </c>
      <c r="C166" s="3081" t="s">
        <v>802</v>
      </c>
      <c r="D166" s="3082"/>
      <c r="E166" s="883"/>
      <c r="F166" s="908"/>
      <c r="G166" s="883"/>
      <c r="H166" s="908"/>
      <c r="I166" s="136"/>
      <c r="J166" s="886"/>
      <c r="T166" s="915"/>
      <c r="U166" s="914"/>
    </row>
    <row r="167" spans="1:21" s="887" customFormat="1" ht="15.95" customHeight="1" x14ac:dyDescent="0.3">
      <c r="A167" s="905"/>
      <c r="B167" s="890"/>
      <c r="C167" s="916" t="s">
        <v>808</v>
      </c>
      <c r="D167" s="1009"/>
      <c r="E167" s="1006">
        <f>V.1!T729</f>
        <v>8</v>
      </c>
      <c r="F167" s="1006" t="str">
        <f>V.1!U729</f>
        <v>M'</v>
      </c>
      <c r="G167" s="908" t="s">
        <v>327</v>
      </c>
      <c r="H167" s="908">
        <f>'UB mep'!J118</f>
        <v>55000</v>
      </c>
      <c r="I167" s="136">
        <f>E167*H167</f>
        <v>440000</v>
      </c>
      <c r="J167" s="886"/>
      <c r="T167" s="915"/>
      <c r="U167" s="914"/>
    </row>
    <row r="168" spans="1:21" s="887" customFormat="1" ht="15.95" customHeight="1" x14ac:dyDescent="0.3">
      <c r="A168" s="905"/>
      <c r="B168" s="890"/>
      <c r="C168" s="916" t="s">
        <v>809</v>
      </c>
      <c r="D168" s="869"/>
      <c r="E168" s="1006">
        <f>V.1!T730</f>
        <v>1</v>
      </c>
      <c r="F168" s="1006" t="str">
        <f>V.1!U730</f>
        <v>Set</v>
      </c>
      <c r="G168" s="908" t="e">
        <f>'R.Anl'!#REF!</f>
        <v>#REF!</v>
      </c>
      <c r="H168" s="908" t="e">
        <f>'R.Anl'!#REF!</f>
        <v>#REF!</v>
      </c>
      <c r="I168" s="136" t="e">
        <f>E168*H168</f>
        <v>#REF!</v>
      </c>
      <c r="J168" s="886"/>
      <c r="T168" s="917"/>
      <c r="U168" s="914"/>
    </row>
    <row r="169" spans="1:21" s="887" customFormat="1" ht="15.95" customHeight="1" x14ac:dyDescent="0.3">
      <c r="A169" s="905"/>
      <c r="B169" s="890"/>
      <c r="C169" s="1010"/>
      <c r="D169" s="1056" t="s">
        <v>810</v>
      </c>
      <c r="E169" s="883"/>
      <c r="F169" s="908"/>
      <c r="G169" s="908"/>
      <c r="H169" s="908"/>
      <c r="I169" s="136"/>
      <c r="J169" s="886"/>
      <c r="T169" s="917"/>
      <c r="U169" s="914"/>
    </row>
    <row r="170" spans="1:21" s="887" customFormat="1" ht="15.95" customHeight="1" x14ac:dyDescent="0.3">
      <c r="A170" s="905"/>
      <c r="B170" s="890"/>
      <c r="C170" s="1010"/>
      <c r="D170" s="1056" t="s">
        <v>811</v>
      </c>
      <c r="E170" s="883"/>
      <c r="F170" s="908"/>
      <c r="G170" s="908"/>
      <c r="H170" s="908"/>
      <c r="I170" s="136"/>
      <c r="J170" s="886"/>
      <c r="T170" s="917"/>
      <c r="U170" s="914"/>
    </row>
    <row r="171" spans="1:21" s="887" customFormat="1" ht="15.95" customHeight="1" x14ac:dyDescent="0.3">
      <c r="A171" s="905"/>
      <c r="B171" s="890"/>
      <c r="C171" s="1010"/>
      <c r="D171" s="1056" t="s">
        <v>812</v>
      </c>
      <c r="E171" s="883"/>
      <c r="F171" s="908"/>
      <c r="G171" s="908"/>
      <c r="H171" s="908"/>
      <c r="I171" s="136"/>
      <c r="J171" s="886"/>
      <c r="T171" s="917"/>
      <c r="U171" s="914"/>
    </row>
    <row r="172" spans="1:21" s="887" customFormat="1" ht="15.95" customHeight="1" x14ac:dyDescent="0.3">
      <c r="A172" s="918"/>
      <c r="B172" s="919"/>
      <c r="C172" s="1010"/>
      <c r="D172" s="1056" t="s">
        <v>813</v>
      </c>
      <c r="E172" s="883"/>
      <c r="F172" s="908"/>
      <c r="G172" s="908"/>
      <c r="H172" s="908"/>
      <c r="I172" s="136"/>
      <c r="J172" s="886"/>
      <c r="T172" s="917"/>
      <c r="U172" s="914"/>
    </row>
    <row r="173" spans="1:21" s="887" customFormat="1" ht="15.95" customHeight="1" x14ac:dyDescent="0.3">
      <c r="A173" s="905"/>
      <c r="B173" s="890">
        <f>B166+1</f>
        <v>5</v>
      </c>
      <c r="C173" s="922" t="s">
        <v>803</v>
      </c>
      <c r="D173" s="869"/>
      <c r="E173" s="920"/>
      <c r="F173" s="921"/>
      <c r="G173" s="883"/>
      <c r="H173" s="908"/>
      <c r="I173" s="136"/>
      <c r="J173" s="886"/>
      <c r="T173" s="914"/>
      <c r="U173" s="914"/>
    </row>
    <row r="174" spans="1:21" s="887" customFormat="1" ht="16.5" customHeight="1" x14ac:dyDescent="0.3">
      <c r="A174" s="905"/>
      <c r="B174" s="890"/>
      <c r="C174" s="1049" t="s">
        <v>819</v>
      </c>
      <c r="D174" s="869"/>
      <c r="E174" s="1006">
        <f>V.1!T733</f>
        <v>11</v>
      </c>
      <c r="F174" s="1006" t="str">
        <f>V.1!U733</f>
        <v>Bh</v>
      </c>
      <c r="G174" s="1054" t="e">
        <f>'R.Anl'!#REF!</f>
        <v>#REF!</v>
      </c>
      <c r="H174" s="908" t="e">
        <f>'R.Anl'!#REF!</f>
        <v>#REF!</v>
      </c>
      <c r="I174" s="136" t="e">
        <f>E174*H174</f>
        <v>#REF!</v>
      </c>
      <c r="J174" s="886"/>
    </row>
    <row r="175" spans="1:21" s="887" customFormat="1" ht="16.5" customHeight="1" x14ac:dyDescent="0.3">
      <c r="A175" s="889"/>
      <c r="B175" s="890"/>
      <c r="C175" s="1049" t="s">
        <v>820</v>
      </c>
      <c r="D175" s="708"/>
      <c r="E175" s="1006">
        <f>V.1!T734</f>
        <v>37</v>
      </c>
      <c r="F175" s="1006" t="str">
        <f>V.1!U734</f>
        <v>Bh</v>
      </c>
      <c r="G175" s="1054" t="e">
        <f>'R.Anl'!#REF!</f>
        <v>#REF!</v>
      </c>
      <c r="H175" s="908" t="e">
        <f>'R.Anl'!#REF!</f>
        <v>#REF!</v>
      </c>
      <c r="I175" s="136" t="e">
        <f>E175*H175</f>
        <v>#REF!</v>
      </c>
      <c r="J175" s="886"/>
    </row>
    <row r="176" spans="1:21" s="887" customFormat="1" ht="16.5" customHeight="1" x14ac:dyDescent="0.3">
      <c r="A176" s="889"/>
      <c r="B176" s="890"/>
      <c r="C176" s="1049" t="s">
        <v>821</v>
      </c>
      <c r="D176" s="869"/>
      <c r="E176" s="1006">
        <f>V.1!T735</f>
        <v>16</v>
      </c>
      <c r="F176" s="1006" t="str">
        <f>V.1!U735</f>
        <v>Bh</v>
      </c>
      <c r="G176" s="1054" t="e">
        <f>'R.Anl'!#REF!</f>
        <v>#REF!</v>
      </c>
      <c r="H176" s="908" t="e">
        <f>'R.Anl'!#REF!</f>
        <v>#REF!</v>
      </c>
      <c r="I176" s="136" t="e">
        <f>E176*H176</f>
        <v>#REF!</v>
      </c>
      <c r="J176" s="886"/>
    </row>
    <row r="177" spans="1:20" s="887" customFormat="1" ht="16.5" customHeight="1" x14ac:dyDescent="0.3">
      <c r="A177" s="889"/>
      <c r="B177" s="890"/>
      <c r="C177" s="1050" t="s">
        <v>805</v>
      </c>
      <c r="D177" s="869"/>
      <c r="E177" s="1006">
        <f>V.1!T737</f>
        <v>2</v>
      </c>
      <c r="F177" s="1006" t="str">
        <f>V.1!U737</f>
        <v>Bh</v>
      </c>
      <c r="G177" s="1054" t="e">
        <f>'R.Anl'!#REF!</f>
        <v>#REF!</v>
      </c>
      <c r="H177" s="908" t="e">
        <f>'R.Anl'!#REF!</f>
        <v>#REF!</v>
      </c>
      <c r="I177" s="136" t="e">
        <f>E177*H177</f>
        <v>#REF!</v>
      </c>
      <c r="J177" s="886"/>
    </row>
    <row r="178" spans="1:20" s="887" customFormat="1" ht="16.5" customHeight="1" x14ac:dyDescent="0.3">
      <c r="A178" s="889"/>
      <c r="B178" s="890"/>
      <c r="C178" s="1050" t="s">
        <v>822</v>
      </c>
      <c r="D178" s="869"/>
      <c r="E178" s="1006">
        <f>V.1!T738</f>
        <v>10</v>
      </c>
      <c r="F178" s="1006" t="str">
        <f>V.1!U738</f>
        <v>Bh</v>
      </c>
      <c r="G178" s="1054" t="e">
        <f>'R.Anl'!#REF!</f>
        <v>#REF!</v>
      </c>
      <c r="H178" s="908" t="e">
        <f>'R.Anl'!#REF!</f>
        <v>#REF!</v>
      </c>
      <c r="I178" s="136" t="e">
        <f>E178*H178</f>
        <v>#REF!</v>
      </c>
      <c r="J178" s="886"/>
    </row>
    <row r="179" spans="1:20" s="887" customFormat="1" ht="15.95" customHeight="1" x14ac:dyDescent="0.3">
      <c r="A179" s="905"/>
      <c r="B179" s="890">
        <f>B173+1</f>
        <v>6</v>
      </c>
      <c r="C179" s="922" t="s">
        <v>806</v>
      </c>
      <c r="D179" s="869"/>
      <c r="E179" s="883"/>
      <c r="F179" s="908"/>
      <c r="G179" s="883"/>
      <c r="H179" s="908"/>
      <c r="I179" s="885"/>
      <c r="J179" s="886"/>
      <c r="T179" s="888"/>
    </row>
    <row r="180" spans="1:20" s="887" customFormat="1" ht="33" customHeight="1" x14ac:dyDescent="0.3">
      <c r="A180" s="889"/>
      <c r="B180" s="890"/>
      <c r="C180" s="3062" t="s">
        <v>816</v>
      </c>
      <c r="D180" s="3063"/>
      <c r="E180" s="1052">
        <f>V.1!T743</f>
        <v>48</v>
      </c>
      <c r="F180" s="1052" t="str">
        <f>V.1!U743</f>
        <v>Titik</v>
      </c>
      <c r="G180" s="1053" t="e">
        <f>'R.Anl'!#REF!</f>
        <v>#REF!</v>
      </c>
      <c r="H180" s="1053" t="e">
        <f>'R.Anl'!#REF!</f>
        <v>#REF!</v>
      </c>
      <c r="I180" s="136" t="e">
        <f>E180*H180</f>
        <v>#REF!</v>
      </c>
      <c r="J180" s="886"/>
      <c r="T180" s="925"/>
    </row>
    <row r="181" spans="1:20" s="887" customFormat="1" ht="16.5" customHeight="1" x14ac:dyDescent="0.3">
      <c r="A181" s="923"/>
      <c r="B181" s="913"/>
      <c r="C181" s="1051" t="s">
        <v>817</v>
      </c>
      <c r="D181" s="924"/>
      <c r="E181" s="1006">
        <f>V.1!T744</f>
        <v>8</v>
      </c>
      <c r="F181" s="1006" t="str">
        <f>V.1!U744</f>
        <v>Titik</v>
      </c>
      <c r="G181" s="908" t="e">
        <f>'R.Anl'!#REF!</f>
        <v>#REF!</v>
      </c>
      <c r="H181" s="908" t="e">
        <f>'R.Anl'!#REF!</f>
        <v>#REF!</v>
      </c>
      <c r="I181" s="747" t="e">
        <f>E181*H181</f>
        <v>#REF!</v>
      </c>
      <c r="J181" s="886"/>
      <c r="T181" s="925"/>
    </row>
    <row r="182" spans="1:20" s="887" customFormat="1" ht="16.5" customHeight="1" x14ac:dyDescent="0.3">
      <c r="A182" s="923"/>
      <c r="B182" s="913"/>
      <c r="C182" s="1051" t="s">
        <v>818</v>
      </c>
      <c r="D182" s="924"/>
      <c r="E182" s="1006">
        <f>V.1!T745</f>
        <v>4</v>
      </c>
      <c r="F182" s="1006" t="str">
        <f>V.1!U745</f>
        <v>Titik</v>
      </c>
      <c r="G182" s="908" t="e">
        <f>'R.Anl'!#REF!</f>
        <v>#REF!</v>
      </c>
      <c r="H182" s="908" t="e">
        <f>'R.Anl'!#REF!</f>
        <v>#REF!</v>
      </c>
      <c r="I182" s="747" t="e">
        <f>E182*H182</f>
        <v>#REF!</v>
      </c>
      <c r="J182" s="886"/>
      <c r="T182" s="925"/>
    </row>
    <row r="183" spans="1:20" ht="17.25" thickBot="1" x14ac:dyDescent="0.35">
      <c r="B183" s="788"/>
      <c r="C183" s="859"/>
      <c r="D183" s="790"/>
      <c r="E183" s="860"/>
      <c r="F183" s="791"/>
      <c r="G183" s="829"/>
      <c r="H183" s="793"/>
      <c r="I183" s="747"/>
      <c r="J183" s="786"/>
    </row>
    <row r="184" spans="1:20" ht="17.25" thickBot="1" x14ac:dyDescent="0.35">
      <c r="B184" s="795"/>
      <c r="C184" s="831"/>
      <c r="D184" s="832"/>
      <c r="E184" s="3064" t="s">
        <v>242</v>
      </c>
      <c r="F184" s="3064"/>
      <c r="G184" s="3064"/>
      <c r="H184" s="3065"/>
      <c r="I184" s="764" t="e">
        <f>SUM(I154:I183)</f>
        <v>#REF!</v>
      </c>
      <c r="J184" s="726"/>
    </row>
    <row r="185" spans="1:20" x14ac:dyDescent="0.3">
      <c r="B185" s="766" t="s">
        <v>5</v>
      </c>
      <c r="C185" s="767" t="s">
        <v>315</v>
      </c>
      <c r="D185" s="768"/>
      <c r="E185" s="926"/>
      <c r="F185" s="927"/>
      <c r="G185" s="927"/>
      <c r="H185" s="1075"/>
      <c r="I185" s="928"/>
      <c r="J185" s="726"/>
      <c r="L185" s="807"/>
    </row>
    <row r="186" spans="1:20" x14ac:dyDescent="0.3">
      <c r="B186" s="773" t="s">
        <v>31</v>
      </c>
      <c r="C186" s="798" t="s">
        <v>1235</v>
      </c>
      <c r="D186" s="775"/>
      <c r="E186" s="800"/>
      <c r="F186" s="801"/>
      <c r="G186" s="802"/>
      <c r="H186" s="803"/>
      <c r="I186" s="804"/>
      <c r="J186" s="786"/>
    </row>
    <row r="187" spans="1:20" x14ac:dyDescent="0.3">
      <c r="B187" s="782">
        <v>1</v>
      </c>
      <c r="C187" s="783" t="s">
        <v>731</v>
      </c>
      <c r="D187" s="784"/>
      <c r="E187" s="812"/>
      <c r="F187" s="745"/>
      <c r="G187" s="820"/>
      <c r="H187" s="746"/>
      <c r="I187" s="747"/>
      <c r="J187" s="786"/>
      <c r="N187" s="807"/>
    </row>
    <row r="188" spans="1:20" x14ac:dyDescent="0.3">
      <c r="B188" s="782"/>
      <c r="C188" s="808" t="s">
        <v>149</v>
      </c>
      <c r="D188" s="784" t="s">
        <v>1317</v>
      </c>
      <c r="E188" s="813">
        <f>'V.1 (2)'!T209</f>
        <v>46.37</v>
      </c>
      <c r="F188" s="813" t="e">
        <f>#REF!</f>
        <v>#REF!</v>
      </c>
      <c r="G188" s="820" t="e">
        <f t="shared" ref="G188:H191" si="11">G53</f>
        <v>#REF!</v>
      </c>
      <c r="H188" s="821" t="e">
        <f t="shared" si="11"/>
        <v>#REF!</v>
      </c>
      <c r="I188" s="747" t="e">
        <f>E188*H188</f>
        <v>#REF!</v>
      </c>
      <c r="J188" s="786"/>
      <c r="N188" s="807"/>
    </row>
    <row r="189" spans="1:20" x14ac:dyDescent="0.3">
      <c r="B189" s="782"/>
      <c r="C189" s="808" t="s">
        <v>149</v>
      </c>
      <c r="D189" s="784" t="s">
        <v>207</v>
      </c>
      <c r="E189" s="813">
        <f>'V.1 (2)'!T218</f>
        <v>7331.22</v>
      </c>
      <c r="F189" s="813" t="e">
        <f>#REF!</f>
        <v>#REF!</v>
      </c>
      <c r="G189" s="820" t="str">
        <f t="shared" si="11"/>
        <v>A.4.1.1.17.b</v>
      </c>
      <c r="H189" s="821">
        <f t="shared" si="11"/>
        <v>21453.25</v>
      </c>
      <c r="I189" s="747">
        <f>E189*H189</f>
        <v>157278495.465</v>
      </c>
      <c r="J189" s="786"/>
      <c r="N189" s="807"/>
    </row>
    <row r="190" spans="1:20" x14ac:dyDescent="0.3">
      <c r="B190" s="782"/>
      <c r="C190" s="808" t="s">
        <v>149</v>
      </c>
      <c r="D190" s="784" t="s">
        <v>599</v>
      </c>
      <c r="E190" s="813">
        <f>'V.1 (2)'!T224</f>
        <v>2680.05</v>
      </c>
      <c r="F190" s="813" t="e">
        <f>#REF!</f>
        <v>#REF!</v>
      </c>
      <c r="G190" s="820" t="str">
        <f t="shared" si="11"/>
        <v>A.4.1.1.17.b</v>
      </c>
      <c r="H190" s="821">
        <f t="shared" si="11"/>
        <v>21453.25</v>
      </c>
      <c r="I190" s="747">
        <f>E190*H190</f>
        <v>57495782.662500001</v>
      </c>
      <c r="J190" s="786"/>
      <c r="N190" s="807"/>
    </row>
    <row r="191" spans="1:20" x14ac:dyDescent="0.3">
      <c r="B191" s="782"/>
      <c r="C191" s="808" t="s">
        <v>149</v>
      </c>
      <c r="D191" s="784" t="s">
        <v>196</v>
      </c>
      <c r="E191" s="813">
        <f>'V.1 (2)'!T231</f>
        <v>433.02</v>
      </c>
      <c r="F191" s="813" t="e">
        <f>#REF!</f>
        <v>#REF!</v>
      </c>
      <c r="G191" s="820" t="e">
        <f t="shared" si="11"/>
        <v>#REF!</v>
      </c>
      <c r="H191" s="821" t="e">
        <f t="shared" si="11"/>
        <v>#REF!</v>
      </c>
      <c r="I191" s="747" t="e">
        <f>E191*H191</f>
        <v>#REF!</v>
      </c>
      <c r="J191" s="786"/>
      <c r="N191" s="807"/>
    </row>
    <row r="192" spans="1:20" x14ac:dyDescent="0.3">
      <c r="B192" s="782">
        <f>B187+1</f>
        <v>2</v>
      </c>
      <c r="C192" s="783" t="s">
        <v>147</v>
      </c>
      <c r="D192" s="784"/>
      <c r="E192" s="813">
        <f>'V.1 (2)'!T237</f>
        <v>28.8</v>
      </c>
      <c r="F192" s="813" t="e">
        <f>#REF!</f>
        <v>#REF!</v>
      </c>
      <c r="G192" s="820" t="e">
        <f>G57</f>
        <v>#REF!</v>
      </c>
      <c r="H192" s="746" t="e">
        <f>H57</f>
        <v>#REF!</v>
      </c>
      <c r="I192" s="747" t="e">
        <f t="shared" ref="I192:I216" si="12">H192*E192</f>
        <v>#REF!</v>
      </c>
      <c r="J192" s="786"/>
      <c r="N192" s="807"/>
    </row>
    <row r="193" spans="2:14" x14ac:dyDescent="0.3">
      <c r="B193" s="782">
        <f>B192+1</f>
        <v>3</v>
      </c>
      <c r="C193" s="783" t="s">
        <v>210</v>
      </c>
      <c r="D193" s="784"/>
      <c r="E193" s="813">
        <f>'V.1 (2)'!T245</f>
        <v>122.4</v>
      </c>
      <c r="F193" s="813" t="e">
        <f>#REF!</f>
        <v>#REF!</v>
      </c>
      <c r="G193" s="820" t="e">
        <f>G58</f>
        <v>#REF!</v>
      </c>
      <c r="H193" s="746" t="e">
        <f>H58</f>
        <v>#REF!</v>
      </c>
      <c r="I193" s="747" t="e">
        <f t="shared" si="12"/>
        <v>#REF!</v>
      </c>
      <c r="J193" s="786"/>
      <c r="N193" s="807"/>
    </row>
    <row r="194" spans="2:14" x14ac:dyDescent="0.3">
      <c r="B194" s="782">
        <f>B193+1</f>
        <v>4</v>
      </c>
      <c r="C194" s="783" t="s">
        <v>732</v>
      </c>
      <c r="D194" s="784"/>
      <c r="E194" s="813"/>
      <c r="F194" s="813"/>
      <c r="G194" s="820"/>
      <c r="H194" s="746"/>
      <c r="I194" s="747"/>
      <c r="J194" s="786"/>
      <c r="N194" s="807"/>
    </row>
    <row r="195" spans="2:14" x14ac:dyDescent="0.3">
      <c r="B195" s="782"/>
      <c r="C195" s="808" t="s">
        <v>149</v>
      </c>
      <c r="D195" s="784" t="s">
        <v>1317</v>
      </c>
      <c r="E195" s="813">
        <f>'V.1 (2)'!T257</f>
        <v>1.31</v>
      </c>
      <c r="F195" s="813" t="e">
        <f>#REF!</f>
        <v>#REF!</v>
      </c>
      <c r="G195" s="820" t="e">
        <f t="shared" ref="G195:H198" si="13">G60</f>
        <v>#REF!</v>
      </c>
      <c r="H195" s="746" t="e">
        <f t="shared" si="13"/>
        <v>#REF!</v>
      </c>
      <c r="I195" s="747" t="e">
        <f t="shared" si="12"/>
        <v>#REF!</v>
      </c>
      <c r="J195" s="786"/>
      <c r="N195" s="807"/>
    </row>
    <row r="196" spans="2:14" x14ac:dyDescent="0.3">
      <c r="B196" s="782"/>
      <c r="C196" s="808" t="s">
        <v>149</v>
      </c>
      <c r="D196" s="784" t="s">
        <v>207</v>
      </c>
      <c r="E196" s="813">
        <f>'V.1 (2)'!T267</f>
        <v>361.24</v>
      </c>
      <c r="F196" s="813" t="e">
        <f>#REF!</f>
        <v>#REF!</v>
      </c>
      <c r="G196" s="820" t="str">
        <f t="shared" si="13"/>
        <v>A.4.1.1.17.b</v>
      </c>
      <c r="H196" s="746">
        <f t="shared" si="13"/>
        <v>21453.25</v>
      </c>
      <c r="I196" s="747">
        <f t="shared" si="12"/>
        <v>7749772.0300000003</v>
      </c>
      <c r="J196" s="786"/>
      <c r="N196" s="807"/>
    </row>
    <row r="197" spans="2:14" x14ac:dyDescent="0.3">
      <c r="B197" s="782"/>
      <c r="C197" s="808" t="s">
        <v>149</v>
      </c>
      <c r="D197" s="784" t="s">
        <v>599</v>
      </c>
      <c r="E197" s="813">
        <f>'V.1 (2)'!T275</f>
        <v>27.23</v>
      </c>
      <c r="F197" s="813" t="e">
        <f>#REF!</f>
        <v>#REF!</v>
      </c>
      <c r="G197" s="820" t="str">
        <f t="shared" si="13"/>
        <v>A.4.1.1.17.b</v>
      </c>
      <c r="H197" s="746">
        <f t="shared" si="13"/>
        <v>21453.25</v>
      </c>
      <c r="I197" s="747">
        <f t="shared" si="12"/>
        <v>584171.99750000006</v>
      </c>
      <c r="J197" s="786"/>
      <c r="N197" s="807"/>
    </row>
    <row r="198" spans="2:14" x14ac:dyDescent="0.3">
      <c r="B198" s="782"/>
      <c r="C198" s="808" t="s">
        <v>149</v>
      </c>
      <c r="D198" s="784" t="s">
        <v>174</v>
      </c>
      <c r="E198" s="813">
        <f>'V.1 (2)'!T282</f>
        <v>14.54</v>
      </c>
      <c r="F198" s="813" t="e">
        <f>#REF!</f>
        <v>#REF!</v>
      </c>
      <c r="G198" s="820" t="e">
        <f t="shared" si="13"/>
        <v>#REF!</v>
      </c>
      <c r="H198" s="746" t="e">
        <f t="shared" si="13"/>
        <v>#REF!</v>
      </c>
      <c r="I198" s="747" t="e">
        <f t="shared" si="12"/>
        <v>#REF!</v>
      </c>
      <c r="J198" s="786"/>
      <c r="N198" s="807"/>
    </row>
    <row r="199" spans="2:14" s="753" customFormat="1" x14ac:dyDescent="0.3">
      <c r="B199" s="782">
        <f>B194+1</f>
        <v>5</v>
      </c>
      <c r="C199" s="783" t="s">
        <v>1325</v>
      </c>
      <c r="D199" s="784"/>
      <c r="E199" s="929"/>
      <c r="F199" s="863"/>
      <c r="G199" s="820"/>
      <c r="H199" s="746"/>
      <c r="I199" s="747"/>
      <c r="J199" s="823"/>
      <c r="M199" s="754"/>
      <c r="N199" s="772"/>
    </row>
    <row r="200" spans="2:14" s="753" customFormat="1" x14ac:dyDescent="0.3">
      <c r="B200" s="847"/>
      <c r="C200" s="808" t="s">
        <v>149</v>
      </c>
      <c r="D200" s="784" t="s">
        <v>1317</v>
      </c>
      <c r="E200" s="813">
        <f>'V.1 (2)'!T289</f>
        <v>17.96</v>
      </c>
      <c r="F200" s="813" t="e">
        <f>#REF!</f>
        <v>#REF!</v>
      </c>
      <c r="G200" s="820" t="e">
        <f>G195</f>
        <v>#REF!</v>
      </c>
      <c r="H200" s="821" t="e">
        <f>H195</f>
        <v>#REF!</v>
      </c>
      <c r="I200" s="747" t="e">
        <f t="shared" si="12"/>
        <v>#REF!</v>
      </c>
      <c r="J200" s="823"/>
      <c r="M200" s="754"/>
      <c r="N200" s="772"/>
    </row>
    <row r="201" spans="2:14" s="753" customFormat="1" x14ac:dyDescent="0.3">
      <c r="B201" s="847"/>
      <c r="C201" s="808" t="s">
        <v>149</v>
      </c>
      <c r="D201" s="784" t="s">
        <v>207</v>
      </c>
      <c r="E201" s="813">
        <f>'V.1 (2)'!T305</f>
        <v>5848.38</v>
      </c>
      <c r="F201" s="813" t="e">
        <f>#REF!</f>
        <v>#REF!</v>
      </c>
      <c r="G201" s="820" t="str">
        <f t="shared" ref="G201:H203" si="14">G196</f>
        <v>A.4.1.1.17.b</v>
      </c>
      <c r="H201" s="821">
        <f t="shared" si="14"/>
        <v>21453.25</v>
      </c>
      <c r="I201" s="747">
        <f t="shared" si="12"/>
        <v>125466758.235</v>
      </c>
      <c r="J201" s="823"/>
      <c r="M201" s="754"/>
      <c r="N201" s="772"/>
    </row>
    <row r="202" spans="2:14" s="753" customFormat="1" x14ac:dyDescent="0.3">
      <c r="B202" s="847"/>
      <c r="C202" s="808" t="s">
        <v>149</v>
      </c>
      <c r="D202" s="784" t="s">
        <v>599</v>
      </c>
      <c r="E202" s="813">
        <f>'V.1 (2)'!T330</f>
        <v>2083.65</v>
      </c>
      <c r="F202" s="813" t="e">
        <f>#REF!</f>
        <v>#REF!</v>
      </c>
      <c r="G202" s="820" t="str">
        <f>'R.Anl'!B31</f>
        <v>A.4.1.1.17.</v>
      </c>
      <c r="H202" s="821">
        <f>'R.Anl'!D31</f>
        <v>20849.5</v>
      </c>
      <c r="I202" s="747">
        <f t="shared" si="12"/>
        <v>43443060.675000004</v>
      </c>
      <c r="J202" s="823"/>
      <c r="M202" s="754"/>
      <c r="N202" s="772"/>
    </row>
    <row r="203" spans="2:14" s="753" customFormat="1" x14ac:dyDescent="0.3">
      <c r="B203" s="847"/>
      <c r="C203" s="808" t="s">
        <v>149</v>
      </c>
      <c r="D203" s="784" t="s">
        <v>174</v>
      </c>
      <c r="E203" s="813">
        <f>'V.1 (2)'!T338</f>
        <v>257.48</v>
      </c>
      <c r="F203" s="813" t="e">
        <f>#REF!</f>
        <v>#REF!</v>
      </c>
      <c r="G203" s="820" t="e">
        <f t="shared" si="14"/>
        <v>#REF!</v>
      </c>
      <c r="H203" s="821" t="e">
        <f t="shared" si="14"/>
        <v>#REF!</v>
      </c>
      <c r="I203" s="747" t="e">
        <f t="shared" si="12"/>
        <v>#REF!</v>
      </c>
      <c r="J203" s="823"/>
      <c r="M203" s="754"/>
      <c r="N203" s="772"/>
    </row>
    <row r="204" spans="2:14" s="753" customFormat="1" x14ac:dyDescent="0.3">
      <c r="B204" s="782">
        <f>B199+1</f>
        <v>6</v>
      </c>
      <c r="C204" s="783" t="s">
        <v>1326</v>
      </c>
      <c r="D204" s="784"/>
      <c r="E204" s="929"/>
      <c r="F204" s="863"/>
      <c r="G204" s="820"/>
      <c r="H204" s="746"/>
      <c r="I204" s="747"/>
      <c r="J204" s="823"/>
      <c r="M204" s="754"/>
      <c r="N204" s="772"/>
    </row>
    <row r="205" spans="2:14" s="753" customFormat="1" x14ac:dyDescent="0.3">
      <c r="B205" s="847"/>
      <c r="C205" s="808" t="s">
        <v>149</v>
      </c>
      <c r="D205" s="784" t="s">
        <v>1317</v>
      </c>
      <c r="E205" s="813">
        <f>'V.1 (2)'!T347</f>
        <v>4.08</v>
      </c>
      <c r="F205" s="813" t="e">
        <f>#REF!</f>
        <v>#REF!</v>
      </c>
      <c r="G205" s="820" t="e">
        <f>G200</f>
        <v>#REF!</v>
      </c>
      <c r="H205" s="821" t="e">
        <f>H200</f>
        <v>#REF!</v>
      </c>
      <c r="I205" s="747" t="e">
        <f>H205*E205</f>
        <v>#REF!</v>
      </c>
      <c r="J205" s="823"/>
      <c r="M205" s="754"/>
      <c r="N205" s="772"/>
    </row>
    <row r="206" spans="2:14" s="753" customFormat="1" x14ac:dyDescent="0.3">
      <c r="B206" s="847"/>
      <c r="C206" s="808" t="s">
        <v>149</v>
      </c>
      <c r="D206" s="784" t="s">
        <v>207</v>
      </c>
      <c r="E206" s="813">
        <f>'V.1 (2)'!T360</f>
        <v>918.95</v>
      </c>
      <c r="F206" s="813" t="e">
        <f>#REF!</f>
        <v>#REF!</v>
      </c>
      <c r="G206" s="820" t="str">
        <f>G201</f>
        <v>A.4.1.1.17.b</v>
      </c>
      <c r="H206" s="821">
        <f>H201</f>
        <v>21453.25</v>
      </c>
      <c r="I206" s="747">
        <f>H206*E206</f>
        <v>19714464.087500002</v>
      </c>
      <c r="J206" s="823"/>
      <c r="M206" s="754"/>
      <c r="N206" s="772"/>
    </row>
    <row r="207" spans="2:14" s="753" customFormat="1" x14ac:dyDescent="0.3">
      <c r="B207" s="847"/>
      <c r="C207" s="808" t="s">
        <v>149</v>
      </c>
      <c r="D207" s="784" t="s">
        <v>599</v>
      </c>
      <c r="E207" s="813">
        <f>'V.1 (2)'!T373</f>
        <v>740.34</v>
      </c>
      <c r="F207" s="813" t="e">
        <f>#REF!</f>
        <v>#REF!</v>
      </c>
      <c r="G207" s="820" t="str">
        <f>G206</f>
        <v>A.4.1.1.17.b</v>
      </c>
      <c r="H207" s="821">
        <f>H206</f>
        <v>21453.25</v>
      </c>
      <c r="I207" s="747">
        <f>H207*E207</f>
        <v>15882699.105</v>
      </c>
      <c r="J207" s="823"/>
      <c r="M207" s="754"/>
      <c r="N207" s="772"/>
    </row>
    <row r="208" spans="2:14" s="753" customFormat="1" x14ac:dyDescent="0.3">
      <c r="B208" s="847"/>
      <c r="C208" s="808" t="s">
        <v>149</v>
      </c>
      <c r="D208" s="784" t="s">
        <v>174</v>
      </c>
      <c r="E208" s="813">
        <f>'V.1 (2)'!T381</f>
        <v>81.19</v>
      </c>
      <c r="F208" s="813" t="e">
        <f>#REF!</f>
        <v>#REF!</v>
      </c>
      <c r="G208" s="820" t="e">
        <f>G203</f>
        <v>#REF!</v>
      </c>
      <c r="H208" s="821" t="e">
        <f>H203</f>
        <v>#REF!</v>
      </c>
      <c r="I208" s="747" t="e">
        <f>H208*E208</f>
        <v>#REF!</v>
      </c>
      <c r="J208" s="823"/>
      <c r="M208" s="754"/>
      <c r="N208" s="772"/>
    </row>
    <row r="209" spans="2:20" x14ac:dyDescent="0.3">
      <c r="B209" s="782">
        <f>B204+1</f>
        <v>7</v>
      </c>
      <c r="C209" s="783" t="s">
        <v>715</v>
      </c>
      <c r="D209" s="784"/>
      <c r="E209" s="812"/>
      <c r="F209" s="812"/>
      <c r="G209" s="820"/>
      <c r="H209" s="746"/>
      <c r="I209" s="747"/>
      <c r="J209" s="786"/>
      <c r="N209" s="807"/>
      <c r="T209" s="807"/>
    </row>
    <row r="210" spans="2:20" x14ac:dyDescent="0.3">
      <c r="B210" s="782"/>
      <c r="C210" s="808" t="s">
        <v>149</v>
      </c>
      <c r="D210" s="784" t="s">
        <v>1317</v>
      </c>
      <c r="E210" s="813">
        <f>'V.1 (2)'!T390</f>
        <v>22.26</v>
      </c>
      <c r="F210" s="813" t="e">
        <f>#REF!</f>
        <v>#REF!</v>
      </c>
      <c r="G210" s="820" t="e">
        <f>G200</f>
        <v>#REF!</v>
      </c>
      <c r="H210" s="821" t="e">
        <f>H200</f>
        <v>#REF!</v>
      </c>
      <c r="I210" s="747" t="e">
        <f t="shared" si="12"/>
        <v>#REF!</v>
      </c>
      <c r="J210" s="786"/>
      <c r="N210" s="807"/>
    </row>
    <row r="211" spans="2:20" x14ac:dyDescent="0.3">
      <c r="B211" s="782"/>
      <c r="C211" s="808" t="s">
        <v>149</v>
      </c>
      <c r="D211" s="824" t="s">
        <v>207</v>
      </c>
      <c r="E211" s="813">
        <f>'V.1 (2)'!T401</f>
        <v>3461.82</v>
      </c>
      <c r="F211" s="813" t="e">
        <f>#REF!</f>
        <v>#REF!</v>
      </c>
      <c r="G211" s="820" t="str">
        <f>G201</f>
        <v>A.4.1.1.17.b</v>
      </c>
      <c r="H211" s="821">
        <f>H201</f>
        <v>21453.25</v>
      </c>
      <c r="I211" s="747">
        <f t="shared" si="12"/>
        <v>74267289.915000007</v>
      </c>
      <c r="J211" s="786"/>
      <c r="N211" s="807"/>
    </row>
    <row r="212" spans="2:20" x14ac:dyDescent="0.3">
      <c r="B212" s="782"/>
      <c r="C212" s="808" t="s">
        <v>149</v>
      </c>
      <c r="D212" s="824" t="s">
        <v>306</v>
      </c>
      <c r="E212" s="813">
        <f>'V.1 (2)'!T413</f>
        <v>151.36000000000001</v>
      </c>
      <c r="F212" s="813" t="e">
        <f>#REF!</f>
        <v>#REF!</v>
      </c>
      <c r="G212" s="820" t="e">
        <f>G77</f>
        <v>#REF!</v>
      </c>
      <c r="H212" s="821" t="e">
        <f>H77</f>
        <v>#REF!</v>
      </c>
      <c r="I212" s="747" t="e">
        <f t="shared" si="12"/>
        <v>#REF!</v>
      </c>
      <c r="J212" s="786"/>
      <c r="N212" s="807"/>
    </row>
    <row r="213" spans="2:20" x14ac:dyDescent="0.3">
      <c r="B213" s="825">
        <f>B209+1</f>
        <v>8</v>
      </c>
      <c r="C213" s="783" t="s">
        <v>148</v>
      </c>
      <c r="D213" s="784"/>
      <c r="E213" s="813"/>
      <c r="F213" s="745"/>
      <c r="G213" s="820"/>
      <c r="H213" s="746"/>
      <c r="I213" s="747"/>
      <c r="J213" s="786"/>
      <c r="N213" s="807"/>
    </row>
    <row r="214" spans="2:20" x14ac:dyDescent="0.3">
      <c r="B214" s="825"/>
      <c r="C214" s="808" t="s">
        <v>149</v>
      </c>
      <c r="D214" s="784" t="s">
        <v>1317</v>
      </c>
      <c r="E214" s="813">
        <f>'V.1 (2)'!T423</f>
        <v>69.69</v>
      </c>
      <c r="F214" s="813" t="e">
        <f>#REF!</f>
        <v>#REF!</v>
      </c>
      <c r="G214" s="820" t="e">
        <f>G79</f>
        <v>#REF!</v>
      </c>
      <c r="H214" s="746" t="e">
        <f>H79</f>
        <v>#REF!</v>
      </c>
      <c r="I214" s="747" t="e">
        <f t="shared" si="12"/>
        <v>#REF!</v>
      </c>
      <c r="J214" s="786"/>
      <c r="N214" s="807"/>
    </row>
    <row r="215" spans="2:20" x14ac:dyDescent="0.3">
      <c r="B215" s="825"/>
      <c r="C215" s="808" t="s">
        <v>149</v>
      </c>
      <c r="D215" s="784" t="s">
        <v>208</v>
      </c>
      <c r="E215" s="813">
        <f>'V.1 (2)'!T433*2</f>
        <v>11783.06</v>
      </c>
      <c r="F215" s="813" t="e">
        <f>#REF!</f>
        <v>#REF!</v>
      </c>
      <c r="G215" s="820" t="str">
        <f>G80</f>
        <v>A.4.1.1.17.</v>
      </c>
      <c r="H215" s="746">
        <f>H80</f>
        <v>20849.5</v>
      </c>
      <c r="I215" s="747">
        <f t="shared" si="12"/>
        <v>245670909.47</v>
      </c>
      <c r="J215" s="786"/>
      <c r="N215" s="807"/>
    </row>
    <row r="216" spans="2:20" x14ac:dyDescent="0.3">
      <c r="B216" s="825"/>
      <c r="C216" s="808" t="s">
        <v>149</v>
      </c>
      <c r="D216" s="784" t="s">
        <v>197</v>
      </c>
      <c r="E216" s="813" t="e">
        <f>#REF!</f>
        <v>#REF!</v>
      </c>
      <c r="F216" s="813" t="e">
        <f>#REF!</f>
        <v>#REF!</v>
      </c>
      <c r="G216" s="820" t="str">
        <f>'R.Anl'!B37</f>
        <v>A.4.1.1.24A</v>
      </c>
      <c r="H216" s="746">
        <f>'R.Anl'!D37</f>
        <v>428264.31</v>
      </c>
      <c r="I216" s="747" t="e">
        <f t="shared" si="12"/>
        <v>#REF!</v>
      </c>
      <c r="J216" s="786"/>
      <c r="N216" s="807"/>
    </row>
    <row r="217" spans="2:20" ht="17.25" thickBot="1" x14ac:dyDescent="0.35">
      <c r="B217" s="826"/>
      <c r="C217" s="827"/>
      <c r="D217" s="828"/>
      <c r="E217" s="791"/>
      <c r="F217" s="791"/>
      <c r="G217" s="829"/>
      <c r="H217" s="793"/>
      <c r="I217" s="830"/>
      <c r="J217" s="786"/>
      <c r="N217" s="807"/>
    </row>
    <row r="218" spans="2:20" ht="17.25" thickBot="1" x14ac:dyDescent="0.35">
      <c r="B218" s="795"/>
      <c r="C218" s="831"/>
      <c r="D218" s="832"/>
      <c r="E218" s="3064" t="s">
        <v>221</v>
      </c>
      <c r="F218" s="3064"/>
      <c r="G218" s="3064"/>
      <c r="H218" s="3065"/>
      <c r="I218" s="764" t="e">
        <f>SUM(I185:I217)</f>
        <v>#REF!</v>
      </c>
      <c r="J218" s="726"/>
    </row>
    <row r="219" spans="2:20" x14ac:dyDescent="0.3">
      <c r="B219" s="854" t="s">
        <v>139</v>
      </c>
      <c r="C219" s="855" t="s">
        <v>212</v>
      </c>
      <c r="D219" s="856"/>
      <c r="E219" s="930"/>
      <c r="F219" s="738"/>
      <c r="G219" s="1078"/>
      <c r="H219" s="739"/>
      <c r="I219" s="740"/>
      <c r="J219" s="786"/>
    </row>
    <row r="220" spans="2:20" x14ac:dyDescent="0.3">
      <c r="B220" s="782">
        <v>1</v>
      </c>
      <c r="C220" s="783" t="s">
        <v>213</v>
      </c>
      <c r="D220" s="784"/>
      <c r="E220" s="813">
        <f>'V.1 (2)'!T453</f>
        <v>776.56</v>
      </c>
      <c r="F220" s="813" t="str">
        <f>V.1!U439</f>
        <v>M2</v>
      </c>
      <c r="G220" s="802" t="e">
        <f>G84</f>
        <v>#REF!</v>
      </c>
      <c r="H220" s="802" t="e">
        <f>H84</f>
        <v>#REF!</v>
      </c>
      <c r="I220" s="747" t="e">
        <f>H220*E220</f>
        <v>#REF!</v>
      </c>
      <c r="J220" s="931"/>
    </row>
    <row r="221" spans="2:20" x14ac:dyDescent="0.3">
      <c r="B221" s="782">
        <f>B220+1</f>
        <v>2</v>
      </c>
      <c r="C221" s="783" t="s">
        <v>214</v>
      </c>
      <c r="D221" s="784"/>
      <c r="E221" s="813">
        <f>'V.1 (2)'!T481</f>
        <v>1553.12</v>
      </c>
      <c r="F221" s="813" t="e">
        <f>#REF!</f>
        <v>#REF!</v>
      </c>
      <c r="G221" s="802" t="e">
        <f t="shared" ref="G221:H224" si="15">G85</f>
        <v>#REF!</v>
      </c>
      <c r="H221" s="802" t="e">
        <f t="shared" si="15"/>
        <v>#REF!</v>
      </c>
      <c r="I221" s="747" t="e">
        <f>H221*E221</f>
        <v>#REF!</v>
      </c>
      <c r="J221" s="786"/>
    </row>
    <row r="222" spans="2:20" x14ac:dyDescent="0.3">
      <c r="B222" s="782">
        <f>B221+1</f>
        <v>3</v>
      </c>
      <c r="C222" s="833" t="s">
        <v>195</v>
      </c>
      <c r="D222" s="834"/>
      <c r="E222" s="835">
        <f>'V.1 (2)'!T487</f>
        <v>546.52</v>
      </c>
      <c r="F222" s="835" t="e">
        <f>#REF!</f>
        <v>#REF!</v>
      </c>
      <c r="G222" s="802" t="e">
        <f t="shared" si="15"/>
        <v>#REF!</v>
      </c>
      <c r="H222" s="802" t="e">
        <f t="shared" si="15"/>
        <v>#REF!</v>
      </c>
      <c r="I222" s="747" t="e">
        <f>H222*E222</f>
        <v>#REF!</v>
      </c>
      <c r="J222" s="786"/>
    </row>
    <row r="223" spans="2:20" x14ac:dyDescent="0.3">
      <c r="B223" s="782">
        <f>B222+1</f>
        <v>4</v>
      </c>
      <c r="C223" s="833" t="s">
        <v>738</v>
      </c>
      <c r="D223" s="834"/>
      <c r="E223" s="835">
        <f>'V.1 (2)'!T496</f>
        <v>228</v>
      </c>
      <c r="F223" s="835" t="e">
        <f>#REF!</f>
        <v>#REF!</v>
      </c>
      <c r="G223" s="802" t="e">
        <f t="shared" si="15"/>
        <v>#REF!</v>
      </c>
      <c r="H223" s="802" t="e">
        <f t="shared" si="15"/>
        <v>#REF!</v>
      </c>
      <c r="I223" s="747" t="e">
        <f>H223*E223</f>
        <v>#REF!</v>
      </c>
      <c r="J223" s="786"/>
    </row>
    <row r="224" spans="2:20" x14ac:dyDescent="0.3">
      <c r="B224" s="782">
        <f>B223+1</f>
        <v>5</v>
      </c>
      <c r="C224" s="783" t="s">
        <v>704</v>
      </c>
      <c r="D224" s="784"/>
      <c r="E224" s="785">
        <f>'V.1 (2)'!T503</f>
        <v>8.4</v>
      </c>
      <c r="F224" s="785" t="e">
        <f>#REF!</f>
        <v>#REF!</v>
      </c>
      <c r="G224" s="802" t="e">
        <f t="shared" si="15"/>
        <v>#REF!</v>
      </c>
      <c r="H224" s="802" t="e">
        <f t="shared" si="15"/>
        <v>#REF!</v>
      </c>
      <c r="I224" s="747" t="e">
        <f>H224*E224</f>
        <v>#REF!</v>
      </c>
      <c r="J224" s="786"/>
    </row>
    <row r="225" spans="2:13" ht="17.25" thickBot="1" x14ac:dyDescent="0.35">
      <c r="B225" s="788"/>
      <c r="C225" s="859"/>
      <c r="D225" s="790"/>
      <c r="E225" s="932"/>
      <c r="F225" s="932"/>
      <c r="G225" s="829"/>
      <c r="H225" s="793"/>
      <c r="I225" s="794"/>
      <c r="J225" s="786"/>
    </row>
    <row r="226" spans="2:13" ht="17.25" thickBot="1" x14ac:dyDescent="0.35">
      <c r="B226" s="795"/>
      <c r="C226" s="796"/>
      <c r="D226" s="797"/>
      <c r="E226" s="3064" t="s">
        <v>222</v>
      </c>
      <c r="F226" s="3064"/>
      <c r="G226" s="3064"/>
      <c r="H226" s="3065"/>
      <c r="I226" s="764" t="e">
        <f>SUM(I219:I225)</f>
        <v>#REF!</v>
      </c>
      <c r="J226" s="726"/>
    </row>
    <row r="227" spans="2:13" x14ac:dyDescent="0.3">
      <c r="B227" s="933" t="s">
        <v>140</v>
      </c>
      <c r="C227" s="774" t="s">
        <v>216</v>
      </c>
      <c r="D227" s="775"/>
      <c r="E227" s="800"/>
      <c r="F227" s="934"/>
      <c r="G227" s="1082"/>
      <c r="H227" s="803"/>
      <c r="I227" s="804"/>
      <c r="J227" s="786"/>
    </row>
    <row r="228" spans="2:13" x14ac:dyDescent="0.3">
      <c r="B228" s="935">
        <v>1</v>
      </c>
      <c r="C228" s="783" t="s">
        <v>585</v>
      </c>
      <c r="D228" s="936"/>
      <c r="E228" s="785"/>
      <c r="F228" s="937"/>
      <c r="G228" s="1045"/>
      <c r="H228" s="1046"/>
      <c r="I228" s="747"/>
      <c r="J228" s="786"/>
    </row>
    <row r="229" spans="2:13" x14ac:dyDescent="0.3">
      <c r="B229" s="782"/>
      <c r="C229" s="783"/>
      <c r="D229" s="849" t="s">
        <v>761</v>
      </c>
      <c r="E229" s="785">
        <f>E100</f>
        <v>0.2</v>
      </c>
      <c r="F229" s="785" t="e">
        <f>#REF!</f>
        <v>#REF!</v>
      </c>
      <c r="G229" s="820" t="e">
        <f t="shared" ref="G229:H232" si="16">G100</f>
        <v>#REF!</v>
      </c>
      <c r="H229" s="746" t="e">
        <f t="shared" si="16"/>
        <v>#REF!</v>
      </c>
      <c r="I229" s="747" t="e">
        <f t="shared" ref="I229:I236" si="17">H229*E229</f>
        <v>#REF!</v>
      </c>
      <c r="J229" s="786"/>
    </row>
    <row r="230" spans="2:13" x14ac:dyDescent="0.3">
      <c r="B230" s="782"/>
      <c r="C230" s="783"/>
      <c r="D230" s="849" t="s">
        <v>850</v>
      </c>
      <c r="E230" s="785">
        <f t="shared" ref="E230:E236" si="18">E101</f>
        <v>25.2</v>
      </c>
      <c r="F230" s="785" t="e">
        <f>#REF!</f>
        <v>#REF!</v>
      </c>
      <c r="G230" s="820" t="e">
        <f t="shared" si="16"/>
        <v>#REF!</v>
      </c>
      <c r="H230" s="746" t="e">
        <f t="shared" si="16"/>
        <v>#REF!</v>
      </c>
      <c r="I230" s="747" t="e">
        <f t="shared" si="17"/>
        <v>#REF!</v>
      </c>
      <c r="J230" s="786"/>
    </row>
    <row r="231" spans="2:13" x14ac:dyDescent="0.3">
      <c r="B231" s="782"/>
      <c r="C231" s="783"/>
      <c r="D231" s="849" t="s">
        <v>754</v>
      </c>
      <c r="E231" s="785">
        <f t="shared" si="18"/>
        <v>48</v>
      </c>
      <c r="F231" s="785" t="e">
        <f>#REF!</f>
        <v>#REF!</v>
      </c>
      <c r="G231" s="820" t="e">
        <f t="shared" si="16"/>
        <v>#REF!</v>
      </c>
      <c r="H231" s="746" t="e">
        <f t="shared" si="16"/>
        <v>#REF!</v>
      </c>
      <c r="I231" s="747" t="e">
        <f t="shared" si="17"/>
        <v>#REF!</v>
      </c>
      <c r="J231" s="786"/>
    </row>
    <row r="232" spans="2:13" x14ac:dyDescent="0.3">
      <c r="B232" s="782"/>
      <c r="C232" s="783"/>
      <c r="D232" s="849" t="s">
        <v>851</v>
      </c>
      <c r="E232" s="785">
        <f t="shared" si="18"/>
        <v>8</v>
      </c>
      <c r="F232" s="785" t="e">
        <f>#REF!</f>
        <v>#REF!</v>
      </c>
      <c r="G232" s="820" t="e">
        <f t="shared" si="16"/>
        <v>#REF!</v>
      </c>
      <c r="H232" s="746" t="e">
        <f t="shared" si="16"/>
        <v>#REF!</v>
      </c>
      <c r="I232" s="747" t="e">
        <f t="shared" si="17"/>
        <v>#REF!</v>
      </c>
      <c r="J232" s="786"/>
    </row>
    <row r="233" spans="2:13" x14ac:dyDescent="0.3">
      <c r="B233" s="782"/>
      <c r="C233" s="783"/>
      <c r="D233" s="849" t="s">
        <v>755</v>
      </c>
      <c r="E233" s="785">
        <f t="shared" si="18"/>
        <v>8</v>
      </c>
      <c r="F233" s="785" t="e">
        <f>#REF!</f>
        <v>#REF!</v>
      </c>
      <c r="G233" s="820" t="e">
        <f t="shared" ref="G233:H236" si="19">G104</f>
        <v>#REF!</v>
      </c>
      <c r="H233" s="746" t="e">
        <f t="shared" si="19"/>
        <v>#REF!</v>
      </c>
      <c r="I233" s="747" t="e">
        <f t="shared" si="17"/>
        <v>#REF!</v>
      </c>
      <c r="J233" s="786"/>
    </row>
    <row r="234" spans="2:13" s="753" customFormat="1" x14ac:dyDescent="0.3">
      <c r="B234" s="847"/>
      <c r="C234" s="848"/>
      <c r="D234" s="849" t="s">
        <v>853</v>
      </c>
      <c r="E234" s="785">
        <f t="shared" si="18"/>
        <v>8</v>
      </c>
      <c r="F234" s="785" t="e">
        <f>#REF!</f>
        <v>#REF!</v>
      </c>
      <c r="G234" s="820" t="e">
        <f t="shared" si="19"/>
        <v>#REF!</v>
      </c>
      <c r="H234" s="746" t="e">
        <f t="shared" si="19"/>
        <v>#REF!</v>
      </c>
      <c r="I234" s="747" t="e">
        <f t="shared" si="17"/>
        <v>#REF!</v>
      </c>
      <c r="J234" s="823"/>
      <c r="M234" s="754"/>
    </row>
    <row r="235" spans="2:13" x14ac:dyDescent="0.3">
      <c r="B235" s="935">
        <f>B228+1</f>
        <v>2</v>
      </c>
      <c r="C235" s="783" t="s">
        <v>766</v>
      </c>
      <c r="D235" s="936"/>
      <c r="E235" s="785">
        <f t="shared" si="18"/>
        <v>114.4</v>
      </c>
      <c r="F235" s="785" t="s">
        <v>2</v>
      </c>
      <c r="G235" s="1045" t="str">
        <f t="shared" si="19"/>
        <v>Uph-Bhn</v>
      </c>
      <c r="H235" s="1046">
        <f t="shared" si="19"/>
        <v>1750000</v>
      </c>
      <c r="I235" s="747">
        <f t="shared" si="17"/>
        <v>200200000</v>
      </c>
      <c r="J235" s="786"/>
    </row>
    <row r="236" spans="2:13" x14ac:dyDescent="0.3">
      <c r="B236" s="935">
        <f>B235+1</f>
        <v>3</v>
      </c>
      <c r="C236" s="783" t="s">
        <v>767</v>
      </c>
      <c r="D236" s="936"/>
      <c r="E236" s="785">
        <f t="shared" si="18"/>
        <v>6.24</v>
      </c>
      <c r="F236" s="785" t="s">
        <v>2</v>
      </c>
      <c r="G236" s="1045" t="str">
        <f t="shared" si="19"/>
        <v>Uph-Bhn</v>
      </c>
      <c r="H236" s="1046">
        <f t="shared" si="19"/>
        <v>1750000</v>
      </c>
      <c r="I236" s="747">
        <f t="shared" si="17"/>
        <v>10920000</v>
      </c>
      <c r="J236" s="786"/>
    </row>
    <row r="237" spans="2:13" s="753" customFormat="1" ht="17.25" thickBot="1" x14ac:dyDescent="0.35">
      <c r="B237" s="847"/>
      <c r="C237" s="938"/>
      <c r="D237" s="939"/>
      <c r="E237" s="863"/>
      <c r="F237" s="863"/>
      <c r="G237" s="820"/>
      <c r="H237" s="746"/>
      <c r="I237" s="845"/>
      <c r="J237" s="823"/>
      <c r="M237" s="754"/>
    </row>
    <row r="238" spans="2:13" ht="17.25" thickBot="1" x14ac:dyDescent="0.35">
      <c r="B238" s="940"/>
      <c r="C238" s="796"/>
      <c r="D238" s="797"/>
      <c r="E238" s="3064" t="s">
        <v>223</v>
      </c>
      <c r="F238" s="3064"/>
      <c r="G238" s="3064"/>
      <c r="H238" s="3065"/>
      <c r="I238" s="764" t="e">
        <f>SUM(I227:I237)</f>
        <v>#REF!</v>
      </c>
      <c r="J238" s="726"/>
    </row>
    <row r="239" spans="2:13" x14ac:dyDescent="0.3">
      <c r="B239" s="773" t="s">
        <v>141</v>
      </c>
      <c r="C239" s="774" t="s">
        <v>218</v>
      </c>
      <c r="D239" s="775"/>
      <c r="E239" s="800"/>
      <c r="F239" s="801"/>
      <c r="G239" s="802"/>
      <c r="H239" s="803"/>
      <c r="I239" s="804"/>
      <c r="J239" s="786"/>
    </row>
    <row r="240" spans="2:13" x14ac:dyDescent="0.3">
      <c r="B240" s="780">
        <v>1</v>
      </c>
      <c r="C240" s="783" t="s">
        <v>1334</v>
      </c>
      <c r="D240" s="784"/>
      <c r="E240" s="813" t="e">
        <f>#REF!</f>
        <v>#REF!</v>
      </c>
      <c r="F240" s="813" t="e">
        <f>#REF!</f>
        <v>#REF!</v>
      </c>
      <c r="G240" s="820" t="e">
        <f>G111</f>
        <v>#REF!</v>
      </c>
      <c r="H240" s="746" t="e">
        <f>H111</f>
        <v>#REF!</v>
      </c>
      <c r="I240" s="747" t="e">
        <f>E240*H240</f>
        <v>#REF!</v>
      </c>
      <c r="J240" s="786"/>
    </row>
    <row r="241" spans="2:10" x14ac:dyDescent="0.3">
      <c r="B241" s="780">
        <f>B240+1</f>
        <v>2</v>
      </c>
      <c r="C241" s="783" t="s">
        <v>740</v>
      </c>
      <c r="D241" s="834"/>
      <c r="E241" s="835" t="e">
        <f>#REF!</f>
        <v>#REF!</v>
      </c>
      <c r="F241" s="835" t="e">
        <f>#REF!</f>
        <v>#REF!</v>
      </c>
      <c r="G241" s="820" t="e">
        <f>G113</f>
        <v>#REF!</v>
      </c>
      <c r="H241" s="746" t="e">
        <f>H113</f>
        <v>#REF!</v>
      </c>
      <c r="I241" s="747" t="e">
        <f>E241*H241</f>
        <v>#REF!</v>
      </c>
      <c r="J241" s="786"/>
    </row>
    <row r="242" spans="2:10" x14ac:dyDescent="0.3">
      <c r="B242" s="780">
        <f>B241+1</f>
        <v>3</v>
      </c>
      <c r="C242" s="783" t="s">
        <v>1341</v>
      </c>
      <c r="D242" s="834"/>
      <c r="E242" s="835" t="e">
        <f>#REF!</f>
        <v>#REF!</v>
      </c>
      <c r="F242" s="835" t="e">
        <f>#REF!</f>
        <v>#REF!</v>
      </c>
      <c r="G242" s="820" t="e">
        <f>G115</f>
        <v>#REF!</v>
      </c>
      <c r="H242" s="746" t="e">
        <f>H115</f>
        <v>#REF!</v>
      </c>
      <c r="I242" s="747" t="e">
        <f>E242*H242</f>
        <v>#REF!</v>
      </c>
      <c r="J242" s="786"/>
    </row>
    <row r="243" spans="2:10" x14ac:dyDescent="0.3">
      <c r="B243" s="782">
        <f>B242+1</f>
        <v>4</v>
      </c>
      <c r="C243" s="783" t="s">
        <v>1339</v>
      </c>
      <c r="D243" s="784"/>
      <c r="E243" s="785">
        <f>E115</f>
        <v>145.6</v>
      </c>
      <c r="F243" s="785" t="str">
        <f>F115</f>
        <v>M'</v>
      </c>
      <c r="G243" s="785" t="e">
        <f>G115</f>
        <v>#REF!</v>
      </c>
      <c r="H243" s="785" t="e">
        <f>H115</f>
        <v>#REF!</v>
      </c>
      <c r="I243" s="785" t="e">
        <f>I115</f>
        <v>#REF!</v>
      </c>
      <c r="J243" s="786"/>
    </row>
    <row r="244" spans="2:10" ht="17.25" thickBot="1" x14ac:dyDescent="0.35">
      <c r="B244" s="788"/>
      <c r="C244" s="859"/>
      <c r="D244" s="790"/>
      <c r="E244" s="791"/>
      <c r="F244" s="791"/>
      <c r="G244" s="829"/>
      <c r="H244" s="1180"/>
      <c r="I244" s="794"/>
      <c r="J244" s="786"/>
    </row>
    <row r="245" spans="2:10" ht="17.25" thickBot="1" x14ac:dyDescent="0.35">
      <c r="B245" s="795"/>
      <c r="C245" s="796"/>
      <c r="D245" s="797"/>
      <c r="E245" s="3064" t="s">
        <v>224</v>
      </c>
      <c r="F245" s="3064"/>
      <c r="G245" s="3064"/>
      <c r="H245" s="3065"/>
      <c r="I245" s="764" t="e">
        <f>SUM(I239:J244)</f>
        <v>#REF!</v>
      </c>
      <c r="J245" s="726"/>
    </row>
    <row r="246" spans="2:10" x14ac:dyDescent="0.3">
      <c r="B246" s="854" t="s">
        <v>143</v>
      </c>
      <c r="C246" s="855" t="s">
        <v>587</v>
      </c>
      <c r="D246" s="856"/>
      <c r="E246" s="857"/>
      <c r="F246" s="738"/>
      <c r="G246" s="1078"/>
      <c r="H246" s="739"/>
      <c r="I246" s="740"/>
      <c r="J246" s="786"/>
    </row>
    <row r="247" spans="2:10" x14ac:dyDescent="0.3">
      <c r="B247" s="782">
        <v>1</v>
      </c>
      <c r="C247" s="858" t="s">
        <v>714</v>
      </c>
      <c r="D247" s="784"/>
      <c r="E247" s="785" t="e">
        <f>#REF!</f>
        <v>#REF!</v>
      </c>
      <c r="F247" s="785" t="e">
        <f>#REF!</f>
        <v>#REF!</v>
      </c>
      <c r="G247" s="820" t="e">
        <f>'R.Anl'!#REF!</f>
        <v>#REF!</v>
      </c>
      <c r="H247" s="746" t="e">
        <f>'R.Anl'!#REF!</f>
        <v>#REF!</v>
      </c>
      <c r="I247" s="747" t="e">
        <f>H247*E247</f>
        <v>#REF!</v>
      </c>
      <c r="J247" s="786"/>
    </row>
    <row r="248" spans="2:10" x14ac:dyDescent="0.3">
      <c r="B248" s="941">
        <f>B247+1</f>
        <v>2</v>
      </c>
      <c r="C248" s="784" t="s">
        <v>700</v>
      </c>
      <c r="D248" s="784"/>
      <c r="E248" s="785" t="e">
        <f>#REF!</f>
        <v>#REF!</v>
      </c>
      <c r="F248" s="785" t="e">
        <f>#REF!</f>
        <v>#REF!</v>
      </c>
      <c r="G248" s="820" t="e">
        <f>'R.Anl'!#REF!</f>
        <v>#REF!</v>
      </c>
      <c r="H248" s="746" t="e">
        <f>'R.Anl'!#REF!</f>
        <v>#REF!</v>
      </c>
      <c r="I248" s="747" t="e">
        <f>H248*E248</f>
        <v>#REF!</v>
      </c>
      <c r="J248" s="786"/>
    </row>
    <row r="249" spans="2:10" ht="17.25" thickBot="1" x14ac:dyDescent="0.35">
      <c r="B249" s="782"/>
      <c r="C249" s="859"/>
      <c r="D249" s="790"/>
      <c r="E249" s="860"/>
      <c r="F249" s="861"/>
      <c r="G249" s="829"/>
      <c r="H249" s="793"/>
      <c r="I249" s="747"/>
      <c r="J249" s="786"/>
    </row>
    <row r="250" spans="2:10" ht="17.25" thickBot="1" x14ac:dyDescent="0.35">
      <c r="B250" s="795"/>
      <c r="C250" s="831"/>
      <c r="D250" s="832"/>
      <c r="E250" s="3064" t="s">
        <v>266</v>
      </c>
      <c r="F250" s="3064"/>
      <c r="G250" s="3064"/>
      <c r="H250" s="3065"/>
      <c r="I250" s="764" t="e">
        <f>SUM(I246:J249)</f>
        <v>#REF!</v>
      </c>
      <c r="J250" s="726"/>
    </row>
    <row r="251" spans="2:10" x14ac:dyDescent="0.3">
      <c r="B251" s="854" t="s">
        <v>144</v>
      </c>
      <c r="C251" s="855" t="s">
        <v>142</v>
      </c>
      <c r="D251" s="856"/>
      <c r="E251" s="857"/>
      <c r="F251" s="738"/>
      <c r="G251" s="1078"/>
      <c r="H251" s="739"/>
      <c r="I251" s="740"/>
      <c r="J251" s="786"/>
    </row>
    <row r="252" spans="2:10" x14ac:dyDescent="0.3">
      <c r="B252" s="782">
        <v>1</v>
      </c>
      <c r="C252" s="783" t="s">
        <v>703</v>
      </c>
      <c r="D252" s="784"/>
      <c r="E252" s="785" t="e">
        <f>#REF!</f>
        <v>#REF!</v>
      </c>
      <c r="F252" s="785" t="e">
        <f>#REF!</f>
        <v>#REF!</v>
      </c>
      <c r="G252" s="820" t="e">
        <f>G124</f>
        <v>#REF!</v>
      </c>
      <c r="H252" s="821" t="e">
        <f>H124</f>
        <v>#REF!</v>
      </c>
      <c r="I252" s="747" t="e">
        <f>E252*H252</f>
        <v>#REF!</v>
      </c>
      <c r="J252" s="786"/>
    </row>
    <row r="253" spans="2:10" x14ac:dyDescent="0.3">
      <c r="B253" s="941">
        <f>B252+1</f>
        <v>2</v>
      </c>
      <c r="C253" s="783" t="s">
        <v>864</v>
      </c>
      <c r="D253" s="784"/>
      <c r="E253" s="785" t="e">
        <f>#REF!</f>
        <v>#REF!</v>
      </c>
      <c r="F253" s="785" t="e">
        <f>#REF!</f>
        <v>#REF!</v>
      </c>
      <c r="G253" s="820" t="e">
        <f>G125</f>
        <v>#REF!</v>
      </c>
      <c r="H253" s="821" t="e">
        <f>H125</f>
        <v>#REF!</v>
      </c>
      <c r="I253" s="747" t="e">
        <f>E253*H253</f>
        <v>#REF!</v>
      </c>
      <c r="J253" s="786"/>
    </row>
    <row r="254" spans="2:10" x14ac:dyDescent="0.3">
      <c r="B254" s="941">
        <f>B253+1</f>
        <v>3</v>
      </c>
      <c r="C254" s="783" t="s">
        <v>702</v>
      </c>
      <c r="D254" s="784"/>
      <c r="E254" s="785" t="e">
        <f>#REF!</f>
        <v>#REF!</v>
      </c>
      <c r="F254" s="785" t="e">
        <f>#REF!</f>
        <v>#REF!</v>
      </c>
      <c r="G254" s="820" t="e">
        <f>'R.Anl'!#REF!</f>
        <v>#REF!</v>
      </c>
      <c r="H254" s="746" t="e">
        <f>'R.Anl'!#REF!</f>
        <v>#REF!</v>
      </c>
      <c r="I254" s="747" t="e">
        <f>E254*H254</f>
        <v>#REF!</v>
      </c>
      <c r="J254" s="786"/>
    </row>
    <row r="255" spans="2:10" x14ac:dyDescent="0.3">
      <c r="B255" s="941">
        <f>B254+1</f>
        <v>4</v>
      </c>
      <c r="C255" s="783" t="s">
        <v>746</v>
      </c>
      <c r="D255" s="784"/>
      <c r="E255" s="785" t="e">
        <f>#REF!</f>
        <v>#REF!</v>
      </c>
      <c r="F255" s="785" t="e">
        <f>#REF!</f>
        <v>#REF!</v>
      </c>
      <c r="G255" s="820" t="e">
        <f>'R.Anl'!#REF!</f>
        <v>#REF!</v>
      </c>
      <c r="H255" s="746" t="e">
        <f>'R.Anl'!#REF!</f>
        <v>#REF!</v>
      </c>
      <c r="I255" s="747" t="e">
        <f>E255*H255</f>
        <v>#REF!</v>
      </c>
      <c r="J255" s="786"/>
    </row>
    <row r="256" spans="2:10" ht="17.25" thickBot="1" x14ac:dyDescent="0.35">
      <c r="B256" s="782"/>
      <c r="C256" s="859"/>
      <c r="D256" s="790"/>
      <c r="E256" s="860"/>
      <c r="F256" s="791"/>
      <c r="G256" s="820"/>
      <c r="H256" s="821"/>
      <c r="I256" s="747"/>
      <c r="J256" s="786"/>
    </row>
    <row r="257" spans="2:13" ht="17.25" thickBot="1" x14ac:dyDescent="0.35">
      <c r="B257" s="795"/>
      <c r="C257" s="831"/>
      <c r="D257" s="832"/>
      <c r="E257" s="3064" t="s">
        <v>267</v>
      </c>
      <c r="F257" s="3064"/>
      <c r="G257" s="3064"/>
      <c r="H257" s="3065"/>
      <c r="I257" s="764" t="e">
        <f>SUM(I251:I256)</f>
        <v>#REF!</v>
      </c>
      <c r="J257" s="726"/>
    </row>
    <row r="258" spans="2:13" x14ac:dyDescent="0.3">
      <c r="B258" s="773" t="s">
        <v>145</v>
      </c>
      <c r="C258" s="774" t="s">
        <v>251</v>
      </c>
      <c r="D258" s="775"/>
      <c r="E258" s="800"/>
      <c r="F258" s="801"/>
      <c r="G258" s="802"/>
      <c r="H258" s="803"/>
      <c r="I258" s="804"/>
      <c r="J258" s="786"/>
    </row>
    <row r="259" spans="2:13" s="753" customFormat="1" x14ac:dyDescent="0.3">
      <c r="B259" s="941">
        <v>1</v>
      </c>
      <c r="C259" s="1047" t="s">
        <v>773</v>
      </c>
      <c r="D259" s="784"/>
      <c r="E259" s="863"/>
      <c r="F259" s="863"/>
      <c r="G259" s="820"/>
      <c r="H259" s="746"/>
      <c r="I259" s="845"/>
      <c r="J259" s="823"/>
      <c r="M259" s="754"/>
    </row>
    <row r="260" spans="2:13" s="753" customFormat="1" x14ac:dyDescent="0.3">
      <c r="B260" s="941"/>
      <c r="C260" s="1047"/>
      <c r="D260" s="1060" t="s">
        <v>823</v>
      </c>
      <c r="E260" s="813" t="e">
        <f>#REF!</f>
        <v>#REF!</v>
      </c>
      <c r="F260" s="813" t="e">
        <f>#REF!</f>
        <v>#REF!</v>
      </c>
      <c r="G260" s="820" t="e">
        <f>G132</f>
        <v>#REF!</v>
      </c>
      <c r="H260" s="746" t="e">
        <f>H132</f>
        <v>#REF!</v>
      </c>
      <c r="I260" s="747" t="e">
        <f>E260*H260</f>
        <v>#REF!</v>
      </c>
      <c r="J260" s="823"/>
      <c r="M260" s="754"/>
    </row>
    <row r="261" spans="2:13" s="753" customFormat="1" x14ac:dyDescent="0.3">
      <c r="B261" s="941"/>
      <c r="C261" s="1047"/>
      <c r="D261" s="1060" t="s">
        <v>824</v>
      </c>
      <c r="E261" s="813" t="e">
        <f>#REF!</f>
        <v>#REF!</v>
      </c>
      <c r="F261" s="813" t="e">
        <f>#REF!</f>
        <v>#REF!</v>
      </c>
      <c r="G261" s="820" t="e">
        <f>'R.Anl'!#REF!</f>
        <v>#REF!</v>
      </c>
      <c r="H261" s="746" t="e">
        <f>'R.Anl'!#REF!</f>
        <v>#REF!</v>
      </c>
      <c r="I261" s="747" t="e">
        <f t="shared" ref="I261:I271" si="20">E261*H261</f>
        <v>#REF!</v>
      </c>
      <c r="J261" s="823"/>
      <c r="M261" s="754"/>
    </row>
    <row r="262" spans="2:13" s="753" customFormat="1" x14ac:dyDescent="0.3">
      <c r="B262" s="941"/>
      <c r="C262" s="1047"/>
      <c r="D262" s="1060" t="s">
        <v>825</v>
      </c>
      <c r="E262" s="813" t="e">
        <f>#REF!</f>
        <v>#REF!</v>
      </c>
      <c r="F262" s="813" t="e">
        <f>#REF!</f>
        <v>#REF!</v>
      </c>
      <c r="G262" s="820" t="e">
        <f>'R.Anl'!#REF!</f>
        <v>#REF!</v>
      </c>
      <c r="H262" s="746" t="e">
        <f>'R.Anl'!#REF!</f>
        <v>#REF!</v>
      </c>
      <c r="I262" s="747" t="e">
        <f t="shared" si="20"/>
        <v>#REF!</v>
      </c>
      <c r="J262" s="823"/>
      <c r="M262" s="754"/>
    </row>
    <row r="263" spans="2:13" s="753" customFormat="1" x14ac:dyDescent="0.3">
      <c r="B263" s="941"/>
      <c r="C263" s="1047"/>
      <c r="D263" s="1060" t="s">
        <v>774</v>
      </c>
      <c r="E263" s="813" t="e">
        <f>#REF!</f>
        <v>#REF!</v>
      </c>
      <c r="F263" s="813" t="e">
        <f>#REF!</f>
        <v>#REF!</v>
      </c>
      <c r="G263" s="820" t="e">
        <f>'R.Anl'!#REF!</f>
        <v>#REF!</v>
      </c>
      <c r="H263" s="746" t="e">
        <f>'R.Anl'!#REF!</f>
        <v>#REF!</v>
      </c>
      <c r="I263" s="747" t="e">
        <f t="shared" si="20"/>
        <v>#REF!</v>
      </c>
      <c r="J263" s="823"/>
      <c r="M263" s="754"/>
    </row>
    <row r="264" spans="2:13" s="753" customFormat="1" x14ac:dyDescent="0.3">
      <c r="B264" s="941"/>
      <c r="C264" s="1047"/>
      <c r="D264" s="1060" t="s">
        <v>826</v>
      </c>
      <c r="E264" s="813" t="e">
        <f>#REF!</f>
        <v>#REF!</v>
      </c>
      <c r="F264" s="813" t="e">
        <f>#REF!</f>
        <v>#REF!</v>
      </c>
      <c r="G264" s="820" t="e">
        <f>'R.Anl'!#REF!</f>
        <v>#REF!</v>
      </c>
      <c r="H264" s="746" t="e">
        <f>'R.Anl'!#REF!</f>
        <v>#REF!</v>
      </c>
      <c r="I264" s="747" t="e">
        <f t="shared" si="20"/>
        <v>#REF!</v>
      </c>
      <c r="J264" s="823"/>
      <c r="M264" s="754"/>
    </row>
    <row r="265" spans="2:13" s="753" customFormat="1" x14ac:dyDescent="0.3">
      <c r="B265" s="941">
        <f>B259+1</f>
        <v>2</v>
      </c>
      <c r="C265" s="1047" t="s">
        <v>776</v>
      </c>
      <c r="D265" s="784"/>
      <c r="E265" s="863"/>
      <c r="F265" s="863"/>
      <c r="G265" s="820"/>
      <c r="H265" s="746"/>
      <c r="I265" s="747"/>
      <c r="J265" s="823"/>
      <c r="M265" s="754"/>
    </row>
    <row r="266" spans="2:13" s="753" customFormat="1" x14ac:dyDescent="0.3">
      <c r="B266" s="941"/>
      <c r="C266" s="1047"/>
      <c r="D266" s="1048" t="s">
        <v>777</v>
      </c>
      <c r="E266" s="813" t="e">
        <f>#REF!</f>
        <v>#REF!</v>
      </c>
      <c r="F266" s="813" t="e">
        <f>#REF!</f>
        <v>#REF!</v>
      </c>
      <c r="G266" s="820" t="e">
        <f t="shared" ref="G266:H268" si="21">G135</f>
        <v>#REF!</v>
      </c>
      <c r="H266" s="746" t="e">
        <f t="shared" si="21"/>
        <v>#REF!</v>
      </c>
      <c r="I266" s="747" t="e">
        <f t="shared" si="20"/>
        <v>#REF!</v>
      </c>
      <c r="J266" s="823"/>
      <c r="M266" s="754"/>
    </row>
    <row r="267" spans="2:13" s="753" customFormat="1" x14ac:dyDescent="0.3">
      <c r="B267" s="941"/>
      <c r="C267" s="1047"/>
      <c r="D267" s="1048" t="s">
        <v>778</v>
      </c>
      <c r="E267" s="813" t="e">
        <f>#REF!</f>
        <v>#REF!</v>
      </c>
      <c r="F267" s="813" t="e">
        <f>#REF!</f>
        <v>#REF!</v>
      </c>
      <c r="G267" s="820" t="e">
        <f t="shared" si="21"/>
        <v>#REF!</v>
      </c>
      <c r="H267" s="746" t="e">
        <f t="shared" si="21"/>
        <v>#REF!</v>
      </c>
      <c r="I267" s="747" t="e">
        <f t="shared" si="20"/>
        <v>#REF!</v>
      </c>
      <c r="J267" s="823"/>
      <c r="M267" s="754"/>
    </row>
    <row r="268" spans="2:13" s="753" customFormat="1" x14ac:dyDescent="0.3">
      <c r="B268" s="941"/>
      <c r="C268" s="1047"/>
      <c r="D268" s="1048" t="s">
        <v>779</v>
      </c>
      <c r="E268" s="813" t="e">
        <f>#REF!</f>
        <v>#REF!</v>
      </c>
      <c r="F268" s="813" t="e">
        <f>#REF!</f>
        <v>#REF!</v>
      </c>
      <c r="G268" s="820" t="e">
        <f t="shared" si="21"/>
        <v>#REF!</v>
      </c>
      <c r="H268" s="746" t="e">
        <f t="shared" si="21"/>
        <v>#REF!</v>
      </c>
      <c r="I268" s="747" t="e">
        <f t="shared" si="20"/>
        <v>#REF!</v>
      </c>
      <c r="J268" s="823"/>
      <c r="M268" s="754"/>
    </row>
    <row r="269" spans="2:13" s="753" customFormat="1" x14ac:dyDescent="0.3">
      <c r="B269" s="941">
        <f>B265+1</f>
        <v>3</v>
      </c>
      <c r="C269" s="1047" t="s">
        <v>780</v>
      </c>
      <c r="D269" s="784"/>
      <c r="E269" s="813">
        <v>8</v>
      </c>
      <c r="F269" s="813" t="e">
        <f>#REF!</f>
        <v>#REF!</v>
      </c>
      <c r="G269" s="820" t="e">
        <f t="shared" ref="G269:H271" si="22">G138</f>
        <v>#REF!</v>
      </c>
      <c r="H269" s="820" t="e">
        <f t="shared" si="22"/>
        <v>#REF!</v>
      </c>
      <c r="I269" s="747" t="e">
        <f t="shared" si="20"/>
        <v>#REF!</v>
      </c>
      <c r="J269" s="823"/>
      <c r="M269" s="754"/>
    </row>
    <row r="270" spans="2:13" s="753" customFormat="1" x14ac:dyDescent="0.3">
      <c r="B270" s="941">
        <f>B269+1</f>
        <v>4</v>
      </c>
      <c r="C270" s="1047" t="s">
        <v>782</v>
      </c>
      <c r="D270" s="784"/>
      <c r="E270" s="813">
        <v>8</v>
      </c>
      <c r="F270" s="813" t="e">
        <f>#REF!</f>
        <v>#REF!</v>
      </c>
      <c r="G270" s="820" t="e">
        <f t="shared" si="22"/>
        <v>#REF!</v>
      </c>
      <c r="H270" s="820" t="e">
        <f t="shared" si="22"/>
        <v>#REF!</v>
      </c>
      <c r="I270" s="747" t="e">
        <f t="shared" si="20"/>
        <v>#REF!</v>
      </c>
      <c r="J270" s="823"/>
      <c r="M270" s="754"/>
    </row>
    <row r="271" spans="2:13" s="753" customFormat="1" x14ac:dyDescent="0.3">
      <c r="B271" s="941">
        <f>B270+1</f>
        <v>5</v>
      </c>
      <c r="C271" s="1047" t="s">
        <v>781</v>
      </c>
      <c r="D271" s="784"/>
      <c r="E271" s="813">
        <v>8</v>
      </c>
      <c r="F271" s="813" t="e">
        <f>#REF!</f>
        <v>#REF!</v>
      </c>
      <c r="G271" s="820" t="e">
        <f t="shared" si="22"/>
        <v>#REF!</v>
      </c>
      <c r="H271" s="820" t="e">
        <f t="shared" si="22"/>
        <v>#REF!</v>
      </c>
      <c r="I271" s="747" t="e">
        <f t="shared" si="20"/>
        <v>#REF!</v>
      </c>
      <c r="J271" s="823"/>
      <c r="M271" s="754"/>
    </row>
    <row r="272" spans="2:13" s="753" customFormat="1" ht="17.25" thickBot="1" x14ac:dyDescent="0.35">
      <c r="B272" s="865"/>
      <c r="C272" s="848"/>
      <c r="D272" s="866"/>
      <c r="E272" s="813"/>
      <c r="F272" s="813"/>
      <c r="G272" s="820"/>
      <c r="H272" s="746"/>
      <c r="I272" s="747"/>
      <c r="J272" s="823"/>
      <c r="M272" s="754"/>
    </row>
    <row r="273" spans="1:21" s="753" customFormat="1" ht="17.25" thickBot="1" x14ac:dyDescent="0.35">
      <c r="B273" s="761"/>
      <c r="C273" s="877"/>
      <c r="D273" s="878"/>
      <c r="E273" s="3064" t="s">
        <v>268</v>
      </c>
      <c r="F273" s="3064"/>
      <c r="G273" s="3064"/>
      <c r="H273" s="3065"/>
      <c r="I273" s="764" t="e">
        <f>SUM(I258:I272)</f>
        <v>#REF!</v>
      </c>
      <c r="J273" s="765"/>
      <c r="M273" s="754"/>
    </row>
    <row r="274" spans="1:21" x14ac:dyDescent="0.3">
      <c r="A274" s="879"/>
      <c r="B274" s="854" t="s">
        <v>827</v>
      </c>
      <c r="C274" s="855" t="s">
        <v>794</v>
      </c>
      <c r="D274" s="856"/>
      <c r="E274" s="857"/>
      <c r="F274" s="738"/>
      <c r="G274" s="1078"/>
      <c r="H274" s="739"/>
      <c r="I274" s="740"/>
      <c r="J274" s="786"/>
    </row>
    <row r="275" spans="1:21" s="898" customFormat="1" ht="15.75" customHeight="1" x14ac:dyDescent="0.3">
      <c r="A275" s="891"/>
      <c r="B275" s="1012">
        <v>1</v>
      </c>
      <c r="C275" s="892" t="s">
        <v>799</v>
      </c>
      <c r="D275" s="893"/>
      <c r="E275" s="894"/>
      <c r="F275" s="895"/>
      <c r="G275" s="907"/>
      <c r="H275" s="1057"/>
      <c r="I275" s="896"/>
      <c r="J275" s="897"/>
    </row>
    <row r="276" spans="1:21" s="898" customFormat="1" ht="15.95" customHeight="1" x14ac:dyDescent="0.3">
      <c r="A276" s="902"/>
      <c r="B276" s="900"/>
      <c r="C276" s="1138" t="s">
        <v>829</v>
      </c>
      <c r="D276" s="893"/>
      <c r="E276" s="1008" t="e">
        <f>#REF!</f>
        <v>#REF!</v>
      </c>
      <c r="F276" s="1008" t="e">
        <f>#REF!</f>
        <v>#REF!</v>
      </c>
      <c r="G276" s="908" t="e">
        <f>'R.Anl'!#REF!</f>
        <v>#REF!</v>
      </c>
      <c r="H276" s="908" t="e">
        <f>'R.Anl'!#REF!</f>
        <v>#REF!</v>
      </c>
      <c r="I276" s="747" t="e">
        <f>E276*H276</f>
        <v>#REF!</v>
      </c>
      <c r="J276" s="897"/>
    </row>
    <row r="277" spans="1:21" s="898" customFormat="1" ht="15.95" customHeight="1" x14ac:dyDescent="0.3">
      <c r="A277" s="891"/>
      <c r="B277" s="1013">
        <f>B275+1</f>
        <v>2</v>
      </c>
      <c r="C277" s="892" t="s">
        <v>801</v>
      </c>
      <c r="D277" s="893"/>
      <c r="E277" s="1008"/>
      <c r="F277" s="1008"/>
      <c r="G277" s="883"/>
      <c r="H277" s="908"/>
      <c r="I277" s="896"/>
      <c r="J277" s="897"/>
      <c r="T277" s="904"/>
    </row>
    <row r="278" spans="1:21" s="961" customFormat="1" ht="33" customHeight="1" x14ac:dyDescent="0.3">
      <c r="A278" s="891"/>
      <c r="B278" s="903"/>
      <c r="C278" s="3056" t="s">
        <v>830</v>
      </c>
      <c r="D278" s="3057"/>
      <c r="E278" s="1061" t="e">
        <f>#REF!</f>
        <v>#REF!</v>
      </c>
      <c r="F278" s="1061" t="e">
        <f>#REF!</f>
        <v>#REF!</v>
      </c>
      <c r="G278" s="1066" t="e">
        <f>'R.Anl'!#REF!</f>
        <v>#REF!</v>
      </c>
      <c r="H278" s="1053" t="e">
        <f>'R.Anl'!#REF!</f>
        <v>#REF!</v>
      </c>
      <c r="I278" s="136" t="e">
        <f>H278*E278</f>
        <v>#REF!</v>
      </c>
      <c r="J278" s="960"/>
      <c r="T278" s="962"/>
    </row>
    <row r="279" spans="1:21" s="887" customFormat="1" ht="15.95" customHeight="1" x14ac:dyDescent="0.3">
      <c r="A279" s="905"/>
      <c r="B279" s="890">
        <f>B277+1</f>
        <v>3</v>
      </c>
      <c r="C279" s="922" t="s">
        <v>803</v>
      </c>
      <c r="D279" s="869"/>
      <c r="E279" s="1017"/>
      <c r="F279" s="1017"/>
      <c r="G279" s="883"/>
      <c r="H279" s="908"/>
      <c r="I279" s="136"/>
      <c r="J279" s="886"/>
      <c r="T279" s="914"/>
      <c r="U279" s="914"/>
    </row>
    <row r="280" spans="1:21" s="887" customFormat="1" ht="16.5" customHeight="1" x14ac:dyDescent="0.3">
      <c r="A280" s="905"/>
      <c r="B280" s="890"/>
      <c r="C280" s="1062" t="s">
        <v>819</v>
      </c>
      <c r="D280" s="869"/>
      <c r="E280" s="1006">
        <f>E174</f>
        <v>11</v>
      </c>
      <c r="F280" s="1006" t="e">
        <f>#REF!</f>
        <v>#REF!</v>
      </c>
      <c r="G280" s="1067" t="e">
        <f t="shared" ref="G280:H284" si="23">G174</f>
        <v>#REF!</v>
      </c>
      <c r="H280" s="908" t="e">
        <f t="shared" si="23"/>
        <v>#REF!</v>
      </c>
      <c r="I280" s="136" t="e">
        <f t="shared" ref="I280:I288" si="24">H280*E280</f>
        <v>#REF!</v>
      </c>
      <c r="J280" s="886"/>
      <c r="T280" s="914"/>
    </row>
    <row r="281" spans="1:21" s="887" customFormat="1" ht="16.5" customHeight="1" x14ac:dyDescent="0.3">
      <c r="A281" s="889"/>
      <c r="B281" s="890"/>
      <c r="C281" s="1062" t="s">
        <v>820</v>
      </c>
      <c r="D281" s="708"/>
      <c r="E281" s="1006">
        <f>E175</f>
        <v>37</v>
      </c>
      <c r="F281" s="1006" t="e">
        <f>#REF!</f>
        <v>#REF!</v>
      </c>
      <c r="G281" s="1067" t="e">
        <f t="shared" si="23"/>
        <v>#REF!</v>
      </c>
      <c r="H281" s="1067" t="e">
        <f t="shared" si="23"/>
        <v>#REF!</v>
      </c>
      <c r="I281" s="136" t="e">
        <f t="shared" si="24"/>
        <v>#REF!</v>
      </c>
      <c r="J281" s="886"/>
    </row>
    <row r="282" spans="1:21" s="887" customFormat="1" ht="16.5" customHeight="1" x14ac:dyDescent="0.3">
      <c r="A282" s="889"/>
      <c r="B282" s="890"/>
      <c r="C282" s="1062" t="s">
        <v>821</v>
      </c>
      <c r="D282" s="869"/>
      <c r="E282" s="1006">
        <f>E176</f>
        <v>16</v>
      </c>
      <c r="F282" s="1006" t="e">
        <f>#REF!</f>
        <v>#REF!</v>
      </c>
      <c r="G282" s="1067" t="e">
        <f t="shared" si="23"/>
        <v>#REF!</v>
      </c>
      <c r="H282" s="1067" t="e">
        <f t="shared" si="23"/>
        <v>#REF!</v>
      </c>
      <c r="I282" s="136" t="e">
        <f t="shared" si="24"/>
        <v>#REF!</v>
      </c>
      <c r="J282" s="886"/>
    </row>
    <row r="283" spans="1:21" s="887" customFormat="1" ht="16.5" customHeight="1" x14ac:dyDescent="0.3">
      <c r="A283" s="889"/>
      <c r="B283" s="890"/>
      <c r="C283" s="1063" t="s">
        <v>805</v>
      </c>
      <c r="D283" s="869"/>
      <c r="E283" s="1006">
        <f>E177</f>
        <v>2</v>
      </c>
      <c r="F283" s="1006" t="e">
        <f>#REF!</f>
        <v>#REF!</v>
      </c>
      <c r="G283" s="1067" t="e">
        <f t="shared" si="23"/>
        <v>#REF!</v>
      </c>
      <c r="H283" s="1067" t="e">
        <f t="shared" si="23"/>
        <v>#REF!</v>
      </c>
      <c r="I283" s="136" t="e">
        <f t="shared" si="24"/>
        <v>#REF!</v>
      </c>
      <c r="J283" s="886"/>
    </row>
    <row r="284" spans="1:21" s="887" customFormat="1" ht="16.5" customHeight="1" x14ac:dyDescent="0.3">
      <c r="A284" s="889"/>
      <c r="B284" s="890"/>
      <c r="C284" s="1063" t="s">
        <v>822</v>
      </c>
      <c r="D284" s="869"/>
      <c r="E284" s="1006">
        <f>E178</f>
        <v>10</v>
      </c>
      <c r="F284" s="1006" t="e">
        <f>#REF!</f>
        <v>#REF!</v>
      </c>
      <c r="G284" s="1067" t="e">
        <f t="shared" si="23"/>
        <v>#REF!</v>
      </c>
      <c r="H284" s="1067" t="e">
        <f t="shared" si="23"/>
        <v>#REF!</v>
      </c>
      <c r="I284" s="136" t="e">
        <f t="shared" si="24"/>
        <v>#REF!</v>
      </c>
      <c r="J284" s="886"/>
    </row>
    <row r="285" spans="1:21" s="887" customFormat="1" ht="15.95" customHeight="1" x14ac:dyDescent="0.3">
      <c r="A285" s="905"/>
      <c r="B285" s="890">
        <f>B279+1</f>
        <v>4</v>
      </c>
      <c r="C285" s="922" t="s">
        <v>806</v>
      </c>
      <c r="D285" s="869"/>
      <c r="E285" s="883"/>
      <c r="F285" s="908"/>
      <c r="G285" s="883"/>
      <c r="H285" s="908"/>
      <c r="I285" s="136"/>
      <c r="J285" s="886"/>
    </row>
    <row r="286" spans="1:21" s="887" customFormat="1" ht="33" customHeight="1" x14ac:dyDescent="0.3">
      <c r="A286" s="889"/>
      <c r="B286" s="890"/>
      <c r="C286" s="3058" t="s">
        <v>831</v>
      </c>
      <c r="D286" s="3059"/>
      <c r="E286" s="1052">
        <f>E180</f>
        <v>48</v>
      </c>
      <c r="F286" s="1052" t="e">
        <f>#REF!</f>
        <v>#REF!</v>
      </c>
      <c r="G286" s="1053" t="e">
        <f t="shared" ref="G286:H288" si="25">G180</f>
        <v>#REF!</v>
      </c>
      <c r="H286" s="1053" t="e">
        <f t="shared" si="25"/>
        <v>#REF!</v>
      </c>
      <c r="I286" s="136" t="e">
        <f t="shared" si="24"/>
        <v>#REF!</v>
      </c>
      <c r="J286" s="886"/>
      <c r="T286" s="925"/>
    </row>
    <row r="287" spans="1:21" s="887" customFormat="1" ht="16.5" customHeight="1" x14ac:dyDescent="0.3">
      <c r="A287" s="923"/>
      <c r="B287" s="913"/>
      <c r="C287" s="1064" t="s">
        <v>817</v>
      </c>
      <c r="D287" s="1065"/>
      <c r="E287" s="1052">
        <f>E181</f>
        <v>8</v>
      </c>
      <c r="F287" s="1052" t="e">
        <f>#REF!</f>
        <v>#REF!</v>
      </c>
      <c r="G287" s="1053" t="e">
        <f t="shared" si="25"/>
        <v>#REF!</v>
      </c>
      <c r="H287" s="1053" t="e">
        <f t="shared" si="25"/>
        <v>#REF!</v>
      </c>
      <c r="I287" s="136" t="e">
        <f t="shared" si="24"/>
        <v>#REF!</v>
      </c>
      <c r="J287" s="886"/>
      <c r="T287" s="925"/>
    </row>
    <row r="288" spans="1:21" s="887" customFormat="1" ht="33" customHeight="1" x14ac:dyDescent="0.3">
      <c r="A288" s="923"/>
      <c r="B288" s="913"/>
      <c r="C288" s="3058" t="s">
        <v>832</v>
      </c>
      <c r="D288" s="3059"/>
      <c r="E288" s="1052">
        <f>E182</f>
        <v>4</v>
      </c>
      <c r="F288" s="1052" t="e">
        <f>#REF!</f>
        <v>#REF!</v>
      </c>
      <c r="G288" s="1053" t="e">
        <f t="shared" si="25"/>
        <v>#REF!</v>
      </c>
      <c r="H288" s="1053" t="e">
        <f t="shared" si="25"/>
        <v>#REF!</v>
      </c>
      <c r="I288" s="136" t="e">
        <f t="shared" si="24"/>
        <v>#REF!</v>
      </c>
      <c r="J288" s="886"/>
      <c r="T288" s="925"/>
    </row>
    <row r="289" spans="2:14" ht="17.25" thickBot="1" x14ac:dyDescent="0.35">
      <c r="B289" s="788"/>
      <c r="C289" s="859"/>
      <c r="D289" s="790"/>
      <c r="E289" s="860"/>
      <c r="F289" s="791"/>
      <c r="G289" s="829"/>
      <c r="H289" s="793"/>
      <c r="I289" s="747"/>
      <c r="J289" s="786"/>
    </row>
    <row r="290" spans="2:14" ht="17.25" thickBot="1" x14ac:dyDescent="0.35">
      <c r="B290" s="795"/>
      <c r="C290" s="831"/>
      <c r="D290" s="832"/>
      <c r="E290" s="3064" t="s">
        <v>828</v>
      </c>
      <c r="F290" s="3064"/>
      <c r="G290" s="3064"/>
      <c r="H290" s="3065"/>
      <c r="I290" s="764" t="e">
        <f>SUM(I274:I289)</f>
        <v>#REF!</v>
      </c>
      <c r="J290" s="726"/>
    </row>
    <row r="291" spans="2:14" x14ac:dyDescent="0.3">
      <c r="B291" s="942" t="s">
        <v>6</v>
      </c>
      <c r="C291" s="943" t="s">
        <v>316</v>
      </c>
      <c r="D291" s="944"/>
      <c r="E291" s="926"/>
      <c r="F291" s="927"/>
      <c r="G291" s="927"/>
      <c r="H291" s="1083"/>
      <c r="I291" s="928"/>
      <c r="J291" s="726"/>
      <c r="L291" s="807"/>
    </row>
    <row r="292" spans="2:14" x14ac:dyDescent="0.3">
      <c r="B292" s="945" t="s">
        <v>31</v>
      </c>
      <c r="C292" s="798" t="s">
        <v>1235</v>
      </c>
      <c r="D292" s="946"/>
      <c r="E292" s="800"/>
      <c r="F292" s="801"/>
      <c r="G292" s="802"/>
      <c r="H292" s="803"/>
      <c r="I292" s="804"/>
      <c r="J292" s="786"/>
    </row>
    <row r="293" spans="2:14" x14ac:dyDescent="0.3">
      <c r="B293" s="782">
        <v>1</v>
      </c>
      <c r="C293" s="783" t="s">
        <v>731</v>
      </c>
      <c r="D293" s="784"/>
      <c r="E293" s="812"/>
      <c r="F293" s="745"/>
      <c r="G293" s="820"/>
      <c r="H293" s="746"/>
      <c r="I293" s="747"/>
      <c r="J293" s="786"/>
      <c r="N293" s="807"/>
    </row>
    <row r="294" spans="2:14" x14ac:dyDescent="0.3">
      <c r="B294" s="782"/>
      <c r="C294" s="808" t="s">
        <v>149</v>
      </c>
      <c r="D294" s="784" t="s">
        <v>1317</v>
      </c>
      <c r="E294" s="813">
        <f>'V.1 (3)'!T209</f>
        <v>46.37</v>
      </c>
      <c r="F294" s="813" t="e">
        <f>#REF!</f>
        <v>#REF!</v>
      </c>
      <c r="G294" s="820" t="e">
        <f t="shared" ref="G294:H297" si="26">G188</f>
        <v>#REF!</v>
      </c>
      <c r="H294" s="821" t="e">
        <f t="shared" si="26"/>
        <v>#REF!</v>
      </c>
      <c r="I294" s="747" t="e">
        <f>H294*E294</f>
        <v>#REF!</v>
      </c>
      <c r="J294" s="786"/>
      <c r="N294" s="807"/>
    </row>
    <row r="295" spans="2:14" x14ac:dyDescent="0.3">
      <c r="B295" s="782"/>
      <c r="C295" s="808" t="s">
        <v>149</v>
      </c>
      <c r="D295" s="784" t="s">
        <v>207</v>
      </c>
      <c r="E295" s="813">
        <f>'V.1 (3)'!T218</f>
        <v>7331.22</v>
      </c>
      <c r="F295" s="813" t="e">
        <f>#REF!</f>
        <v>#REF!</v>
      </c>
      <c r="G295" s="820" t="str">
        <f t="shared" si="26"/>
        <v>A.4.1.1.17.b</v>
      </c>
      <c r="H295" s="821">
        <f t="shared" si="26"/>
        <v>21453.25</v>
      </c>
      <c r="I295" s="747">
        <f>H295*E295</f>
        <v>157278495.465</v>
      </c>
      <c r="J295" s="786"/>
      <c r="N295" s="807"/>
    </row>
    <row r="296" spans="2:14" x14ac:dyDescent="0.3">
      <c r="B296" s="782"/>
      <c r="C296" s="808" t="s">
        <v>149</v>
      </c>
      <c r="D296" s="784" t="s">
        <v>599</v>
      </c>
      <c r="E296" s="813">
        <f>'V.1 (3)'!T224</f>
        <v>2680.05</v>
      </c>
      <c r="F296" s="813" t="e">
        <f>#REF!</f>
        <v>#REF!</v>
      </c>
      <c r="G296" s="820" t="str">
        <f t="shared" si="26"/>
        <v>A.4.1.1.17.b</v>
      </c>
      <c r="H296" s="821">
        <f t="shared" si="26"/>
        <v>21453.25</v>
      </c>
      <c r="I296" s="747">
        <f>H296*E296</f>
        <v>57495782.662500001</v>
      </c>
      <c r="J296" s="786"/>
      <c r="N296" s="807"/>
    </row>
    <row r="297" spans="2:14" x14ac:dyDescent="0.3">
      <c r="B297" s="782"/>
      <c r="C297" s="808" t="s">
        <v>149</v>
      </c>
      <c r="D297" s="784" t="s">
        <v>196</v>
      </c>
      <c r="E297" s="813">
        <f>'V.1 (3)'!T231</f>
        <v>433.02</v>
      </c>
      <c r="F297" s="813" t="e">
        <f>#REF!</f>
        <v>#REF!</v>
      </c>
      <c r="G297" s="820" t="e">
        <f t="shared" si="26"/>
        <v>#REF!</v>
      </c>
      <c r="H297" s="821" t="e">
        <f t="shared" si="26"/>
        <v>#REF!</v>
      </c>
      <c r="I297" s="747" t="e">
        <f>H297*E297</f>
        <v>#REF!</v>
      </c>
      <c r="J297" s="786"/>
      <c r="N297" s="807"/>
    </row>
    <row r="298" spans="2:14" x14ac:dyDescent="0.3">
      <c r="B298" s="782">
        <f>B293+1</f>
        <v>2</v>
      </c>
      <c r="C298" s="783" t="s">
        <v>147</v>
      </c>
      <c r="D298" s="784"/>
      <c r="E298" s="813">
        <f>'V.1 (3)'!T237</f>
        <v>28.8</v>
      </c>
      <c r="F298" s="813" t="e">
        <f>#REF!</f>
        <v>#REF!</v>
      </c>
      <c r="G298" s="820" t="e">
        <f>G57</f>
        <v>#REF!</v>
      </c>
      <c r="H298" s="746" t="e">
        <f>H57</f>
        <v>#REF!</v>
      </c>
      <c r="I298" s="747" t="e">
        <f t="shared" ref="I298:I318" si="27">H298*E298</f>
        <v>#REF!</v>
      </c>
      <c r="J298" s="786"/>
      <c r="N298" s="807"/>
    </row>
    <row r="299" spans="2:14" x14ac:dyDescent="0.3">
      <c r="B299" s="782">
        <f>B298+1</f>
        <v>3</v>
      </c>
      <c r="C299" s="783" t="s">
        <v>210</v>
      </c>
      <c r="D299" s="784"/>
      <c r="E299" s="813">
        <f>'V.1 (3)'!T245</f>
        <v>122.4</v>
      </c>
      <c r="F299" s="813" t="e">
        <f>#REF!</f>
        <v>#REF!</v>
      </c>
      <c r="G299" s="820" t="e">
        <f>G58</f>
        <v>#REF!</v>
      </c>
      <c r="H299" s="746" t="e">
        <f>H58</f>
        <v>#REF!</v>
      </c>
      <c r="I299" s="747" t="e">
        <f t="shared" si="27"/>
        <v>#REF!</v>
      </c>
      <c r="J299" s="786"/>
      <c r="N299" s="807"/>
    </row>
    <row r="300" spans="2:14" x14ac:dyDescent="0.3">
      <c r="B300" s="782">
        <f>B299+1</f>
        <v>4</v>
      </c>
      <c r="C300" s="783" t="s">
        <v>732</v>
      </c>
      <c r="D300" s="784"/>
      <c r="E300" s="813"/>
      <c r="F300" s="813"/>
      <c r="G300" s="820"/>
      <c r="H300" s="746"/>
      <c r="I300" s="747"/>
      <c r="J300" s="786"/>
      <c r="N300" s="807"/>
    </row>
    <row r="301" spans="2:14" x14ac:dyDescent="0.3">
      <c r="B301" s="782"/>
      <c r="C301" s="808" t="s">
        <v>149</v>
      </c>
      <c r="D301" s="784" t="s">
        <v>1317</v>
      </c>
      <c r="E301" s="813">
        <f>'V.1 (3)'!T257</f>
        <v>1.31</v>
      </c>
      <c r="F301" s="813" t="e">
        <f>#REF!</f>
        <v>#REF!</v>
      </c>
      <c r="G301" s="820" t="e">
        <f t="shared" ref="G301:H304" si="28">G60</f>
        <v>#REF!</v>
      </c>
      <c r="H301" s="746" t="e">
        <f t="shared" si="28"/>
        <v>#REF!</v>
      </c>
      <c r="I301" s="747" t="e">
        <f t="shared" si="27"/>
        <v>#REF!</v>
      </c>
      <c r="J301" s="786"/>
      <c r="N301" s="807"/>
    </row>
    <row r="302" spans="2:14" x14ac:dyDescent="0.3">
      <c r="B302" s="782"/>
      <c r="C302" s="808" t="s">
        <v>149</v>
      </c>
      <c r="D302" s="784" t="s">
        <v>207</v>
      </c>
      <c r="E302" s="813">
        <f>'V.1 (3)'!T267</f>
        <v>361.24</v>
      </c>
      <c r="F302" s="813" t="e">
        <f>#REF!</f>
        <v>#REF!</v>
      </c>
      <c r="G302" s="820" t="str">
        <f t="shared" si="28"/>
        <v>A.4.1.1.17.b</v>
      </c>
      <c r="H302" s="746">
        <f t="shared" si="28"/>
        <v>21453.25</v>
      </c>
      <c r="I302" s="747">
        <f t="shared" si="27"/>
        <v>7749772.0300000003</v>
      </c>
      <c r="J302" s="786"/>
      <c r="N302" s="807"/>
    </row>
    <row r="303" spans="2:14" x14ac:dyDescent="0.3">
      <c r="B303" s="782"/>
      <c r="C303" s="808" t="s">
        <v>149</v>
      </c>
      <c r="D303" s="784" t="s">
        <v>599</v>
      </c>
      <c r="E303" s="813">
        <f>'V.1 (3)'!T275</f>
        <v>27.23</v>
      </c>
      <c r="F303" s="813" t="e">
        <f>#REF!</f>
        <v>#REF!</v>
      </c>
      <c r="G303" s="820" t="str">
        <f t="shared" si="28"/>
        <v>A.4.1.1.17.b</v>
      </c>
      <c r="H303" s="746">
        <f t="shared" si="28"/>
        <v>21453.25</v>
      </c>
      <c r="I303" s="747">
        <f t="shared" si="27"/>
        <v>584171.99750000006</v>
      </c>
      <c r="J303" s="786"/>
      <c r="N303" s="807"/>
    </row>
    <row r="304" spans="2:14" x14ac:dyDescent="0.3">
      <c r="B304" s="782"/>
      <c r="C304" s="808" t="s">
        <v>149</v>
      </c>
      <c r="D304" s="784" t="s">
        <v>174</v>
      </c>
      <c r="E304" s="813">
        <f>'V.1 (3)'!T282</f>
        <v>14.54</v>
      </c>
      <c r="F304" s="813" t="e">
        <f>#REF!</f>
        <v>#REF!</v>
      </c>
      <c r="G304" s="820" t="e">
        <f t="shared" si="28"/>
        <v>#REF!</v>
      </c>
      <c r="H304" s="746" t="e">
        <f t="shared" si="28"/>
        <v>#REF!</v>
      </c>
      <c r="I304" s="747" t="e">
        <f t="shared" si="27"/>
        <v>#REF!</v>
      </c>
      <c r="J304" s="786"/>
      <c r="N304" s="807"/>
    </row>
    <row r="305" spans="2:14" x14ac:dyDescent="0.3">
      <c r="B305" s="782">
        <f>B300+1</f>
        <v>5</v>
      </c>
      <c r="C305" s="783" t="s">
        <v>1325</v>
      </c>
      <c r="D305" s="784"/>
      <c r="E305" s="813"/>
      <c r="F305" s="813"/>
      <c r="G305" s="820"/>
      <c r="H305" s="746"/>
      <c r="I305" s="747"/>
      <c r="J305" s="786"/>
      <c r="N305" s="807"/>
    </row>
    <row r="306" spans="2:14" x14ac:dyDescent="0.3">
      <c r="B306" s="782"/>
      <c r="C306" s="808" t="s">
        <v>149</v>
      </c>
      <c r="D306" s="784" t="s">
        <v>1317</v>
      </c>
      <c r="E306" s="813">
        <f>'V.1 (3)'!T289</f>
        <v>17.96</v>
      </c>
      <c r="F306" s="813" t="e">
        <f>#REF!</f>
        <v>#REF!</v>
      </c>
      <c r="G306" s="820" t="e">
        <f t="shared" ref="G306:H309" si="29">G301</f>
        <v>#REF!</v>
      </c>
      <c r="H306" s="746" t="e">
        <f t="shared" si="29"/>
        <v>#REF!</v>
      </c>
      <c r="I306" s="747" t="e">
        <f t="shared" si="27"/>
        <v>#REF!</v>
      </c>
      <c r="J306" s="786"/>
      <c r="N306" s="807"/>
    </row>
    <row r="307" spans="2:14" x14ac:dyDescent="0.3">
      <c r="B307" s="782"/>
      <c r="C307" s="808" t="s">
        <v>149</v>
      </c>
      <c r="D307" s="784" t="s">
        <v>207</v>
      </c>
      <c r="E307" s="813">
        <f>'V.1 (3)'!T305</f>
        <v>5848.38</v>
      </c>
      <c r="F307" s="813" t="e">
        <f>#REF!</f>
        <v>#REF!</v>
      </c>
      <c r="G307" s="820" t="str">
        <f t="shared" si="29"/>
        <v>A.4.1.1.17.b</v>
      </c>
      <c r="H307" s="746">
        <f t="shared" si="29"/>
        <v>21453.25</v>
      </c>
      <c r="I307" s="747">
        <f t="shared" si="27"/>
        <v>125466758.235</v>
      </c>
      <c r="J307" s="786"/>
      <c r="N307" s="807"/>
    </row>
    <row r="308" spans="2:14" x14ac:dyDescent="0.3">
      <c r="B308" s="782"/>
      <c r="C308" s="808" t="s">
        <v>149</v>
      </c>
      <c r="D308" s="784" t="s">
        <v>601</v>
      </c>
      <c r="E308" s="813">
        <f>'V.1 (3)'!T330</f>
        <v>2083.65</v>
      </c>
      <c r="F308" s="813" t="e">
        <f>#REF!</f>
        <v>#REF!</v>
      </c>
      <c r="G308" s="820" t="str">
        <f>'R.Anl'!B31</f>
        <v>A.4.1.1.17.</v>
      </c>
      <c r="H308" s="746">
        <f>'R.Anl'!D31</f>
        <v>20849.5</v>
      </c>
      <c r="I308" s="747">
        <f t="shared" si="27"/>
        <v>43443060.675000004</v>
      </c>
      <c r="J308" s="786"/>
      <c r="N308" s="807"/>
    </row>
    <row r="309" spans="2:14" x14ac:dyDescent="0.3">
      <c r="B309" s="782"/>
      <c r="C309" s="808" t="s">
        <v>149</v>
      </c>
      <c r="D309" s="784" t="s">
        <v>174</v>
      </c>
      <c r="E309" s="813">
        <f>'V.1 (3)'!T338</f>
        <v>257.48</v>
      </c>
      <c r="F309" s="813" t="e">
        <f>#REF!</f>
        <v>#REF!</v>
      </c>
      <c r="G309" s="820" t="e">
        <f t="shared" si="29"/>
        <v>#REF!</v>
      </c>
      <c r="H309" s="746" t="e">
        <f t="shared" si="29"/>
        <v>#REF!</v>
      </c>
      <c r="I309" s="747" t="e">
        <f t="shared" si="27"/>
        <v>#REF!</v>
      </c>
      <c r="J309" s="786"/>
      <c r="N309" s="807"/>
    </row>
    <row r="310" spans="2:14" x14ac:dyDescent="0.3">
      <c r="B310" s="782">
        <f>B305+1</f>
        <v>6</v>
      </c>
      <c r="C310" s="783" t="s">
        <v>1326</v>
      </c>
      <c r="D310" s="784"/>
      <c r="E310" s="812"/>
      <c r="F310" s="813"/>
      <c r="G310" s="820"/>
      <c r="H310" s="746"/>
      <c r="I310" s="747"/>
      <c r="J310" s="786"/>
      <c r="N310" s="807"/>
    </row>
    <row r="311" spans="2:14" x14ac:dyDescent="0.3">
      <c r="B311" s="782"/>
      <c r="C311" s="808" t="s">
        <v>149</v>
      </c>
      <c r="D311" s="784" t="s">
        <v>1317</v>
      </c>
      <c r="E311" s="813">
        <f>'V.1 (3)'!T347</f>
        <v>4.08</v>
      </c>
      <c r="F311" s="813" t="e">
        <f>#REF!</f>
        <v>#REF!</v>
      </c>
      <c r="G311" s="820" t="e">
        <f t="shared" ref="G311:H314" si="30">G306</f>
        <v>#REF!</v>
      </c>
      <c r="H311" s="821" t="e">
        <f t="shared" si="30"/>
        <v>#REF!</v>
      </c>
      <c r="I311" s="747" t="e">
        <f t="shared" si="27"/>
        <v>#REF!</v>
      </c>
      <c r="J311" s="786"/>
      <c r="N311" s="807"/>
    </row>
    <row r="312" spans="2:14" x14ac:dyDescent="0.3">
      <c r="B312" s="782"/>
      <c r="C312" s="808" t="s">
        <v>149</v>
      </c>
      <c r="D312" s="784" t="s">
        <v>207</v>
      </c>
      <c r="E312" s="813">
        <f>'V.1 (3)'!T360</f>
        <v>918.95</v>
      </c>
      <c r="F312" s="813" t="e">
        <f>#REF!</f>
        <v>#REF!</v>
      </c>
      <c r="G312" s="820" t="str">
        <f t="shared" si="30"/>
        <v>A.4.1.1.17.b</v>
      </c>
      <c r="H312" s="821">
        <f t="shared" si="30"/>
        <v>21453.25</v>
      </c>
      <c r="I312" s="747">
        <f t="shared" si="27"/>
        <v>19714464.087500002</v>
      </c>
      <c r="J312" s="786"/>
      <c r="N312" s="807"/>
    </row>
    <row r="313" spans="2:14" x14ac:dyDescent="0.3">
      <c r="B313" s="782"/>
      <c r="C313" s="808" t="s">
        <v>149</v>
      </c>
      <c r="D313" s="784" t="s">
        <v>601</v>
      </c>
      <c r="E313" s="813">
        <f>'V.1 (3)'!T373</f>
        <v>740.34</v>
      </c>
      <c r="F313" s="813" t="e">
        <f>#REF!</f>
        <v>#REF!</v>
      </c>
      <c r="G313" s="820" t="str">
        <f>G312</f>
        <v>A.4.1.1.17.b</v>
      </c>
      <c r="H313" s="821">
        <f>H312</f>
        <v>21453.25</v>
      </c>
      <c r="I313" s="747">
        <f t="shared" si="27"/>
        <v>15882699.105</v>
      </c>
      <c r="J313" s="786"/>
      <c r="N313" s="807"/>
    </row>
    <row r="314" spans="2:14" x14ac:dyDescent="0.3">
      <c r="B314" s="782"/>
      <c r="C314" s="808" t="s">
        <v>149</v>
      </c>
      <c r="D314" s="784" t="s">
        <v>174</v>
      </c>
      <c r="E314" s="813">
        <f>'V.1 (3)'!T381</f>
        <v>81.19</v>
      </c>
      <c r="F314" s="813" t="e">
        <f>#REF!</f>
        <v>#REF!</v>
      </c>
      <c r="G314" s="820" t="e">
        <f t="shared" si="30"/>
        <v>#REF!</v>
      </c>
      <c r="H314" s="821" t="e">
        <f t="shared" si="30"/>
        <v>#REF!</v>
      </c>
      <c r="I314" s="747" t="e">
        <f t="shared" si="27"/>
        <v>#REF!</v>
      </c>
      <c r="J314" s="786"/>
      <c r="N314" s="807"/>
    </row>
    <row r="315" spans="2:14" x14ac:dyDescent="0.3">
      <c r="B315" s="782">
        <f>B310+1</f>
        <v>7</v>
      </c>
      <c r="C315" s="783" t="s">
        <v>715</v>
      </c>
      <c r="D315" s="784"/>
      <c r="E315" s="812"/>
      <c r="F315" s="745"/>
      <c r="G315" s="820"/>
      <c r="H315" s="746"/>
      <c r="I315" s="747"/>
      <c r="J315" s="786"/>
      <c r="N315" s="807"/>
    </row>
    <row r="316" spans="2:14" s="753" customFormat="1" x14ac:dyDescent="0.3">
      <c r="B316" s="847"/>
      <c r="C316" s="808" t="s">
        <v>149</v>
      </c>
      <c r="D316" s="784" t="s">
        <v>1317</v>
      </c>
      <c r="E316" s="813">
        <f>'V.1 (3)'!T390</f>
        <v>22.26</v>
      </c>
      <c r="F316" s="813" t="e">
        <f>#REF!</f>
        <v>#REF!</v>
      </c>
      <c r="G316" s="820" t="e">
        <f t="shared" ref="G316:H318" si="31">G210</f>
        <v>#REF!</v>
      </c>
      <c r="H316" s="821" t="e">
        <f t="shared" si="31"/>
        <v>#REF!</v>
      </c>
      <c r="I316" s="747" t="e">
        <f t="shared" si="27"/>
        <v>#REF!</v>
      </c>
      <c r="J316" s="823"/>
      <c r="M316" s="754"/>
      <c r="N316" s="772"/>
    </row>
    <row r="317" spans="2:14" s="753" customFormat="1" x14ac:dyDescent="0.3">
      <c r="B317" s="847"/>
      <c r="C317" s="808" t="s">
        <v>149</v>
      </c>
      <c r="D317" s="824" t="s">
        <v>207</v>
      </c>
      <c r="E317" s="813">
        <f>'V.1 (3)'!T401</f>
        <v>3461.82</v>
      </c>
      <c r="F317" s="813" t="e">
        <f>#REF!</f>
        <v>#REF!</v>
      </c>
      <c r="G317" s="820" t="str">
        <f t="shared" si="31"/>
        <v>A.4.1.1.17.b</v>
      </c>
      <c r="H317" s="821">
        <f t="shared" si="31"/>
        <v>21453.25</v>
      </c>
      <c r="I317" s="747">
        <f t="shared" si="27"/>
        <v>74267289.915000007</v>
      </c>
      <c r="J317" s="823"/>
      <c r="M317" s="754"/>
      <c r="N317" s="772"/>
    </row>
    <row r="318" spans="2:14" s="753" customFormat="1" x14ac:dyDescent="0.3">
      <c r="B318" s="847"/>
      <c r="C318" s="808" t="s">
        <v>149</v>
      </c>
      <c r="D318" s="824" t="s">
        <v>306</v>
      </c>
      <c r="E318" s="813">
        <f>'V.1 (3)'!T413</f>
        <v>151.36000000000001</v>
      </c>
      <c r="F318" s="813" t="e">
        <f>#REF!</f>
        <v>#REF!</v>
      </c>
      <c r="G318" s="820" t="e">
        <f t="shared" si="31"/>
        <v>#REF!</v>
      </c>
      <c r="H318" s="821" t="e">
        <f t="shared" si="31"/>
        <v>#REF!</v>
      </c>
      <c r="I318" s="747" t="e">
        <f t="shared" si="27"/>
        <v>#REF!</v>
      </c>
      <c r="J318" s="823"/>
      <c r="M318" s="754"/>
      <c r="N318" s="772"/>
    </row>
    <row r="319" spans="2:14" x14ac:dyDescent="0.3">
      <c r="B319" s="825">
        <f>B315+1</f>
        <v>8</v>
      </c>
      <c r="C319" s="783" t="s">
        <v>148</v>
      </c>
      <c r="D319" s="784"/>
      <c r="E319" s="812"/>
      <c r="F319" s="745"/>
      <c r="G319" s="820"/>
      <c r="H319" s="746"/>
      <c r="I319" s="747"/>
      <c r="J319" s="786"/>
      <c r="N319" s="807"/>
    </row>
    <row r="320" spans="2:14" x14ac:dyDescent="0.3">
      <c r="B320" s="825"/>
      <c r="C320" s="808" t="s">
        <v>149</v>
      </c>
      <c r="D320" s="784" t="s">
        <v>1317</v>
      </c>
      <c r="E320" s="813">
        <f>'V.1 (3)'!T423</f>
        <v>69.69</v>
      </c>
      <c r="F320" s="813" t="e">
        <f>#REF!</f>
        <v>#REF!</v>
      </c>
      <c r="G320" s="820" t="e">
        <f>G79</f>
        <v>#REF!</v>
      </c>
      <c r="H320" s="746" t="e">
        <f>H79</f>
        <v>#REF!</v>
      </c>
      <c r="I320" s="747" t="e">
        <f>H320*E320</f>
        <v>#REF!</v>
      </c>
      <c r="J320" s="786"/>
      <c r="N320" s="807"/>
    </row>
    <row r="321" spans="2:20" x14ac:dyDescent="0.3">
      <c r="B321" s="825"/>
      <c r="C321" s="808" t="s">
        <v>149</v>
      </c>
      <c r="D321" s="784" t="s">
        <v>208</v>
      </c>
      <c r="E321" s="813">
        <f>'V.1 (3)'!T433*2</f>
        <v>11783.06</v>
      </c>
      <c r="F321" s="813" t="e">
        <f>#REF!</f>
        <v>#REF!</v>
      </c>
      <c r="G321" s="820" t="str">
        <f>G80</f>
        <v>A.4.1.1.17.</v>
      </c>
      <c r="H321" s="746">
        <f>H80</f>
        <v>20849.5</v>
      </c>
      <c r="I321" s="747">
        <f>H321*E321</f>
        <v>245670909.47</v>
      </c>
      <c r="J321" s="786"/>
      <c r="N321" s="807"/>
    </row>
    <row r="322" spans="2:20" x14ac:dyDescent="0.3">
      <c r="B322" s="825"/>
      <c r="C322" s="808" t="s">
        <v>149</v>
      </c>
      <c r="D322" s="784" t="s">
        <v>197</v>
      </c>
      <c r="E322" s="813" t="e">
        <f>E216</f>
        <v>#REF!</v>
      </c>
      <c r="F322" s="813" t="e">
        <f>#REF!</f>
        <v>#REF!</v>
      </c>
      <c r="G322" s="820" t="str">
        <f>G216</f>
        <v>A.4.1.1.24A</v>
      </c>
      <c r="H322" s="820">
        <f>H216</f>
        <v>428264.31</v>
      </c>
      <c r="I322" s="747" t="e">
        <f>H322*E322</f>
        <v>#REF!</v>
      </c>
      <c r="J322" s="786"/>
      <c r="N322" s="807"/>
    </row>
    <row r="323" spans="2:20" ht="17.25" thickBot="1" x14ac:dyDescent="0.35">
      <c r="B323" s="825"/>
      <c r="C323" s="947"/>
      <c r="D323" s="784"/>
      <c r="E323" s="813"/>
      <c r="F323" s="813"/>
      <c r="G323" s="820"/>
      <c r="H323" s="821"/>
      <c r="I323" s="747"/>
      <c r="J323" s="786"/>
    </row>
    <row r="324" spans="2:20" ht="17.25" thickBot="1" x14ac:dyDescent="0.35">
      <c r="B324" s="795"/>
      <c r="C324" s="831"/>
      <c r="D324" s="832"/>
      <c r="E324" s="3064" t="s">
        <v>261</v>
      </c>
      <c r="F324" s="3064"/>
      <c r="G324" s="3064"/>
      <c r="H324" s="3065"/>
      <c r="I324" s="764" t="e">
        <f>SUM(I291:I323)</f>
        <v>#REF!</v>
      </c>
      <c r="J324" s="726"/>
      <c r="T324" s="807"/>
    </row>
    <row r="325" spans="2:20" x14ac:dyDescent="0.3">
      <c r="B325" s="773" t="s">
        <v>139</v>
      </c>
      <c r="C325" s="774" t="s">
        <v>212</v>
      </c>
      <c r="D325" s="775"/>
      <c r="E325" s="800"/>
      <c r="F325" s="801"/>
      <c r="G325" s="802"/>
      <c r="H325" s="803"/>
      <c r="I325" s="804"/>
      <c r="J325" s="786"/>
    </row>
    <row r="326" spans="2:20" x14ac:dyDescent="0.3">
      <c r="B326" s="782">
        <v>1</v>
      </c>
      <c r="C326" s="783" t="s">
        <v>213</v>
      </c>
      <c r="D326" s="784"/>
      <c r="E326" s="813">
        <f>'V.1 (3)'!T453</f>
        <v>776.56</v>
      </c>
      <c r="F326" s="813" t="e">
        <f>#REF!</f>
        <v>#REF!</v>
      </c>
      <c r="G326" s="820" t="e">
        <f>G221</f>
        <v>#REF!</v>
      </c>
      <c r="H326" s="821" t="e">
        <f>H221</f>
        <v>#REF!</v>
      </c>
      <c r="I326" s="747" t="e">
        <f t="shared" ref="I326:I331" si="32">H326*E326</f>
        <v>#REF!</v>
      </c>
      <c r="J326" s="786"/>
    </row>
    <row r="327" spans="2:20" x14ac:dyDescent="0.3">
      <c r="B327" s="782">
        <f>B326+1</f>
        <v>2</v>
      </c>
      <c r="C327" s="783" t="s">
        <v>214</v>
      </c>
      <c r="D327" s="784"/>
      <c r="E327" s="837">
        <f>'V.1 (3)'!T481</f>
        <v>1553.12</v>
      </c>
      <c r="F327" s="837" t="e">
        <f>#REF!</f>
        <v>#REF!</v>
      </c>
      <c r="G327" s="820" t="e">
        <f t="shared" ref="G327:H330" si="33">G221</f>
        <v>#REF!</v>
      </c>
      <c r="H327" s="820" t="e">
        <f t="shared" si="33"/>
        <v>#REF!</v>
      </c>
      <c r="I327" s="747" t="e">
        <f t="shared" si="32"/>
        <v>#REF!</v>
      </c>
      <c r="J327" s="786"/>
    </row>
    <row r="328" spans="2:20" x14ac:dyDescent="0.3">
      <c r="B328" s="782">
        <f>B327+1</f>
        <v>3</v>
      </c>
      <c r="C328" s="833" t="s">
        <v>195</v>
      </c>
      <c r="D328" s="834"/>
      <c r="E328" s="837">
        <f>'V.1 (3)'!T487</f>
        <v>546.52</v>
      </c>
      <c r="F328" s="837" t="e">
        <f>#REF!</f>
        <v>#REF!</v>
      </c>
      <c r="G328" s="820" t="e">
        <f t="shared" si="33"/>
        <v>#REF!</v>
      </c>
      <c r="H328" s="820" t="e">
        <f t="shared" si="33"/>
        <v>#REF!</v>
      </c>
      <c r="I328" s="747" t="e">
        <f t="shared" si="32"/>
        <v>#REF!</v>
      </c>
      <c r="J328" s="786"/>
    </row>
    <row r="329" spans="2:20" s="753" customFormat="1" x14ac:dyDescent="0.3">
      <c r="B329" s="782">
        <f>B328+1</f>
        <v>4</v>
      </c>
      <c r="C329" s="833" t="s">
        <v>738</v>
      </c>
      <c r="D329" s="834"/>
      <c r="E329" s="837">
        <f>'V.1 (3)'!T496</f>
        <v>228</v>
      </c>
      <c r="F329" s="837" t="e">
        <f>#REF!</f>
        <v>#REF!</v>
      </c>
      <c r="G329" s="820" t="e">
        <f t="shared" si="33"/>
        <v>#REF!</v>
      </c>
      <c r="H329" s="820" t="e">
        <f t="shared" si="33"/>
        <v>#REF!</v>
      </c>
      <c r="I329" s="747" t="e">
        <f t="shared" si="32"/>
        <v>#REF!</v>
      </c>
      <c r="J329" s="823"/>
      <c r="M329" s="754"/>
    </row>
    <row r="330" spans="2:20" x14ac:dyDescent="0.3">
      <c r="B330" s="782">
        <f>B329+1</f>
        <v>5</v>
      </c>
      <c r="C330" s="783" t="s">
        <v>704</v>
      </c>
      <c r="D330" s="784"/>
      <c r="E330" s="837">
        <f>'V.1 (3)'!T503</f>
        <v>8.4</v>
      </c>
      <c r="F330" s="837" t="e">
        <f>#REF!</f>
        <v>#REF!</v>
      </c>
      <c r="G330" s="820" t="e">
        <f t="shared" si="33"/>
        <v>#REF!</v>
      </c>
      <c r="H330" s="820" t="e">
        <f t="shared" si="33"/>
        <v>#REF!</v>
      </c>
      <c r="I330" s="747" t="e">
        <f t="shared" si="32"/>
        <v>#REF!</v>
      </c>
      <c r="J330" s="786"/>
    </row>
    <row r="331" spans="2:20" x14ac:dyDescent="0.3">
      <c r="B331" s="782">
        <f>B330+1</f>
        <v>6</v>
      </c>
      <c r="C331" s="833" t="s">
        <v>844</v>
      </c>
      <c r="D331" s="834"/>
      <c r="E331" s="835" t="e">
        <f>#REF!</f>
        <v>#REF!</v>
      </c>
      <c r="F331" s="835" t="e">
        <f>#REF!</f>
        <v>#REF!</v>
      </c>
      <c r="G331" s="836" t="e">
        <f>'R.Anl'!#REF!</f>
        <v>#REF!</v>
      </c>
      <c r="H331" s="820" t="e">
        <f>'R.Anl'!#REF!</f>
        <v>#REF!</v>
      </c>
      <c r="I331" s="747" t="e">
        <f t="shared" si="32"/>
        <v>#REF!</v>
      </c>
      <c r="J331" s="786"/>
    </row>
    <row r="332" spans="2:20" ht="17.25" thickBot="1" x14ac:dyDescent="0.35">
      <c r="B332" s="825"/>
      <c r="C332" s="833"/>
      <c r="D332" s="834"/>
      <c r="E332" s="835"/>
      <c r="F332" s="835"/>
      <c r="G332" s="836"/>
      <c r="H332" s="746"/>
      <c r="I332" s="747"/>
      <c r="J332" s="786"/>
    </row>
    <row r="333" spans="2:20" ht="17.25" thickBot="1" x14ac:dyDescent="0.35">
      <c r="B333" s="795"/>
      <c r="C333" s="796"/>
      <c r="D333" s="797"/>
      <c r="E333" s="3064" t="s">
        <v>262</v>
      </c>
      <c r="F333" s="3064"/>
      <c r="G333" s="3064"/>
      <c r="H333" s="3065"/>
      <c r="I333" s="764" t="e">
        <f>SUM(I325:I332)</f>
        <v>#REF!</v>
      </c>
      <c r="J333" s="726"/>
    </row>
    <row r="334" spans="2:20" s="862" customFormat="1" x14ac:dyDescent="0.3">
      <c r="B334" s="684" t="s">
        <v>140</v>
      </c>
      <c r="C334" s="948" t="s">
        <v>216</v>
      </c>
      <c r="D334" s="949"/>
      <c r="E334" s="950"/>
      <c r="F334" s="685"/>
      <c r="G334" s="685"/>
      <c r="H334" s="1084"/>
      <c r="I334" s="686"/>
    </row>
    <row r="335" spans="2:20" s="864" customFormat="1" x14ac:dyDescent="0.3">
      <c r="B335" s="935">
        <v>1</v>
      </c>
      <c r="C335" s="783" t="s">
        <v>585</v>
      </c>
      <c r="D335" s="936"/>
      <c r="E335" s="697"/>
      <c r="F335" s="337"/>
      <c r="G335" s="337"/>
      <c r="H335" s="1046"/>
      <c r="I335" s="689"/>
    </row>
    <row r="336" spans="2:20" s="864" customFormat="1" x14ac:dyDescent="0.3">
      <c r="B336" s="782"/>
      <c r="C336" s="783"/>
      <c r="D336" s="849" t="s">
        <v>761</v>
      </c>
      <c r="E336" s="687">
        <f>RAB!E229</f>
        <v>0.2</v>
      </c>
      <c r="F336" s="687" t="e">
        <f>#REF!</f>
        <v>#REF!</v>
      </c>
      <c r="G336" s="688" t="e">
        <f t="shared" ref="G336:H338" si="34">G229</f>
        <v>#REF!</v>
      </c>
      <c r="H336" s="688" t="e">
        <f t="shared" si="34"/>
        <v>#REF!</v>
      </c>
      <c r="I336" s="689" t="e">
        <f t="shared" ref="I336:I343" si="35">H336*E336</f>
        <v>#REF!</v>
      </c>
    </row>
    <row r="337" spans="2:13" s="864" customFormat="1" x14ac:dyDescent="0.3">
      <c r="B337" s="782"/>
      <c r="C337" s="783"/>
      <c r="D337" s="849" t="s">
        <v>850</v>
      </c>
      <c r="E337" s="687">
        <f>RAB!E230</f>
        <v>25.2</v>
      </c>
      <c r="F337" s="687" t="e">
        <f>#REF!</f>
        <v>#REF!</v>
      </c>
      <c r="G337" s="688" t="e">
        <f t="shared" si="34"/>
        <v>#REF!</v>
      </c>
      <c r="H337" s="688" t="e">
        <f t="shared" si="34"/>
        <v>#REF!</v>
      </c>
      <c r="I337" s="689" t="e">
        <f t="shared" si="35"/>
        <v>#REF!</v>
      </c>
    </row>
    <row r="338" spans="2:13" s="864" customFormat="1" x14ac:dyDescent="0.3">
      <c r="B338" s="782"/>
      <c r="C338" s="783"/>
      <c r="D338" s="849" t="s">
        <v>754</v>
      </c>
      <c r="E338" s="687">
        <f>RAB!E231</f>
        <v>48</v>
      </c>
      <c r="F338" s="687" t="e">
        <f>#REF!</f>
        <v>#REF!</v>
      </c>
      <c r="G338" s="688" t="e">
        <f t="shared" si="34"/>
        <v>#REF!</v>
      </c>
      <c r="H338" s="688" t="e">
        <f t="shared" si="34"/>
        <v>#REF!</v>
      </c>
      <c r="I338" s="689" t="e">
        <f t="shared" si="35"/>
        <v>#REF!</v>
      </c>
    </row>
    <row r="339" spans="2:13" s="864" customFormat="1" x14ac:dyDescent="0.3">
      <c r="B339" s="782"/>
      <c r="C339" s="783"/>
      <c r="D339" s="849" t="s">
        <v>851</v>
      </c>
      <c r="E339" s="687">
        <f>RAB!E232</f>
        <v>8</v>
      </c>
      <c r="F339" s="687" t="e">
        <f>#REF!</f>
        <v>#REF!</v>
      </c>
      <c r="G339" s="688" t="e">
        <f>G232</f>
        <v>#REF!</v>
      </c>
      <c r="H339" s="688" t="e">
        <f>H232</f>
        <v>#REF!</v>
      </c>
      <c r="I339" s="689" t="e">
        <f t="shared" si="35"/>
        <v>#REF!</v>
      </c>
    </row>
    <row r="340" spans="2:13" s="864" customFormat="1" x14ac:dyDescent="0.3">
      <c r="B340" s="782"/>
      <c r="C340" s="783"/>
      <c r="D340" s="849" t="s">
        <v>755</v>
      </c>
      <c r="E340" s="687">
        <f>RAB!E233</f>
        <v>8</v>
      </c>
      <c r="F340" s="687" t="e">
        <f>#REF!</f>
        <v>#REF!</v>
      </c>
      <c r="G340" s="688" t="e">
        <f>G233</f>
        <v>#REF!</v>
      </c>
      <c r="H340" s="688" t="e">
        <f>H233</f>
        <v>#REF!</v>
      </c>
      <c r="I340" s="689" t="e">
        <f t="shared" si="35"/>
        <v>#REF!</v>
      </c>
    </row>
    <row r="341" spans="2:13" s="753" customFormat="1" x14ac:dyDescent="0.3">
      <c r="B341" s="847"/>
      <c r="C341" s="848"/>
      <c r="D341" s="849" t="s">
        <v>853</v>
      </c>
      <c r="E341" s="687">
        <f>RAB!E234</f>
        <v>8</v>
      </c>
      <c r="F341" s="687" t="e">
        <f>#REF!</f>
        <v>#REF!</v>
      </c>
      <c r="G341" s="820" t="e">
        <f>G105</f>
        <v>#REF!</v>
      </c>
      <c r="H341" s="746" t="e">
        <f>H105</f>
        <v>#REF!</v>
      </c>
      <c r="I341" s="747" t="e">
        <f t="shared" si="35"/>
        <v>#REF!</v>
      </c>
      <c r="J341" s="823"/>
      <c r="M341" s="754"/>
    </row>
    <row r="342" spans="2:13" s="864" customFormat="1" x14ac:dyDescent="0.3">
      <c r="B342" s="935">
        <f>B335+1</f>
        <v>2</v>
      </c>
      <c r="C342" s="783" t="s">
        <v>766</v>
      </c>
      <c r="D342" s="936"/>
      <c r="E342" s="687">
        <f>RAB!E235</f>
        <v>114.4</v>
      </c>
      <c r="F342" s="687" t="e">
        <f>#REF!</f>
        <v>#REF!</v>
      </c>
      <c r="G342" s="688" t="str">
        <f>G235</f>
        <v>Uph-Bhn</v>
      </c>
      <c r="H342" s="688">
        <f>H235</f>
        <v>1750000</v>
      </c>
      <c r="I342" s="689">
        <f t="shared" si="35"/>
        <v>200200000</v>
      </c>
    </row>
    <row r="343" spans="2:13" s="864" customFormat="1" x14ac:dyDescent="0.3">
      <c r="B343" s="935">
        <f>B342+1</f>
        <v>3</v>
      </c>
      <c r="C343" s="783" t="s">
        <v>767</v>
      </c>
      <c r="D343" s="936"/>
      <c r="E343" s="687">
        <f>RAB!E236</f>
        <v>6.24</v>
      </c>
      <c r="F343" s="697" t="e">
        <f>#REF!</f>
        <v>#REF!</v>
      </c>
      <c r="G343" s="337" t="str">
        <f>G236</f>
        <v>Uph-Bhn</v>
      </c>
      <c r="H343" s="1046">
        <f>H236</f>
        <v>1750000</v>
      </c>
      <c r="I343" s="689">
        <f t="shared" si="35"/>
        <v>10920000</v>
      </c>
    </row>
    <row r="344" spans="2:13" s="951" customFormat="1" ht="17.25" thickBot="1" x14ac:dyDescent="0.35">
      <c r="B344" s="952"/>
      <c r="C344" s="953"/>
      <c r="D344" s="954"/>
      <c r="E344" s="955"/>
      <c r="F344" s="955"/>
      <c r="G344" s="1085"/>
      <c r="H344" s="793"/>
      <c r="I344" s="760"/>
      <c r="J344" s="823"/>
      <c r="M344" s="754"/>
    </row>
    <row r="345" spans="2:13" ht="17.25" thickBot="1" x14ac:dyDescent="0.35">
      <c r="B345" s="940"/>
      <c r="C345" s="796"/>
      <c r="D345" s="797"/>
      <c r="E345" s="3064" t="s">
        <v>263</v>
      </c>
      <c r="F345" s="3064"/>
      <c r="G345" s="3064"/>
      <c r="H345" s="3065"/>
      <c r="I345" s="764" t="e">
        <f>SUM(I334:I344)</f>
        <v>#REF!</v>
      </c>
      <c r="J345" s="726"/>
    </row>
    <row r="346" spans="2:13" x14ac:dyDescent="0.3">
      <c r="B346" s="854" t="s">
        <v>141</v>
      </c>
      <c r="C346" s="855" t="s">
        <v>218</v>
      </c>
      <c r="D346" s="856"/>
      <c r="E346" s="857"/>
      <c r="F346" s="738"/>
      <c r="G346" s="1078"/>
      <c r="H346" s="739"/>
      <c r="I346" s="740"/>
      <c r="J346" s="786"/>
    </row>
    <row r="347" spans="2:13" x14ac:dyDescent="0.3">
      <c r="B347" s="780">
        <v>1</v>
      </c>
      <c r="C347" s="783" t="s">
        <v>1334</v>
      </c>
      <c r="D347" s="784"/>
      <c r="E347" s="812">
        <f>'V.1 (3)'!T566</f>
        <v>678.92</v>
      </c>
      <c r="F347" s="813" t="e">
        <f>#REF!</f>
        <v>#REF!</v>
      </c>
      <c r="G347" s="820" t="e">
        <f t="shared" ref="G347:H349" si="36">G240</f>
        <v>#REF!</v>
      </c>
      <c r="H347" s="746" t="e">
        <f t="shared" si="36"/>
        <v>#REF!</v>
      </c>
      <c r="I347" s="747" t="e">
        <f>E347*H347</f>
        <v>#REF!</v>
      </c>
      <c r="J347" s="786"/>
    </row>
    <row r="348" spans="2:13" x14ac:dyDescent="0.3">
      <c r="B348" s="780">
        <f>B347+1</f>
        <v>2</v>
      </c>
      <c r="C348" s="783" t="s">
        <v>740</v>
      </c>
      <c r="D348" s="834"/>
      <c r="E348" s="813">
        <f>'V.1 (3)'!T587</f>
        <v>59.2</v>
      </c>
      <c r="F348" s="813" t="e">
        <f>#REF!</f>
        <v>#REF!</v>
      </c>
      <c r="G348" s="820" t="e">
        <f t="shared" si="36"/>
        <v>#REF!</v>
      </c>
      <c r="H348" s="746" t="e">
        <f t="shared" si="36"/>
        <v>#REF!</v>
      </c>
      <c r="I348" s="747" t="e">
        <f>E348*H348</f>
        <v>#REF!</v>
      </c>
      <c r="J348" s="786"/>
    </row>
    <row r="349" spans="2:13" x14ac:dyDescent="0.3">
      <c r="B349" s="780">
        <f>B348+1</f>
        <v>3</v>
      </c>
      <c r="C349" s="783" t="s">
        <v>1341</v>
      </c>
      <c r="D349" s="834"/>
      <c r="E349" s="837">
        <f>'V.1 (3)'!T593</f>
        <v>13.6</v>
      </c>
      <c r="F349" s="837" t="e">
        <f>#REF!</f>
        <v>#REF!</v>
      </c>
      <c r="G349" s="820" t="e">
        <f t="shared" si="36"/>
        <v>#REF!</v>
      </c>
      <c r="H349" s="746" t="e">
        <f t="shared" si="36"/>
        <v>#REF!</v>
      </c>
      <c r="I349" s="747" t="e">
        <f>E349*H349</f>
        <v>#REF!</v>
      </c>
      <c r="J349" s="786"/>
    </row>
    <row r="350" spans="2:13" x14ac:dyDescent="0.3">
      <c r="B350" s="780">
        <f>B349+1</f>
        <v>4</v>
      </c>
      <c r="C350" s="783" t="s">
        <v>1339</v>
      </c>
      <c r="D350" s="834"/>
      <c r="E350" s="837">
        <f>'V.1 (3)'!T599</f>
        <v>145.6</v>
      </c>
      <c r="F350" s="837" t="e">
        <f>#REF!</f>
        <v>#REF!</v>
      </c>
      <c r="G350" s="836" t="e">
        <f>G242</f>
        <v>#REF!</v>
      </c>
      <c r="H350" s="836" t="e">
        <f>H242</f>
        <v>#REF!</v>
      </c>
      <c r="I350" s="838" t="e">
        <f>E350*H350</f>
        <v>#REF!</v>
      </c>
      <c r="J350" s="786"/>
    </row>
    <row r="351" spans="2:13" ht="17.25" thickBot="1" x14ac:dyDescent="0.35">
      <c r="B351" s="788"/>
      <c r="C351" s="859"/>
      <c r="D351" s="790"/>
      <c r="E351" s="791"/>
      <c r="F351" s="791"/>
      <c r="G351" s="829"/>
      <c r="H351" s="793"/>
      <c r="I351" s="794"/>
      <c r="J351" s="786"/>
    </row>
    <row r="352" spans="2:13" ht="17.25" thickBot="1" x14ac:dyDescent="0.35">
      <c r="B352" s="795"/>
      <c r="C352" s="796"/>
      <c r="D352" s="797"/>
      <c r="E352" s="3064" t="s">
        <v>264</v>
      </c>
      <c r="F352" s="3064"/>
      <c r="G352" s="3064"/>
      <c r="H352" s="3065"/>
      <c r="I352" s="764" t="e">
        <f>SUM(I346:I351)</f>
        <v>#REF!</v>
      </c>
      <c r="J352" s="726"/>
    </row>
    <row r="353" spans="2:14" x14ac:dyDescent="0.3">
      <c r="B353" s="854" t="s">
        <v>143</v>
      </c>
      <c r="C353" s="855" t="s">
        <v>587</v>
      </c>
      <c r="D353" s="856"/>
      <c r="E353" s="857"/>
      <c r="F353" s="738"/>
      <c r="G353" s="1078"/>
      <c r="H353" s="739"/>
      <c r="I353" s="740"/>
      <c r="J353" s="786"/>
    </row>
    <row r="354" spans="2:14" x14ac:dyDescent="0.3">
      <c r="B354" s="782">
        <v>1</v>
      </c>
      <c r="C354" s="858" t="s">
        <v>714</v>
      </c>
      <c r="D354" s="784"/>
      <c r="E354" s="785">
        <f>'V.1 (3)'!T607</f>
        <v>542.55999999999995</v>
      </c>
      <c r="F354" s="785" t="e">
        <f>#REF!</f>
        <v>#REF!</v>
      </c>
      <c r="G354" s="820" t="e">
        <f>'R.Anl'!#REF!</f>
        <v>#REF!</v>
      </c>
      <c r="H354" s="746" t="e">
        <f>'R.Anl'!#REF!</f>
        <v>#REF!</v>
      </c>
      <c r="I354" s="747" t="e">
        <f>H354*E354</f>
        <v>#REF!</v>
      </c>
      <c r="J354" s="786"/>
    </row>
    <row r="355" spans="2:14" x14ac:dyDescent="0.3">
      <c r="B355" s="782">
        <f>B354+1</f>
        <v>2</v>
      </c>
      <c r="C355" s="784" t="s">
        <v>602</v>
      </c>
      <c r="D355" s="784"/>
      <c r="E355" s="785">
        <f>'V.1 (3)'!T617</f>
        <v>542.55999999999995</v>
      </c>
      <c r="F355" s="785" t="e">
        <f>#REF!</f>
        <v>#REF!</v>
      </c>
      <c r="G355" s="820" t="e">
        <f>'R.Anl'!#REF!</f>
        <v>#REF!</v>
      </c>
      <c r="H355" s="746" t="e">
        <f>'R.Anl'!#REF!</f>
        <v>#REF!</v>
      </c>
      <c r="I355" s="747" t="e">
        <f>H355*E355</f>
        <v>#REF!</v>
      </c>
      <c r="J355" s="786"/>
    </row>
    <row r="356" spans="2:14" ht="17.25" thickBot="1" x14ac:dyDescent="0.35">
      <c r="B356" s="825"/>
      <c r="C356" s="833"/>
      <c r="D356" s="834"/>
      <c r="E356" s="835"/>
      <c r="F356" s="835"/>
      <c r="G356" s="820"/>
      <c r="H356" s="746"/>
      <c r="I356" s="747"/>
      <c r="J356" s="786"/>
      <c r="K356" s="712"/>
      <c r="L356" s="712"/>
      <c r="M356" s="956"/>
      <c r="N356" s="712"/>
    </row>
    <row r="357" spans="2:14" ht="17.25" thickBot="1" x14ac:dyDescent="0.35">
      <c r="B357" s="795"/>
      <c r="C357" s="831"/>
      <c r="D357" s="832"/>
      <c r="E357" s="3064" t="s">
        <v>588</v>
      </c>
      <c r="F357" s="3064"/>
      <c r="G357" s="3064"/>
      <c r="H357" s="3065"/>
      <c r="I357" s="764" t="e">
        <f>SUM(I353:I356)</f>
        <v>#REF!</v>
      </c>
      <c r="J357" s="726"/>
      <c r="K357" s="712"/>
      <c r="L357" s="712"/>
      <c r="M357" s="956"/>
      <c r="N357" s="712"/>
    </row>
    <row r="358" spans="2:14" x14ac:dyDescent="0.3">
      <c r="B358" s="854" t="s">
        <v>144</v>
      </c>
      <c r="C358" s="855" t="s">
        <v>142</v>
      </c>
      <c r="D358" s="856"/>
      <c r="E358" s="857"/>
      <c r="F358" s="738"/>
      <c r="G358" s="1078"/>
      <c r="H358" s="739"/>
      <c r="I358" s="740"/>
      <c r="J358" s="786"/>
      <c r="K358" s="712"/>
      <c r="L358" s="712"/>
      <c r="M358" s="956"/>
      <c r="N358" s="712"/>
    </row>
    <row r="359" spans="2:14" x14ac:dyDescent="0.3">
      <c r="B359" s="782">
        <v>1</v>
      </c>
      <c r="C359" s="783" t="s">
        <v>703</v>
      </c>
      <c r="D359" s="784"/>
      <c r="E359" s="785">
        <f>'V.1 (3)'!T624</f>
        <v>240.56</v>
      </c>
      <c r="F359" s="785" t="e">
        <f>#REF!</f>
        <v>#REF!</v>
      </c>
      <c r="G359" s="820" t="e">
        <f t="shared" ref="G359:H362" si="37">G252</f>
        <v>#REF!</v>
      </c>
      <c r="H359" s="821" t="e">
        <f t="shared" si="37"/>
        <v>#REF!</v>
      </c>
      <c r="I359" s="747" t="e">
        <f>E359*H359</f>
        <v>#REF!</v>
      </c>
      <c r="J359" s="786"/>
      <c r="K359" s="712"/>
      <c r="L359" s="712"/>
      <c r="M359" s="713"/>
      <c r="N359" s="712"/>
    </row>
    <row r="360" spans="2:14" x14ac:dyDescent="0.3">
      <c r="B360" s="782">
        <f>B359+1</f>
        <v>2</v>
      </c>
      <c r="C360" s="783" t="s">
        <v>701</v>
      </c>
      <c r="D360" s="784"/>
      <c r="E360" s="785">
        <f>'V.1 (3)'!T636</f>
        <v>776.56</v>
      </c>
      <c r="F360" s="785" t="e">
        <f>#REF!</f>
        <v>#REF!</v>
      </c>
      <c r="G360" s="820" t="e">
        <f t="shared" si="37"/>
        <v>#REF!</v>
      </c>
      <c r="H360" s="821" t="e">
        <f t="shared" si="37"/>
        <v>#REF!</v>
      </c>
      <c r="I360" s="747" t="e">
        <f>E360*H360</f>
        <v>#REF!</v>
      </c>
      <c r="J360" s="786"/>
      <c r="K360" s="712"/>
      <c r="L360" s="712"/>
      <c r="M360" s="713"/>
      <c r="N360" s="712"/>
    </row>
    <row r="361" spans="2:14" x14ac:dyDescent="0.3">
      <c r="B361" s="782">
        <f>B360+1</f>
        <v>3</v>
      </c>
      <c r="C361" s="783" t="s">
        <v>702</v>
      </c>
      <c r="D361" s="784"/>
      <c r="E361" s="785">
        <f>'V.1 (3)'!T642</f>
        <v>656.06399999999996</v>
      </c>
      <c r="F361" s="785" t="e">
        <f>F354</f>
        <v>#REF!</v>
      </c>
      <c r="G361" s="820" t="e">
        <f t="shared" si="37"/>
        <v>#REF!</v>
      </c>
      <c r="H361" s="821" t="e">
        <f t="shared" si="37"/>
        <v>#REF!</v>
      </c>
      <c r="I361" s="747" t="e">
        <f>E361*H361</f>
        <v>#REF!</v>
      </c>
      <c r="J361" s="786"/>
      <c r="K361" s="712"/>
      <c r="L361" s="712"/>
      <c r="M361" s="713"/>
      <c r="N361" s="712"/>
    </row>
    <row r="362" spans="2:14" x14ac:dyDescent="0.3">
      <c r="B362" s="782">
        <f>B361+1</f>
        <v>4</v>
      </c>
      <c r="C362" s="783" t="s">
        <v>746</v>
      </c>
      <c r="D362" s="784"/>
      <c r="E362" s="785">
        <f>'V.1 (3)'!T649</f>
        <v>70.92</v>
      </c>
      <c r="F362" s="785" t="e">
        <f>#REF!</f>
        <v>#REF!</v>
      </c>
      <c r="G362" s="820" t="e">
        <f t="shared" si="37"/>
        <v>#REF!</v>
      </c>
      <c r="H362" s="821" t="e">
        <f t="shared" si="37"/>
        <v>#REF!</v>
      </c>
      <c r="I362" s="747" t="e">
        <f>E362*H362</f>
        <v>#REF!</v>
      </c>
      <c r="J362" s="786"/>
      <c r="K362" s="712"/>
      <c r="L362" s="712"/>
      <c r="M362" s="713"/>
      <c r="N362" s="712"/>
    </row>
    <row r="363" spans="2:14" ht="17.25" thickBot="1" x14ac:dyDescent="0.35">
      <c r="B363" s="788"/>
      <c r="C363" s="859"/>
      <c r="D363" s="790"/>
      <c r="E363" s="791"/>
      <c r="F363" s="791"/>
      <c r="G363" s="829"/>
      <c r="H363" s="793"/>
      <c r="I363" s="794"/>
      <c r="J363" s="786"/>
      <c r="K363" s="712"/>
      <c r="L363" s="712"/>
      <c r="M363" s="956"/>
      <c r="N363" s="712"/>
    </row>
    <row r="364" spans="2:14" ht="17.25" thickBot="1" x14ac:dyDescent="0.35">
      <c r="B364" s="795"/>
      <c r="C364" s="831"/>
      <c r="D364" s="832"/>
      <c r="E364" s="3064" t="s">
        <v>598</v>
      </c>
      <c r="F364" s="3064"/>
      <c r="G364" s="3064"/>
      <c r="H364" s="3065"/>
      <c r="I364" s="764" t="e">
        <f>SUM(I358:I363)</f>
        <v>#REF!</v>
      </c>
      <c r="J364" s="726"/>
    </row>
    <row r="365" spans="2:14" x14ac:dyDescent="0.3">
      <c r="B365" s="854" t="s">
        <v>145</v>
      </c>
      <c r="C365" s="774" t="s">
        <v>251</v>
      </c>
      <c r="D365" s="775"/>
      <c r="E365" s="800"/>
      <c r="F365" s="801"/>
      <c r="G365" s="802"/>
      <c r="H365" s="803"/>
      <c r="I365" s="804"/>
      <c r="J365" s="786"/>
    </row>
    <row r="366" spans="2:14" s="753" customFormat="1" x14ac:dyDescent="0.3">
      <c r="B366" s="941">
        <v>1</v>
      </c>
      <c r="C366" s="1047" t="s">
        <v>773</v>
      </c>
      <c r="D366" s="784"/>
      <c r="E366" s="813"/>
      <c r="F366" s="813"/>
      <c r="G366" s="820"/>
      <c r="H366" s="746"/>
      <c r="I366" s="747"/>
      <c r="J366" s="823"/>
      <c r="M366" s="754"/>
    </row>
    <row r="367" spans="2:14" s="753" customFormat="1" x14ac:dyDescent="0.3">
      <c r="B367" s="941"/>
      <c r="C367" s="1047"/>
      <c r="D367" s="1060" t="s">
        <v>823</v>
      </c>
      <c r="E367" s="813" t="e">
        <f>#REF!</f>
        <v>#REF!</v>
      </c>
      <c r="F367" s="813" t="e">
        <f>#REF!</f>
        <v>#REF!</v>
      </c>
      <c r="G367" s="820" t="e">
        <f t="shared" ref="G367:H371" si="38">G260</f>
        <v>#REF!</v>
      </c>
      <c r="H367" s="820" t="e">
        <f t="shared" si="38"/>
        <v>#REF!</v>
      </c>
      <c r="I367" s="747" t="e">
        <f>E367*H367</f>
        <v>#REF!</v>
      </c>
      <c r="J367" s="823"/>
      <c r="M367" s="754"/>
    </row>
    <row r="368" spans="2:14" s="753" customFormat="1" x14ac:dyDescent="0.3">
      <c r="B368" s="941"/>
      <c r="C368" s="1047"/>
      <c r="D368" s="1060" t="s">
        <v>824</v>
      </c>
      <c r="E368" s="813" t="e">
        <f>#REF!</f>
        <v>#REF!</v>
      </c>
      <c r="F368" s="813" t="e">
        <f>#REF!</f>
        <v>#REF!</v>
      </c>
      <c r="G368" s="820" t="e">
        <f t="shared" si="38"/>
        <v>#REF!</v>
      </c>
      <c r="H368" s="820" t="e">
        <f t="shared" si="38"/>
        <v>#REF!</v>
      </c>
      <c r="I368" s="747" t="e">
        <f t="shared" ref="I368:I375" si="39">E368*H368</f>
        <v>#REF!</v>
      </c>
      <c r="J368" s="823"/>
      <c r="M368" s="754"/>
    </row>
    <row r="369" spans="1:13" s="753" customFormat="1" x14ac:dyDescent="0.3">
      <c r="B369" s="941"/>
      <c r="C369" s="1047"/>
      <c r="D369" s="1060" t="s">
        <v>825</v>
      </c>
      <c r="E369" s="813" t="e">
        <f>#REF!</f>
        <v>#REF!</v>
      </c>
      <c r="F369" s="813" t="e">
        <f>#REF!</f>
        <v>#REF!</v>
      </c>
      <c r="G369" s="820" t="e">
        <f t="shared" si="38"/>
        <v>#REF!</v>
      </c>
      <c r="H369" s="820" t="e">
        <f t="shared" si="38"/>
        <v>#REF!</v>
      </c>
      <c r="I369" s="747" t="e">
        <f t="shared" si="39"/>
        <v>#REF!</v>
      </c>
      <c r="J369" s="823"/>
      <c r="M369" s="754"/>
    </row>
    <row r="370" spans="1:13" s="753" customFormat="1" x14ac:dyDescent="0.3">
      <c r="B370" s="941"/>
      <c r="C370" s="1047"/>
      <c r="D370" s="1060" t="s">
        <v>774</v>
      </c>
      <c r="E370" s="813" t="e">
        <f>#REF!</f>
        <v>#REF!</v>
      </c>
      <c r="F370" s="813" t="e">
        <f>#REF!</f>
        <v>#REF!</v>
      </c>
      <c r="G370" s="820" t="e">
        <f t="shared" si="38"/>
        <v>#REF!</v>
      </c>
      <c r="H370" s="820" t="e">
        <f t="shared" si="38"/>
        <v>#REF!</v>
      </c>
      <c r="I370" s="747" t="e">
        <f t="shared" si="39"/>
        <v>#REF!</v>
      </c>
      <c r="J370" s="823"/>
      <c r="M370" s="754"/>
    </row>
    <row r="371" spans="1:13" s="753" customFormat="1" x14ac:dyDescent="0.3">
      <c r="B371" s="941"/>
      <c r="C371" s="1047"/>
      <c r="D371" s="1060" t="s">
        <v>826</v>
      </c>
      <c r="E371" s="813" t="e">
        <f>#REF!</f>
        <v>#REF!</v>
      </c>
      <c r="F371" s="813" t="e">
        <f>#REF!</f>
        <v>#REF!</v>
      </c>
      <c r="G371" s="820" t="e">
        <f t="shared" si="38"/>
        <v>#REF!</v>
      </c>
      <c r="H371" s="820" t="e">
        <f t="shared" si="38"/>
        <v>#REF!</v>
      </c>
      <c r="I371" s="747" t="e">
        <f t="shared" si="39"/>
        <v>#REF!</v>
      </c>
      <c r="J371" s="823"/>
      <c r="M371" s="754"/>
    </row>
    <row r="372" spans="1:13" s="753" customFormat="1" x14ac:dyDescent="0.3">
      <c r="B372" s="941">
        <f>B366+1</f>
        <v>2</v>
      </c>
      <c r="C372" s="1047" t="s">
        <v>776</v>
      </c>
      <c r="D372" s="784"/>
      <c r="E372" s="813"/>
      <c r="F372" s="813"/>
      <c r="G372" s="820"/>
      <c r="H372" s="820"/>
      <c r="I372" s="747"/>
      <c r="J372" s="823"/>
      <c r="M372" s="754"/>
    </row>
    <row r="373" spans="1:13" s="753" customFormat="1" x14ac:dyDescent="0.3">
      <c r="B373" s="941"/>
      <c r="C373" s="1047"/>
      <c r="D373" s="1048" t="s">
        <v>777</v>
      </c>
      <c r="E373" s="813" t="e">
        <f>#REF!</f>
        <v>#REF!</v>
      </c>
      <c r="F373" s="813" t="e">
        <f>#REF!</f>
        <v>#REF!</v>
      </c>
      <c r="G373" s="820" t="e">
        <f t="shared" ref="G373:H375" si="40">G266</f>
        <v>#REF!</v>
      </c>
      <c r="H373" s="820" t="e">
        <f t="shared" si="40"/>
        <v>#REF!</v>
      </c>
      <c r="I373" s="747" t="e">
        <f t="shared" si="39"/>
        <v>#REF!</v>
      </c>
      <c r="J373" s="823"/>
      <c r="M373" s="754"/>
    </row>
    <row r="374" spans="1:13" s="753" customFormat="1" x14ac:dyDescent="0.3">
      <c r="B374" s="941"/>
      <c r="C374" s="1047"/>
      <c r="D374" s="1048" t="s">
        <v>778</v>
      </c>
      <c r="E374" s="813" t="e">
        <f>#REF!</f>
        <v>#REF!</v>
      </c>
      <c r="F374" s="813" t="e">
        <f>#REF!</f>
        <v>#REF!</v>
      </c>
      <c r="G374" s="820" t="e">
        <f t="shared" si="40"/>
        <v>#REF!</v>
      </c>
      <c r="H374" s="820" t="e">
        <f t="shared" si="40"/>
        <v>#REF!</v>
      </c>
      <c r="I374" s="747" t="e">
        <f t="shared" si="39"/>
        <v>#REF!</v>
      </c>
      <c r="J374" s="823"/>
      <c r="M374" s="754"/>
    </row>
    <row r="375" spans="1:13" s="753" customFormat="1" x14ac:dyDescent="0.3">
      <c r="B375" s="941"/>
      <c r="C375" s="1047"/>
      <c r="D375" s="1048" t="s">
        <v>779</v>
      </c>
      <c r="E375" s="813" t="e">
        <f>#REF!</f>
        <v>#REF!</v>
      </c>
      <c r="F375" s="813" t="e">
        <f>#REF!</f>
        <v>#REF!</v>
      </c>
      <c r="G375" s="820" t="e">
        <f t="shared" si="40"/>
        <v>#REF!</v>
      </c>
      <c r="H375" s="820" t="e">
        <f t="shared" si="40"/>
        <v>#REF!</v>
      </c>
      <c r="I375" s="747" t="e">
        <f t="shared" si="39"/>
        <v>#REF!</v>
      </c>
      <c r="J375" s="823"/>
      <c r="M375" s="754"/>
    </row>
    <row r="376" spans="1:13" s="753" customFormat="1" x14ac:dyDescent="0.3">
      <c r="B376" s="941">
        <f>B372+1</f>
        <v>3</v>
      </c>
      <c r="C376" s="1047" t="s">
        <v>780</v>
      </c>
      <c r="D376" s="784"/>
      <c r="E376" s="813" t="e">
        <f>#REF!</f>
        <v>#REF!</v>
      </c>
      <c r="F376" s="813" t="e">
        <f>#REF!</f>
        <v>#REF!</v>
      </c>
      <c r="G376" s="820" t="e">
        <f>'R.Anl'!#REF!</f>
        <v>#REF!</v>
      </c>
      <c r="H376" s="746" t="e">
        <f>'R.Anl'!#REF!</f>
        <v>#REF!</v>
      </c>
      <c r="I376" s="747" t="e">
        <f>H376*E376</f>
        <v>#REF!</v>
      </c>
      <c r="J376" s="823"/>
      <c r="M376" s="754"/>
    </row>
    <row r="377" spans="1:13" s="753" customFormat="1" x14ac:dyDescent="0.3">
      <c r="B377" s="941">
        <f>B376+1</f>
        <v>4</v>
      </c>
      <c r="C377" s="1047" t="s">
        <v>782</v>
      </c>
      <c r="D377" s="784"/>
      <c r="E377" s="813" t="e">
        <f>#REF!</f>
        <v>#REF!</v>
      </c>
      <c r="F377" s="813" t="e">
        <f>#REF!</f>
        <v>#REF!</v>
      </c>
      <c r="G377" s="820" t="e">
        <f>'R.Anl'!#REF!</f>
        <v>#REF!</v>
      </c>
      <c r="H377" s="746" t="e">
        <f>'R.Anl'!#REF!</f>
        <v>#REF!</v>
      </c>
      <c r="I377" s="747" t="e">
        <f>H377*E377</f>
        <v>#REF!</v>
      </c>
      <c r="J377" s="823"/>
      <c r="M377" s="754"/>
    </row>
    <row r="378" spans="1:13" s="753" customFormat="1" x14ac:dyDescent="0.3">
      <c r="B378" s="941">
        <f>B377+1</f>
        <v>5</v>
      </c>
      <c r="C378" s="1047" t="s">
        <v>781</v>
      </c>
      <c r="D378" s="784"/>
      <c r="E378" s="813" t="e">
        <f>#REF!</f>
        <v>#REF!</v>
      </c>
      <c r="F378" s="813" t="e">
        <f>#REF!</f>
        <v>#REF!</v>
      </c>
      <c r="G378" s="820" t="e">
        <f>'R.Anl'!#REF!</f>
        <v>#REF!</v>
      </c>
      <c r="H378" s="746" t="e">
        <f>'R.Anl'!#REF!</f>
        <v>#REF!</v>
      </c>
      <c r="I378" s="747" t="e">
        <f>H378*E378</f>
        <v>#REF!</v>
      </c>
      <c r="J378" s="823"/>
      <c r="M378" s="754"/>
    </row>
    <row r="379" spans="1:13" s="753" customFormat="1" x14ac:dyDescent="0.3">
      <c r="B379" s="941">
        <f>B378+1</f>
        <v>6</v>
      </c>
      <c r="C379" s="1047" t="s">
        <v>836</v>
      </c>
      <c r="D379" s="784"/>
      <c r="E379" s="813" t="e">
        <f>#REF!</f>
        <v>#REF!</v>
      </c>
      <c r="F379" s="813" t="e">
        <f>#REF!</f>
        <v>#REF!</v>
      </c>
      <c r="G379" s="820" t="e">
        <f>'R.Anl'!#REF!</f>
        <v>#REF!</v>
      </c>
      <c r="H379" s="746" t="e">
        <f>'R.Anl'!#REF!</f>
        <v>#REF!</v>
      </c>
      <c r="I379" s="747" t="e">
        <f>H379*E379</f>
        <v>#REF!</v>
      </c>
      <c r="J379" s="823"/>
      <c r="M379" s="754"/>
    </row>
    <row r="380" spans="1:13" s="753" customFormat="1" ht="17.25" thickBot="1" x14ac:dyDescent="0.35">
      <c r="B380" s="865"/>
      <c r="C380" s="848"/>
      <c r="D380" s="866"/>
      <c r="E380" s="813"/>
      <c r="F380" s="813"/>
      <c r="G380" s="820"/>
      <c r="H380" s="746"/>
      <c r="I380" s="747"/>
      <c r="J380" s="823"/>
      <c r="M380" s="754"/>
    </row>
    <row r="381" spans="1:13" ht="17.25" thickBot="1" x14ac:dyDescent="0.35">
      <c r="B381" s="795"/>
      <c r="C381" s="831"/>
      <c r="D381" s="832"/>
      <c r="E381" s="3064" t="s">
        <v>265</v>
      </c>
      <c r="F381" s="3064"/>
      <c r="G381" s="3064"/>
      <c r="H381" s="3065"/>
      <c r="I381" s="764" t="e">
        <f>SUM(I366:I380)</f>
        <v>#REF!</v>
      </c>
      <c r="J381" s="726"/>
    </row>
    <row r="382" spans="1:13" x14ac:dyDescent="0.3">
      <c r="A382" s="879"/>
      <c r="B382" s="854" t="s">
        <v>827</v>
      </c>
      <c r="C382" s="855" t="s">
        <v>794</v>
      </c>
      <c r="D382" s="856"/>
      <c r="E382" s="857"/>
      <c r="F382" s="738"/>
      <c r="G382" s="1078"/>
      <c r="H382" s="739"/>
      <c r="I382" s="740"/>
      <c r="J382" s="786"/>
    </row>
    <row r="383" spans="1:13" s="887" customFormat="1" ht="15.75" customHeight="1" x14ac:dyDescent="0.3">
      <c r="A383" s="905"/>
      <c r="B383" s="1011">
        <v>1</v>
      </c>
      <c r="C383" s="922" t="s">
        <v>799</v>
      </c>
      <c r="D383" s="869"/>
      <c r="E383" s="883"/>
      <c r="F383" s="1018"/>
      <c r="G383" s="907"/>
      <c r="H383" s="1057"/>
      <c r="I383" s="885"/>
      <c r="J383" s="886"/>
    </row>
    <row r="384" spans="1:13" s="887" customFormat="1" ht="15.95" customHeight="1" x14ac:dyDescent="0.3">
      <c r="A384" s="1019"/>
      <c r="B384" s="963"/>
      <c r="C384" s="967" t="s">
        <v>834</v>
      </c>
      <c r="D384" s="869"/>
      <c r="E384" s="1006" t="e">
        <f>#REF!</f>
        <v>#REF!</v>
      </c>
      <c r="F384" s="1006" t="e">
        <f>#REF!</f>
        <v>#REF!</v>
      </c>
      <c r="G384" s="908" t="e">
        <f>'R.Anl'!#REF!</f>
        <v>#REF!</v>
      </c>
      <c r="H384" s="908" t="e">
        <f>'R.Anl'!#REF!</f>
        <v>#REF!</v>
      </c>
      <c r="I384" s="747" t="e">
        <f>H384*E384</f>
        <v>#REF!</v>
      </c>
      <c r="J384" s="886"/>
    </row>
    <row r="385" spans="1:21" s="1025" customFormat="1" ht="15.95" customHeight="1" x14ac:dyDescent="0.2">
      <c r="A385" s="1020"/>
      <c r="B385" s="964"/>
      <c r="C385" s="965"/>
      <c r="D385" s="966"/>
      <c r="E385" s="1021"/>
      <c r="F385" s="1021"/>
      <c r="G385" s="1022"/>
      <c r="H385" s="1022"/>
      <c r="I385" s="1023"/>
      <c r="J385" s="1024"/>
    </row>
    <row r="386" spans="1:21" s="887" customFormat="1" ht="15.95" customHeight="1" x14ac:dyDescent="0.3">
      <c r="A386" s="905"/>
      <c r="B386" s="1027">
        <f>B383+1</f>
        <v>2</v>
      </c>
      <c r="C386" s="922" t="s">
        <v>801</v>
      </c>
      <c r="D386" s="869"/>
      <c r="E386" s="1006"/>
      <c r="F386" s="1006"/>
      <c r="G386" s="883"/>
      <c r="H386" s="908"/>
      <c r="I386" s="885"/>
      <c r="J386" s="886"/>
      <c r="T386" s="914"/>
    </row>
    <row r="387" spans="1:21" s="910" customFormat="1" ht="16.5" customHeight="1" x14ac:dyDescent="0.3">
      <c r="A387" s="905"/>
      <c r="B387" s="890"/>
      <c r="C387" s="1055" t="s">
        <v>835</v>
      </c>
      <c r="D387" s="959"/>
      <c r="E387" s="1006" t="e">
        <f>#REF!</f>
        <v>#REF!</v>
      </c>
      <c r="F387" s="1006" t="e">
        <f>#REF!</f>
        <v>#REF!</v>
      </c>
      <c r="G387" s="907" t="e">
        <f>G278</f>
        <v>#REF!</v>
      </c>
      <c r="H387" s="908" t="e">
        <f>H278</f>
        <v>#REF!</v>
      </c>
      <c r="I387" s="136" t="e">
        <f>H387*E387</f>
        <v>#REF!</v>
      </c>
      <c r="J387" s="909"/>
      <c r="T387" s="962"/>
    </row>
    <row r="388" spans="1:21" s="887" customFormat="1" ht="15.95" customHeight="1" x14ac:dyDescent="0.3">
      <c r="A388" s="912"/>
      <c r="B388" s="913"/>
      <c r="C388" s="968"/>
      <c r="D388" s="969"/>
      <c r="E388" s="883"/>
      <c r="F388" s="907"/>
      <c r="G388" s="907"/>
      <c r="H388" s="908"/>
      <c r="I388" s="136"/>
      <c r="J388" s="886"/>
      <c r="T388" s="914"/>
    </row>
    <row r="389" spans="1:21" s="887" customFormat="1" ht="15.95" customHeight="1" x14ac:dyDescent="0.3">
      <c r="A389" s="905"/>
      <c r="B389" s="890">
        <f>B386+1</f>
        <v>3</v>
      </c>
      <c r="C389" s="922" t="s">
        <v>803</v>
      </c>
      <c r="D389" s="869"/>
      <c r="E389" s="883"/>
      <c r="F389" s="908"/>
      <c r="G389" s="883"/>
      <c r="H389" s="908"/>
      <c r="I389" s="136"/>
      <c r="J389" s="886"/>
      <c r="T389" s="914"/>
      <c r="U389" s="914"/>
    </row>
    <row r="390" spans="1:21" s="887" customFormat="1" ht="16.5" customHeight="1" x14ac:dyDescent="0.3">
      <c r="A390" s="905"/>
      <c r="B390" s="890"/>
      <c r="C390" s="1062" t="s">
        <v>819</v>
      </c>
      <c r="D390" s="869"/>
      <c r="E390" s="1006">
        <f>E174</f>
        <v>11</v>
      </c>
      <c r="F390" s="1006" t="e">
        <f>#REF!</f>
        <v>#REF!</v>
      </c>
      <c r="G390" s="1067" t="e">
        <f t="shared" ref="G390:H394" si="41">G280</f>
        <v>#REF!</v>
      </c>
      <c r="H390" s="908" t="e">
        <f t="shared" si="41"/>
        <v>#REF!</v>
      </c>
      <c r="I390" s="136" t="e">
        <f t="shared" ref="I390:I399" si="42">H390*E390</f>
        <v>#REF!</v>
      </c>
      <c r="J390" s="886"/>
    </row>
    <row r="391" spans="1:21" s="887" customFormat="1" ht="16.5" customHeight="1" x14ac:dyDescent="0.3">
      <c r="A391" s="889"/>
      <c r="B391" s="890"/>
      <c r="C391" s="1062" t="s">
        <v>820</v>
      </c>
      <c r="D391" s="708"/>
      <c r="E391" s="1006">
        <f>E175</f>
        <v>37</v>
      </c>
      <c r="F391" s="1006" t="e">
        <f>#REF!</f>
        <v>#REF!</v>
      </c>
      <c r="G391" s="1067" t="e">
        <f t="shared" si="41"/>
        <v>#REF!</v>
      </c>
      <c r="H391" s="908" t="e">
        <f t="shared" si="41"/>
        <v>#REF!</v>
      </c>
      <c r="I391" s="136" t="e">
        <f t="shared" si="42"/>
        <v>#REF!</v>
      </c>
      <c r="J391" s="886"/>
    </row>
    <row r="392" spans="1:21" s="887" customFormat="1" ht="16.5" customHeight="1" x14ac:dyDescent="0.3">
      <c r="A392" s="889"/>
      <c r="B392" s="890"/>
      <c r="C392" s="1062" t="s">
        <v>821</v>
      </c>
      <c r="D392" s="869"/>
      <c r="E392" s="1006">
        <f>E176</f>
        <v>16</v>
      </c>
      <c r="F392" s="1006" t="e">
        <f>#REF!</f>
        <v>#REF!</v>
      </c>
      <c r="G392" s="1067" t="e">
        <f t="shared" si="41"/>
        <v>#REF!</v>
      </c>
      <c r="H392" s="908" t="e">
        <f t="shared" si="41"/>
        <v>#REF!</v>
      </c>
      <c r="I392" s="136" t="e">
        <f t="shared" si="42"/>
        <v>#REF!</v>
      </c>
      <c r="J392" s="886"/>
    </row>
    <row r="393" spans="1:21" s="887" customFormat="1" ht="16.5" customHeight="1" x14ac:dyDescent="0.3">
      <c r="A393" s="889"/>
      <c r="B393" s="890"/>
      <c r="C393" s="1063" t="s">
        <v>805</v>
      </c>
      <c r="D393" s="869"/>
      <c r="E393" s="1006">
        <f>E177</f>
        <v>2</v>
      </c>
      <c r="F393" s="1006" t="e">
        <f>#REF!</f>
        <v>#REF!</v>
      </c>
      <c r="G393" s="1067" t="e">
        <f t="shared" si="41"/>
        <v>#REF!</v>
      </c>
      <c r="H393" s="908" t="e">
        <f t="shared" si="41"/>
        <v>#REF!</v>
      </c>
      <c r="I393" s="136" t="e">
        <f t="shared" si="42"/>
        <v>#REF!</v>
      </c>
      <c r="J393" s="886"/>
    </row>
    <row r="394" spans="1:21" s="887" customFormat="1" ht="16.5" customHeight="1" x14ac:dyDescent="0.3">
      <c r="A394" s="889"/>
      <c r="B394" s="890"/>
      <c r="C394" s="1063" t="s">
        <v>822</v>
      </c>
      <c r="D394" s="869"/>
      <c r="E394" s="1006">
        <f>E178</f>
        <v>10</v>
      </c>
      <c r="F394" s="1006" t="e">
        <f>#REF!</f>
        <v>#REF!</v>
      </c>
      <c r="G394" s="1067" t="e">
        <f t="shared" si="41"/>
        <v>#REF!</v>
      </c>
      <c r="H394" s="908" t="e">
        <f t="shared" si="41"/>
        <v>#REF!</v>
      </c>
      <c r="I394" s="136" t="e">
        <f t="shared" si="42"/>
        <v>#REF!</v>
      </c>
      <c r="J394" s="886"/>
    </row>
    <row r="395" spans="1:21" s="887" customFormat="1" ht="16.5" customHeight="1" x14ac:dyDescent="0.3">
      <c r="A395" s="889"/>
      <c r="B395" s="890"/>
      <c r="C395" s="967"/>
      <c r="D395" s="869"/>
      <c r="E395" s="883"/>
      <c r="F395" s="908"/>
      <c r="G395" s="908"/>
      <c r="H395" s="908"/>
      <c r="I395" s="136"/>
      <c r="J395" s="886"/>
    </row>
    <row r="396" spans="1:21" s="887" customFormat="1" ht="15.95" customHeight="1" x14ac:dyDescent="0.3">
      <c r="A396" s="905"/>
      <c r="B396" s="890">
        <f>B389+1</f>
        <v>4</v>
      </c>
      <c r="C396" s="922" t="s">
        <v>806</v>
      </c>
      <c r="D396" s="869"/>
      <c r="E396" s="883"/>
      <c r="F396" s="908"/>
      <c r="G396" s="883"/>
      <c r="H396" s="908"/>
      <c r="I396" s="136"/>
      <c r="J396" s="886"/>
    </row>
    <row r="397" spans="1:21" s="887" customFormat="1" ht="33" customHeight="1" x14ac:dyDescent="0.3">
      <c r="A397" s="889"/>
      <c r="B397" s="890"/>
      <c r="C397" s="3060" t="s">
        <v>831</v>
      </c>
      <c r="D397" s="3061"/>
      <c r="E397" s="1052">
        <f>E286</f>
        <v>48</v>
      </c>
      <c r="F397" s="1052" t="e">
        <f>#REF!</f>
        <v>#REF!</v>
      </c>
      <c r="G397" s="1053" t="e">
        <f t="shared" ref="G397:H399" si="43">G286</f>
        <v>#REF!</v>
      </c>
      <c r="H397" s="1053" t="e">
        <f t="shared" si="43"/>
        <v>#REF!</v>
      </c>
      <c r="I397" s="136" t="e">
        <f t="shared" si="42"/>
        <v>#REF!</v>
      </c>
      <c r="J397" s="886"/>
      <c r="T397" s="925"/>
    </row>
    <row r="398" spans="1:21" s="887" customFormat="1" ht="16.5" customHeight="1" x14ac:dyDescent="0.3">
      <c r="A398" s="889"/>
      <c r="B398" s="890"/>
      <c r="C398" s="1064" t="s">
        <v>817</v>
      </c>
      <c r="D398" s="1065"/>
      <c r="E398" s="1052">
        <f>E287</f>
        <v>8</v>
      </c>
      <c r="F398" s="1052" t="e">
        <f>#REF!</f>
        <v>#REF!</v>
      </c>
      <c r="G398" s="1053" t="e">
        <f t="shared" si="43"/>
        <v>#REF!</v>
      </c>
      <c r="H398" s="1053" t="e">
        <f t="shared" si="43"/>
        <v>#REF!</v>
      </c>
      <c r="I398" s="136" t="e">
        <f t="shared" si="42"/>
        <v>#REF!</v>
      </c>
      <c r="J398" s="886"/>
      <c r="T398" s="925"/>
    </row>
    <row r="399" spans="1:21" s="887" customFormat="1" ht="33" customHeight="1" x14ac:dyDescent="0.3">
      <c r="A399" s="889"/>
      <c r="B399" s="890"/>
      <c r="C399" s="3062" t="s">
        <v>832</v>
      </c>
      <c r="D399" s="3063"/>
      <c r="E399" s="1052">
        <f>E288</f>
        <v>4</v>
      </c>
      <c r="F399" s="1052" t="e">
        <f>#REF!</f>
        <v>#REF!</v>
      </c>
      <c r="G399" s="1053" t="e">
        <f t="shared" si="43"/>
        <v>#REF!</v>
      </c>
      <c r="H399" s="1053" t="e">
        <f t="shared" si="43"/>
        <v>#REF!</v>
      </c>
      <c r="I399" s="136" t="e">
        <f t="shared" si="42"/>
        <v>#REF!</v>
      </c>
      <c r="J399" s="886"/>
      <c r="T399" s="925"/>
    </row>
    <row r="400" spans="1:21" ht="17.25" thickBot="1" x14ac:dyDescent="0.35">
      <c r="B400" s="788"/>
      <c r="C400" s="859"/>
      <c r="D400" s="790"/>
      <c r="E400" s="860"/>
      <c r="F400" s="791"/>
      <c r="G400" s="829"/>
      <c r="H400" s="793"/>
      <c r="I400" s="747"/>
      <c r="J400" s="786"/>
    </row>
    <row r="401" spans="2:14" ht="17.25" thickBot="1" x14ac:dyDescent="0.35">
      <c r="B401" s="795"/>
      <c r="C401" s="831"/>
      <c r="D401" s="832"/>
      <c r="E401" s="3064" t="s">
        <v>833</v>
      </c>
      <c r="F401" s="3064"/>
      <c r="G401" s="3064"/>
      <c r="H401" s="3065"/>
      <c r="I401" s="764" t="e">
        <f>SUM(I382:I400)</f>
        <v>#REF!</v>
      </c>
      <c r="J401" s="726"/>
    </row>
    <row r="402" spans="2:14" x14ac:dyDescent="0.3">
      <c r="B402" s="942" t="s">
        <v>7</v>
      </c>
      <c r="C402" s="943" t="s">
        <v>282</v>
      </c>
      <c r="D402" s="944"/>
      <c r="E402" s="926"/>
      <c r="F402" s="927"/>
      <c r="G402" s="927"/>
      <c r="H402" s="1083"/>
      <c r="I402" s="928"/>
      <c r="J402" s="726"/>
      <c r="L402" s="810"/>
    </row>
    <row r="403" spans="2:14" x14ac:dyDescent="0.3">
      <c r="B403" s="945" t="s">
        <v>31</v>
      </c>
      <c r="C403" s="798" t="s">
        <v>1235</v>
      </c>
      <c r="D403" s="946"/>
      <c r="E403" s="800"/>
      <c r="F403" s="801"/>
      <c r="G403" s="802"/>
      <c r="H403" s="803"/>
      <c r="I403" s="804"/>
      <c r="J403" s="786"/>
    </row>
    <row r="404" spans="2:14" x14ac:dyDescent="0.3">
      <c r="B404" s="782">
        <v>1</v>
      </c>
      <c r="C404" s="783" t="s">
        <v>147</v>
      </c>
      <c r="D404" s="784"/>
      <c r="E404" s="813" t="e">
        <f>#REF!</f>
        <v>#REF!</v>
      </c>
      <c r="F404" s="813" t="e">
        <f>#REF!</f>
        <v>#REF!</v>
      </c>
      <c r="G404" s="820" t="e">
        <f>G57</f>
        <v>#REF!</v>
      </c>
      <c r="H404" s="821" t="e">
        <f>H57</f>
        <v>#REF!</v>
      </c>
      <c r="I404" s="747" t="e">
        <f t="shared" ref="I404:I409" si="44">H404*E404</f>
        <v>#REF!</v>
      </c>
      <c r="J404" s="786"/>
      <c r="N404" s="807"/>
    </row>
    <row r="405" spans="2:14" x14ac:dyDescent="0.3">
      <c r="B405" s="782">
        <f>B404+1</f>
        <v>2</v>
      </c>
      <c r="C405" s="783" t="s">
        <v>210</v>
      </c>
      <c r="D405" s="784"/>
      <c r="E405" s="813" t="e">
        <f>#REF!</f>
        <v>#REF!</v>
      </c>
      <c r="F405" s="813" t="e">
        <f>#REF!</f>
        <v>#REF!</v>
      </c>
      <c r="G405" s="820" t="e">
        <f>G58</f>
        <v>#REF!</v>
      </c>
      <c r="H405" s="821" t="e">
        <f>H58</f>
        <v>#REF!</v>
      </c>
      <c r="I405" s="747" t="e">
        <f t="shared" si="44"/>
        <v>#REF!</v>
      </c>
      <c r="J405" s="786"/>
      <c r="N405" s="807"/>
    </row>
    <row r="406" spans="2:14" x14ac:dyDescent="0.3">
      <c r="B406" s="782">
        <f>B405+1</f>
        <v>3</v>
      </c>
      <c r="C406" s="783" t="s">
        <v>148</v>
      </c>
      <c r="D406" s="784"/>
      <c r="E406" s="812"/>
      <c r="F406" s="745"/>
      <c r="G406" s="820"/>
      <c r="H406" s="746"/>
      <c r="I406" s="747"/>
      <c r="J406" s="786"/>
      <c r="N406" s="807"/>
    </row>
    <row r="407" spans="2:14" x14ac:dyDescent="0.3">
      <c r="B407" s="825"/>
      <c r="C407" s="808" t="s">
        <v>149</v>
      </c>
      <c r="D407" s="784" t="s">
        <v>1317</v>
      </c>
      <c r="E407" s="813">
        <f>E320</f>
        <v>69.69</v>
      </c>
      <c r="F407" s="813" t="e">
        <f>#REF!</f>
        <v>#REF!</v>
      </c>
      <c r="G407" s="820" t="e">
        <f t="shared" ref="G407:H409" si="45">G320</f>
        <v>#REF!</v>
      </c>
      <c r="H407" s="820" t="e">
        <f t="shared" si="45"/>
        <v>#REF!</v>
      </c>
      <c r="I407" s="747" t="e">
        <f t="shared" si="44"/>
        <v>#REF!</v>
      </c>
      <c r="J407" s="786"/>
      <c r="N407" s="807"/>
    </row>
    <row r="408" spans="2:14" x14ac:dyDescent="0.3">
      <c r="B408" s="825"/>
      <c r="C408" s="808" t="s">
        <v>149</v>
      </c>
      <c r="D408" s="784" t="s">
        <v>207</v>
      </c>
      <c r="E408" s="813">
        <f>E321</f>
        <v>11783.06</v>
      </c>
      <c r="F408" s="813" t="e">
        <f>#REF!</f>
        <v>#REF!</v>
      </c>
      <c r="G408" s="820" t="str">
        <f t="shared" si="45"/>
        <v>A.4.1.1.17.</v>
      </c>
      <c r="H408" s="820">
        <f t="shared" si="45"/>
        <v>20849.5</v>
      </c>
      <c r="I408" s="747">
        <f t="shared" si="44"/>
        <v>245670909.47</v>
      </c>
      <c r="J408" s="786"/>
      <c r="N408" s="807"/>
    </row>
    <row r="409" spans="2:14" x14ac:dyDescent="0.3">
      <c r="B409" s="825"/>
      <c r="C409" s="808" t="s">
        <v>149</v>
      </c>
      <c r="D409" s="784" t="s">
        <v>197</v>
      </c>
      <c r="E409" s="813" t="e">
        <f>E322</f>
        <v>#REF!</v>
      </c>
      <c r="F409" s="813" t="e">
        <f>#REF!</f>
        <v>#REF!</v>
      </c>
      <c r="G409" s="820" t="str">
        <f t="shared" si="45"/>
        <v>A.4.1.1.24A</v>
      </c>
      <c r="H409" s="820">
        <f t="shared" si="45"/>
        <v>428264.31</v>
      </c>
      <c r="I409" s="747" t="e">
        <f t="shared" si="44"/>
        <v>#REF!</v>
      </c>
      <c r="J409" s="786"/>
      <c r="N409" s="807"/>
    </row>
    <row r="410" spans="2:14" ht="17.25" thickBot="1" x14ac:dyDescent="0.35">
      <c r="B410" s="825"/>
      <c r="C410" s="947"/>
      <c r="D410" s="784"/>
      <c r="E410" s="813"/>
      <c r="F410" s="813"/>
      <c r="G410" s="820"/>
      <c r="H410" s="821"/>
      <c r="I410" s="747"/>
      <c r="J410" s="786"/>
    </row>
    <row r="411" spans="2:14" ht="17.25" thickBot="1" x14ac:dyDescent="0.35">
      <c r="B411" s="795"/>
      <c r="C411" s="831"/>
      <c r="D411" s="832"/>
      <c r="E411" s="3064" t="s">
        <v>283</v>
      </c>
      <c r="F411" s="3064"/>
      <c r="G411" s="3064"/>
      <c r="H411" s="3065"/>
      <c r="I411" s="764" t="e">
        <f>SUM(I402:I410)</f>
        <v>#REF!</v>
      </c>
      <c r="J411" s="726"/>
    </row>
    <row r="412" spans="2:14" x14ac:dyDescent="0.3">
      <c r="B412" s="773" t="s">
        <v>139</v>
      </c>
      <c r="C412" s="774" t="s">
        <v>212</v>
      </c>
      <c r="D412" s="775"/>
      <c r="E412" s="800"/>
      <c r="F412" s="801"/>
      <c r="G412" s="802"/>
      <c r="H412" s="803"/>
      <c r="I412" s="804"/>
      <c r="J412" s="786"/>
    </row>
    <row r="413" spans="2:14" x14ac:dyDescent="0.3">
      <c r="B413" s="782">
        <v>1</v>
      </c>
      <c r="C413" s="783" t="s">
        <v>214</v>
      </c>
      <c r="D413" s="784"/>
      <c r="E413" s="813">
        <f>(20+20+36+36)*1</f>
        <v>112</v>
      </c>
      <c r="F413" s="813" t="e">
        <f>#REF!</f>
        <v>#REF!</v>
      </c>
      <c r="G413" s="820" t="e">
        <f>G327</f>
        <v>#REF!</v>
      </c>
      <c r="H413" s="820" t="e">
        <f>H327</f>
        <v>#REF!</v>
      </c>
      <c r="I413" s="747" t="e">
        <f>H413*E413</f>
        <v>#REF!</v>
      </c>
      <c r="J413" s="786"/>
    </row>
    <row r="414" spans="2:14" x14ac:dyDescent="0.3">
      <c r="B414" s="782">
        <f>B413+1</f>
        <v>2</v>
      </c>
      <c r="C414" s="833" t="s">
        <v>195</v>
      </c>
      <c r="D414" s="834"/>
      <c r="E414" s="813">
        <f>(20+20+36+36)*1</f>
        <v>112</v>
      </c>
      <c r="F414" s="813" t="e">
        <f>#REF!</f>
        <v>#REF!</v>
      </c>
      <c r="G414" s="820" t="e">
        <f>G328</f>
        <v>#REF!</v>
      </c>
      <c r="H414" s="820" t="e">
        <f>H328</f>
        <v>#REF!</v>
      </c>
      <c r="I414" s="747" t="e">
        <f>H414*E414</f>
        <v>#REF!</v>
      </c>
      <c r="J414" s="786"/>
    </row>
    <row r="415" spans="2:14" x14ac:dyDescent="0.3">
      <c r="B415" s="782">
        <f>B414+1</f>
        <v>3</v>
      </c>
      <c r="C415" s="833" t="s">
        <v>769</v>
      </c>
      <c r="D415" s="834"/>
      <c r="E415" s="785">
        <f>20*36</f>
        <v>720</v>
      </c>
      <c r="F415" s="813" t="s">
        <v>2</v>
      </c>
      <c r="G415" s="820" t="e">
        <f>'R.Anl'!#REF!</f>
        <v>#REF!</v>
      </c>
      <c r="H415" s="820" t="e">
        <f>'R.Anl'!#REF!</f>
        <v>#REF!</v>
      </c>
      <c r="I415" s="747" t="e">
        <f>E415*H415</f>
        <v>#REF!</v>
      </c>
      <c r="J415" s="786"/>
    </row>
    <row r="416" spans="2:14" ht="17.25" thickBot="1" x14ac:dyDescent="0.35">
      <c r="B416" s="825"/>
      <c r="C416" s="833"/>
      <c r="D416" s="834"/>
      <c r="E416" s="835"/>
      <c r="F416" s="835"/>
      <c r="G416" s="836"/>
      <c r="H416" s="746"/>
      <c r="I416" s="747"/>
      <c r="J416" s="786"/>
    </row>
    <row r="417" spans="1:21" ht="17.25" thickBot="1" x14ac:dyDescent="0.35">
      <c r="B417" s="795"/>
      <c r="C417" s="831"/>
      <c r="D417" s="832"/>
      <c r="E417" s="3064" t="s">
        <v>284</v>
      </c>
      <c r="F417" s="3064"/>
      <c r="G417" s="3064"/>
      <c r="H417" s="3065"/>
      <c r="I417" s="764" t="e">
        <f>SUM(I412:I416)</f>
        <v>#REF!</v>
      </c>
      <c r="J417" s="726"/>
      <c r="M417" s="956"/>
      <c r="N417" s="712"/>
      <c r="O417" s="712"/>
      <c r="P417" s="712"/>
      <c r="Q417" s="712"/>
      <c r="R417" s="712"/>
    </row>
    <row r="418" spans="1:21" x14ac:dyDescent="0.3">
      <c r="B418" s="854" t="s">
        <v>140</v>
      </c>
      <c r="C418" s="855" t="s">
        <v>142</v>
      </c>
      <c r="D418" s="856"/>
      <c r="E418" s="857"/>
      <c r="F418" s="738"/>
      <c r="G418" s="1078"/>
      <c r="H418" s="739"/>
      <c r="I418" s="740"/>
      <c r="J418" s="786"/>
      <c r="M418" s="956"/>
      <c r="N418" s="712"/>
      <c r="O418" s="712"/>
      <c r="P418" s="712"/>
      <c r="Q418" s="712"/>
      <c r="R418" s="712"/>
    </row>
    <row r="419" spans="1:21" x14ac:dyDescent="0.3">
      <c r="B419" s="782">
        <v>1</v>
      </c>
      <c r="C419" s="783" t="s">
        <v>703</v>
      </c>
      <c r="D419" s="784"/>
      <c r="E419" s="813">
        <f>(20+20+36+36)*2</f>
        <v>224</v>
      </c>
      <c r="F419" s="785" t="e">
        <f>#REF!</f>
        <v>#REF!</v>
      </c>
      <c r="G419" s="820" t="e">
        <f>G359</f>
        <v>#REF!</v>
      </c>
      <c r="H419" s="820" t="e">
        <f>H359</f>
        <v>#REF!</v>
      </c>
      <c r="I419" s="747" t="e">
        <f>E419*H419</f>
        <v>#REF!</v>
      </c>
      <c r="J419" s="786"/>
      <c r="M419" s="956"/>
      <c r="N419" s="713"/>
      <c r="O419" s="712"/>
      <c r="P419" s="712"/>
      <c r="Q419" s="712"/>
      <c r="R419" s="712"/>
    </row>
    <row r="420" spans="1:21" ht="17.25" thickBot="1" x14ac:dyDescent="0.35">
      <c r="B420" s="788"/>
      <c r="C420" s="859"/>
      <c r="D420" s="790"/>
      <c r="E420" s="791"/>
      <c r="F420" s="791"/>
      <c r="G420" s="829"/>
      <c r="H420" s="793"/>
      <c r="I420" s="794"/>
      <c r="J420" s="786"/>
      <c r="M420" s="956"/>
      <c r="N420" s="712"/>
      <c r="O420" s="712"/>
      <c r="P420" s="712"/>
      <c r="Q420" s="712"/>
      <c r="R420" s="712"/>
    </row>
    <row r="421" spans="1:21" ht="17.25" thickBot="1" x14ac:dyDescent="0.35">
      <c r="B421" s="795"/>
      <c r="C421" s="831"/>
      <c r="D421" s="832"/>
      <c r="E421" s="3064" t="s">
        <v>285</v>
      </c>
      <c r="F421" s="3064"/>
      <c r="G421" s="3064"/>
      <c r="H421" s="3065"/>
      <c r="I421" s="764" t="e">
        <f>SUM(I418:I420)</f>
        <v>#REF!</v>
      </c>
      <c r="J421" s="726"/>
      <c r="M421" s="956"/>
      <c r="N421" s="712"/>
      <c r="O421" s="712"/>
      <c r="P421" s="712"/>
      <c r="Q421" s="712"/>
      <c r="R421" s="712"/>
    </row>
    <row r="422" spans="1:21" s="753" customFormat="1" ht="25.15" customHeight="1" thickBot="1" x14ac:dyDescent="0.35">
      <c r="B422" s="1033"/>
      <c r="C422" s="1034"/>
      <c r="D422" s="1034"/>
      <c r="E422" s="1035"/>
      <c r="F422" s="1036"/>
      <c r="G422" s="3066" t="s">
        <v>225</v>
      </c>
      <c r="H422" s="3066"/>
      <c r="I422" s="1037" t="e">
        <f>SUM(I10:I421)/2</f>
        <v>#REF!</v>
      </c>
      <c r="J422" s="779"/>
      <c r="M422" s="754"/>
    </row>
    <row r="423" spans="1:21" ht="17.25" thickTop="1" x14ac:dyDescent="0.3">
      <c r="A423" s="712"/>
      <c r="B423" s="712"/>
      <c r="I423" s="716"/>
      <c r="J423" s="786"/>
      <c r="K423" s="712"/>
      <c r="L423" s="712"/>
      <c r="M423" s="956"/>
      <c r="N423" s="712"/>
      <c r="O423" s="712"/>
      <c r="P423" s="712"/>
      <c r="Q423" s="712"/>
      <c r="R423" s="712"/>
      <c r="S423" s="712"/>
      <c r="T423" s="712"/>
      <c r="U423" s="712"/>
    </row>
    <row r="424" spans="1:21" x14ac:dyDescent="0.3">
      <c r="A424" s="712"/>
      <c r="B424" s="712"/>
      <c r="I424" s="716"/>
      <c r="J424" s="786"/>
      <c r="K424" s="712"/>
      <c r="L424" s="712"/>
      <c r="M424" s="956"/>
      <c r="N424" s="712"/>
      <c r="O424" s="712"/>
      <c r="P424" s="712"/>
      <c r="Q424" s="712"/>
      <c r="R424" s="712"/>
      <c r="S424" s="712"/>
      <c r="T424" s="712"/>
      <c r="U424" s="712"/>
    </row>
    <row r="425" spans="1:21" x14ac:dyDescent="0.3">
      <c r="A425" s="712"/>
      <c r="B425" s="712"/>
      <c r="I425" s="716"/>
      <c r="J425" s="786"/>
      <c r="K425" s="712"/>
      <c r="L425" s="712"/>
      <c r="M425" s="956"/>
      <c r="N425" s="712"/>
      <c r="O425" s="712"/>
      <c r="P425" s="712"/>
      <c r="Q425" s="712"/>
      <c r="R425" s="712"/>
      <c r="S425" s="712"/>
      <c r="T425" s="712"/>
      <c r="U425" s="712"/>
    </row>
    <row r="426" spans="1:21" x14ac:dyDescent="0.3">
      <c r="A426" s="712"/>
      <c r="B426" s="712"/>
      <c r="I426" s="716"/>
      <c r="J426" s="786"/>
      <c r="K426" s="712"/>
      <c r="L426" s="712"/>
      <c r="M426" s="956"/>
      <c r="N426" s="712"/>
      <c r="O426" s="712"/>
      <c r="P426" s="712"/>
      <c r="Q426" s="712"/>
      <c r="R426" s="712"/>
      <c r="S426" s="712"/>
      <c r="T426" s="712"/>
      <c r="U426" s="712"/>
    </row>
    <row r="427" spans="1:21" x14ac:dyDescent="0.3">
      <c r="A427" s="712"/>
      <c r="B427" s="712"/>
      <c r="I427" s="716"/>
      <c r="J427" s="786"/>
      <c r="K427" s="712"/>
      <c r="L427" s="712"/>
      <c r="M427" s="956"/>
      <c r="N427" s="712"/>
      <c r="O427" s="712"/>
      <c r="P427" s="712"/>
      <c r="Q427" s="712"/>
      <c r="R427" s="712"/>
      <c r="S427" s="712"/>
      <c r="T427" s="712"/>
      <c r="U427" s="712"/>
    </row>
    <row r="428" spans="1:21" x14ac:dyDescent="0.3">
      <c r="A428" s="712"/>
      <c r="B428" s="712"/>
      <c r="I428" s="716"/>
      <c r="J428" s="786"/>
      <c r="K428" s="712"/>
      <c r="L428" s="712"/>
      <c r="M428" s="956"/>
      <c r="N428" s="712"/>
      <c r="O428" s="712"/>
      <c r="P428" s="712"/>
      <c r="Q428" s="712"/>
      <c r="R428" s="712"/>
      <c r="S428" s="712"/>
      <c r="T428" s="712"/>
      <c r="U428" s="712"/>
    </row>
    <row r="429" spans="1:21" x14ac:dyDescent="0.3">
      <c r="A429" s="712"/>
      <c r="B429" s="712"/>
      <c r="I429" s="716"/>
      <c r="J429" s="786"/>
      <c r="K429" s="712"/>
      <c r="L429" s="712"/>
      <c r="M429" s="956"/>
      <c r="N429" s="712"/>
      <c r="O429" s="712"/>
      <c r="P429" s="712"/>
      <c r="Q429" s="712"/>
      <c r="R429" s="712"/>
      <c r="S429" s="712"/>
      <c r="T429" s="712"/>
      <c r="U429" s="712"/>
    </row>
    <row r="430" spans="1:21" x14ac:dyDescent="0.3">
      <c r="A430" s="712"/>
      <c r="B430" s="712"/>
      <c r="I430" s="716"/>
      <c r="J430" s="786"/>
      <c r="K430" s="712"/>
      <c r="L430" s="712"/>
      <c r="M430" s="956"/>
      <c r="N430" s="712"/>
      <c r="O430" s="712"/>
      <c r="P430" s="712"/>
      <c r="Q430" s="712"/>
      <c r="R430" s="712"/>
      <c r="S430" s="712"/>
      <c r="T430" s="712"/>
      <c r="U430" s="712"/>
    </row>
    <row r="431" spans="1:21" x14ac:dyDescent="0.3">
      <c r="A431" s="712"/>
      <c r="B431" s="712"/>
      <c r="I431" s="716"/>
      <c r="J431" s="786"/>
      <c r="K431" s="712"/>
      <c r="L431" s="712"/>
      <c r="M431" s="956"/>
      <c r="N431" s="712"/>
      <c r="O431" s="712"/>
      <c r="P431" s="712"/>
      <c r="Q431" s="712"/>
      <c r="R431" s="712"/>
      <c r="S431" s="712"/>
      <c r="T431" s="712"/>
      <c r="U431" s="712"/>
    </row>
    <row r="432" spans="1:21" x14ac:dyDescent="0.3">
      <c r="A432" s="712"/>
      <c r="B432" s="712"/>
      <c r="I432" s="716"/>
      <c r="J432" s="786"/>
      <c r="K432" s="712"/>
      <c r="L432" s="712"/>
      <c r="M432" s="956"/>
      <c r="N432" s="712"/>
      <c r="O432" s="712"/>
      <c r="P432" s="712"/>
      <c r="Q432" s="712"/>
      <c r="R432" s="712"/>
      <c r="S432" s="712"/>
      <c r="T432" s="712"/>
      <c r="U432" s="712"/>
    </row>
    <row r="433" spans="1:21" x14ac:dyDescent="0.3">
      <c r="A433" s="712"/>
      <c r="B433" s="712"/>
      <c r="I433" s="716"/>
      <c r="J433" s="786"/>
      <c r="K433" s="712"/>
      <c r="L433" s="712"/>
      <c r="M433" s="956"/>
      <c r="N433" s="712"/>
      <c r="O433" s="712"/>
      <c r="P433" s="712"/>
      <c r="Q433" s="712"/>
      <c r="R433" s="712"/>
      <c r="S433" s="712"/>
      <c r="T433" s="712"/>
      <c r="U433" s="712"/>
    </row>
    <row r="434" spans="1:21" x14ac:dyDescent="0.3">
      <c r="A434" s="712"/>
      <c r="B434" s="712"/>
      <c r="I434" s="716"/>
      <c r="J434" s="786"/>
      <c r="K434" s="712"/>
      <c r="L434" s="712"/>
      <c r="M434" s="956"/>
      <c r="N434" s="712"/>
      <c r="O434" s="712"/>
      <c r="P434" s="712"/>
      <c r="Q434" s="712"/>
      <c r="R434" s="712"/>
      <c r="S434" s="712"/>
      <c r="T434" s="712"/>
      <c r="U434" s="712"/>
    </row>
    <row r="435" spans="1:21" x14ac:dyDescent="0.3">
      <c r="A435" s="712"/>
      <c r="B435" s="712"/>
      <c r="I435" s="716"/>
      <c r="J435" s="786"/>
      <c r="K435" s="712"/>
      <c r="L435" s="712"/>
      <c r="M435" s="956"/>
      <c r="N435" s="712"/>
      <c r="O435" s="712"/>
      <c r="P435" s="712"/>
      <c r="Q435" s="712"/>
      <c r="R435" s="712"/>
      <c r="S435" s="712"/>
      <c r="T435" s="712"/>
      <c r="U435" s="712"/>
    </row>
    <row r="436" spans="1:21" x14ac:dyDescent="0.3">
      <c r="A436" s="712"/>
      <c r="B436" s="712"/>
      <c r="I436" s="716"/>
      <c r="J436" s="786"/>
      <c r="K436" s="712"/>
      <c r="L436" s="712"/>
      <c r="M436" s="956"/>
      <c r="N436" s="712"/>
      <c r="O436" s="712"/>
      <c r="P436" s="712"/>
      <c r="Q436" s="712"/>
      <c r="R436" s="712"/>
      <c r="S436" s="712"/>
      <c r="T436" s="712"/>
      <c r="U436" s="712"/>
    </row>
    <row r="437" spans="1:21" x14ac:dyDescent="0.3">
      <c r="A437" s="712"/>
      <c r="B437" s="712"/>
      <c r="I437" s="716"/>
      <c r="J437" s="786"/>
      <c r="K437" s="712"/>
      <c r="L437" s="712"/>
      <c r="M437" s="956"/>
      <c r="N437" s="712"/>
      <c r="O437" s="712"/>
      <c r="P437" s="712"/>
      <c r="Q437" s="712"/>
      <c r="R437" s="712"/>
      <c r="S437" s="712"/>
      <c r="T437" s="712"/>
      <c r="U437" s="712"/>
    </row>
    <row r="438" spans="1:21" x14ac:dyDescent="0.3">
      <c r="A438" s="712"/>
      <c r="B438" s="712"/>
      <c r="I438" s="716"/>
      <c r="J438" s="786"/>
      <c r="K438" s="712"/>
      <c r="L438" s="712"/>
      <c r="M438" s="956"/>
      <c r="N438" s="712"/>
      <c r="O438" s="712"/>
      <c r="P438" s="712"/>
      <c r="Q438" s="712"/>
      <c r="R438" s="712"/>
      <c r="S438" s="712"/>
      <c r="T438" s="712"/>
      <c r="U438" s="712"/>
    </row>
    <row r="439" spans="1:21" x14ac:dyDescent="0.3">
      <c r="A439" s="712"/>
      <c r="B439" s="712"/>
      <c r="I439" s="716"/>
      <c r="J439" s="786"/>
      <c r="K439" s="712"/>
      <c r="L439" s="712"/>
      <c r="M439" s="956"/>
      <c r="N439" s="712"/>
      <c r="O439" s="712"/>
      <c r="P439" s="712"/>
      <c r="Q439" s="712"/>
      <c r="R439" s="712"/>
      <c r="S439" s="712"/>
      <c r="T439" s="712"/>
      <c r="U439" s="712"/>
    </row>
    <row r="440" spans="1:21" x14ac:dyDescent="0.3">
      <c r="A440" s="712"/>
      <c r="B440" s="712"/>
      <c r="I440" s="716"/>
      <c r="J440" s="786"/>
      <c r="K440" s="712"/>
      <c r="L440" s="712"/>
      <c r="M440" s="956"/>
      <c r="N440" s="712"/>
      <c r="O440" s="712"/>
      <c r="P440" s="712"/>
      <c r="Q440" s="712"/>
      <c r="R440" s="712"/>
      <c r="S440" s="712"/>
      <c r="T440" s="712"/>
      <c r="U440" s="712"/>
    </row>
    <row r="441" spans="1:21" x14ac:dyDescent="0.3">
      <c r="A441" s="712"/>
      <c r="B441" s="712"/>
      <c r="I441" s="716"/>
      <c r="J441" s="786"/>
      <c r="K441" s="712"/>
      <c r="L441" s="712"/>
      <c r="M441" s="956"/>
      <c r="N441" s="712"/>
      <c r="O441" s="712"/>
      <c r="P441" s="712"/>
      <c r="Q441" s="712"/>
      <c r="R441" s="712"/>
      <c r="S441" s="712"/>
      <c r="T441" s="712"/>
      <c r="U441" s="712"/>
    </row>
    <row r="442" spans="1:21" x14ac:dyDescent="0.3">
      <c r="A442" s="712"/>
      <c r="B442" s="712"/>
      <c r="I442" s="716"/>
      <c r="J442" s="786"/>
      <c r="K442" s="712"/>
      <c r="L442" s="712"/>
      <c r="M442" s="956"/>
      <c r="N442" s="712"/>
      <c r="O442" s="712"/>
      <c r="P442" s="712"/>
      <c r="Q442" s="712"/>
      <c r="R442" s="712"/>
      <c r="S442" s="712"/>
      <c r="T442" s="712"/>
      <c r="U442" s="712"/>
    </row>
    <row r="443" spans="1:21" x14ac:dyDescent="0.3">
      <c r="A443" s="712"/>
      <c r="B443" s="712"/>
      <c r="I443" s="716"/>
      <c r="J443" s="786"/>
      <c r="K443" s="712"/>
      <c r="L443" s="712"/>
      <c r="M443" s="956"/>
      <c r="N443" s="712"/>
      <c r="O443" s="712"/>
      <c r="P443" s="712"/>
      <c r="Q443" s="712"/>
      <c r="R443" s="712"/>
      <c r="S443" s="712"/>
      <c r="T443" s="712"/>
      <c r="U443" s="712"/>
    </row>
    <row r="444" spans="1:21" x14ac:dyDescent="0.3">
      <c r="A444" s="712"/>
      <c r="B444" s="712"/>
      <c r="I444" s="716"/>
      <c r="J444" s="786"/>
      <c r="K444" s="712"/>
      <c r="L444" s="712"/>
      <c r="M444" s="956"/>
      <c r="N444" s="712"/>
      <c r="O444" s="712"/>
      <c r="P444" s="712"/>
      <c r="Q444" s="712"/>
      <c r="R444" s="712"/>
      <c r="S444" s="712"/>
      <c r="T444" s="712"/>
      <c r="U444" s="712"/>
    </row>
    <row r="445" spans="1:21" x14ac:dyDescent="0.3">
      <c r="A445" s="712"/>
      <c r="B445" s="712"/>
      <c r="I445" s="716"/>
      <c r="J445" s="786"/>
      <c r="K445" s="712"/>
      <c r="L445" s="712"/>
      <c r="M445" s="956"/>
      <c r="N445" s="712"/>
      <c r="O445" s="712"/>
      <c r="P445" s="712"/>
      <c r="Q445" s="712"/>
      <c r="R445" s="712"/>
      <c r="S445" s="712"/>
      <c r="T445" s="712"/>
      <c r="U445" s="712"/>
    </row>
    <row r="446" spans="1:21" x14ac:dyDescent="0.3">
      <c r="A446" s="712"/>
      <c r="B446" s="712"/>
      <c r="I446" s="716"/>
      <c r="J446" s="786"/>
      <c r="K446" s="712"/>
      <c r="L446" s="712"/>
      <c r="M446" s="956"/>
      <c r="N446" s="712"/>
      <c r="O446" s="712"/>
      <c r="P446" s="712"/>
      <c r="Q446" s="712"/>
      <c r="R446" s="712"/>
      <c r="S446" s="712"/>
      <c r="T446" s="712"/>
      <c r="U446" s="712"/>
    </row>
    <row r="447" spans="1:21" x14ac:dyDescent="0.3">
      <c r="A447" s="712"/>
      <c r="B447" s="712"/>
      <c r="I447" s="716"/>
      <c r="J447" s="786"/>
      <c r="K447" s="712"/>
      <c r="L447" s="712"/>
      <c r="M447" s="956"/>
      <c r="N447" s="712"/>
      <c r="O447" s="712"/>
      <c r="P447" s="712"/>
      <c r="Q447" s="712"/>
      <c r="R447" s="712"/>
      <c r="S447" s="712"/>
      <c r="T447" s="712"/>
      <c r="U447" s="712"/>
    </row>
    <row r="448" spans="1:21" x14ac:dyDescent="0.3">
      <c r="A448" s="712"/>
      <c r="B448" s="712"/>
      <c r="I448" s="716"/>
      <c r="J448" s="786"/>
      <c r="K448" s="712"/>
      <c r="L448" s="712"/>
      <c r="M448" s="956"/>
      <c r="N448" s="712"/>
      <c r="O448" s="712"/>
      <c r="P448" s="712"/>
      <c r="Q448" s="712"/>
      <c r="R448" s="712"/>
      <c r="S448" s="712"/>
      <c r="T448" s="712"/>
      <c r="U448" s="712"/>
    </row>
    <row r="449" spans="1:21" x14ac:dyDescent="0.3">
      <c r="A449" s="712"/>
      <c r="B449" s="712"/>
      <c r="I449" s="716"/>
      <c r="J449" s="786"/>
      <c r="K449" s="712"/>
      <c r="L449" s="712"/>
      <c r="M449" s="956"/>
      <c r="N449" s="712"/>
      <c r="O449" s="712"/>
      <c r="P449" s="712"/>
      <c r="Q449" s="712"/>
      <c r="R449" s="712"/>
      <c r="S449" s="712"/>
      <c r="T449" s="712"/>
      <c r="U449" s="712"/>
    </row>
    <row r="450" spans="1:21" x14ac:dyDescent="0.3">
      <c r="A450" s="712"/>
      <c r="B450" s="712"/>
      <c r="I450" s="716"/>
      <c r="J450" s="786"/>
      <c r="K450" s="712"/>
      <c r="L450" s="712"/>
      <c r="M450" s="956"/>
      <c r="N450" s="712"/>
      <c r="O450" s="712"/>
      <c r="P450" s="712"/>
      <c r="Q450" s="712"/>
      <c r="R450" s="712"/>
      <c r="S450" s="712"/>
      <c r="T450" s="712"/>
      <c r="U450" s="712"/>
    </row>
    <row r="451" spans="1:21" x14ac:dyDescent="0.3">
      <c r="A451" s="712"/>
      <c r="B451" s="712"/>
      <c r="I451" s="716"/>
      <c r="J451" s="786"/>
      <c r="K451" s="712"/>
      <c r="L451" s="712"/>
      <c r="M451" s="956"/>
      <c r="N451" s="712"/>
      <c r="O451" s="712"/>
      <c r="P451" s="712"/>
      <c r="Q451" s="712"/>
      <c r="R451" s="712"/>
      <c r="S451" s="712"/>
      <c r="T451" s="712"/>
      <c r="U451" s="712"/>
    </row>
  </sheetData>
  <mergeCells count="46">
    <mergeCell ref="C166:D166"/>
    <mergeCell ref="E184:H184"/>
    <mergeCell ref="C161:D161"/>
    <mergeCell ref="E218:H218"/>
    <mergeCell ref="E238:H238"/>
    <mergeCell ref="C180:D180"/>
    <mergeCell ref="E117:H117"/>
    <mergeCell ref="E109:H109"/>
    <mergeCell ref="C9:D9"/>
    <mergeCell ref="E20:H20"/>
    <mergeCell ref="E30:H30"/>
    <mergeCell ref="E82:H82"/>
    <mergeCell ref="E90:H90"/>
    <mergeCell ref="B1:I1"/>
    <mergeCell ref="B7:B8"/>
    <mergeCell ref="C7:D8"/>
    <mergeCell ref="E7:E8"/>
    <mergeCell ref="F7:F8"/>
    <mergeCell ref="G7:G8"/>
    <mergeCell ref="D3:I3"/>
    <mergeCell ref="E364:H364"/>
    <mergeCell ref="E245:H245"/>
    <mergeCell ref="E226:H226"/>
    <mergeCell ref="E290:H290"/>
    <mergeCell ref="G422:H422"/>
    <mergeCell ref="E324:H324"/>
    <mergeCell ref="E333:H333"/>
    <mergeCell ref="E345:H345"/>
    <mergeCell ref="E352:H352"/>
    <mergeCell ref="E411:H411"/>
    <mergeCell ref="E421:H421"/>
    <mergeCell ref="E381:H381"/>
    <mergeCell ref="E417:H417"/>
    <mergeCell ref="E401:H401"/>
    <mergeCell ref="E122:H122"/>
    <mergeCell ref="E153:H153"/>
    <mergeCell ref="E273:H273"/>
    <mergeCell ref="E357:H357"/>
    <mergeCell ref="E250:H250"/>
    <mergeCell ref="E257:H257"/>
    <mergeCell ref="E129:H129"/>
    <mergeCell ref="C278:D278"/>
    <mergeCell ref="C286:D286"/>
    <mergeCell ref="C288:D288"/>
    <mergeCell ref="C397:D397"/>
    <mergeCell ref="C399:D399"/>
  </mergeCells>
  <phoneticPr fontId="25" type="noConversion"/>
  <printOptions horizontalCentered="1"/>
  <pageMargins left="0.511811023622047" right="0.196850393700787" top="0.511811023622047" bottom="0.31496062992126" header="0" footer="0"/>
  <pageSetup paperSize="9" scale="75" orientation="portrait" horizontalDpi="4294967293" r:id="rId1"/>
  <rowBreaks count="10" manualBreakCount="10">
    <brk id="98" min="1" max="8" man="1"/>
    <brk id="106" min="1" max="8" man="1"/>
    <brk id="140" min="1" max="8" man="1"/>
    <brk id="184" min="1" max="8" man="1"/>
    <brk id="226" min="1" max="8" man="1"/>
    <brk id="235" min="1" max="8" man="1"/>
    <brk id="284" min="1" max="8" man="1"/>
    <brk id="324" min="1" max="8" man="1"/>
    <brk id="375" min="1" max="8" man="1"/>
    <brk id="405" min="1" max="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Y777"/>
  <sheetViews>
    <sheetView view="pageBreakPreview" topLeftCell="A483" zoomScale="110" zoomScaleNormal="70" zoomScaleSheetLayoutView="110" workbookViewId="0">
      <selection activeCell="C51" sqref="C51:E52"/>
    </sheetView>
  </sheetViews>
  <sheetFormatPr defaultColWidth="9.28515625" defaultRowHeight="16.5" x14ac:dyDescent="0.3"/>
  <cols>
    <col min="1" max="1" width="1.42578125" style="351" customWidth="1"/>
    <col min="2" max="2" width="3.5703125" style="351" customWidth="1"/>
    <col min="3" max="3" width="4.7109375" style="429" customWidth="1"/>
    <col min="4" max="4" width="29.7109375" style="351" customWidth="1"/>
    <col min="5" max="5" width="7.140625" style="430" customWidth="1"/>
    <col min="6" max="6" width="2.28515625" style="481" customWidth="1"/>
    <col min="7" max="7" width="6.7109375" style="430" customWidth="1"/>
    <col min="8" max="8" width="2.28515625" style="481" customWidth="1"/>
    <col min="9" max="9" width="6.7109375" style="430" customWidth="1"/>
    <col min="10" max="10" width="2.28515625" style="481" customWidth="1"/>
    <col min="11" max="11" width="9.7109375" style="430" customWidth="1"/>
    <col min="12" max="12" width="2.28515625" style="481" customWidth="1"/>
    <col min="13" max="13" width="6.7109375" style="431" customWidth="1"/>
    <col min="14" max="14" width="2.28515625" style="481" customWidth="1"/>
    <col min="15" max="15" width="8.5703125" style="430" customWidth="1"/>
    <col min="16" max="16" width="2.28515625" style="481" customWidth="1"/>
    <col min="17" max="17" width="10.7109375" style="432" customWidth="1"/>
    <col min="18" max="18" width="2.28515625" style="481" customWidth="1"/>
    <col min="19" max="19" width="10.140625" style="433" customWidth="1"/>
    <col min="20" max="20" width="10" style="434" customWidth="1"/>
    <col min="21" max="21" width="4.28515625" style="352" bestFit="1" customWidth="1"/>
    <col min="22" max="22" width="14.85546875" style="673" customWidth="1"/>
    <col min="23" max="23" width="12.5703125" style="351" bestFit="1" customWidth="1"/>
    <col min="24" max="24" width="11.28515625" style="351" customWidth="1"/>
    <col min="25" max="25" width="13.7109375" style="351" bestFit="1" customWidth="1"/>
    <col min="26" max="16384" width="9.28515625" style="351"/>
  </cols>
  <sheetData>
    <row r="1" spans="2:22" s="1" customFormat="1" x14ac:dyDescent="0.3">
      <c r="B1" s="1" t="str">
        <f>RAB!B3</f>
        <v xml:space="preserve">Pekerjaan          </v>
      </c>
      <c r="C1" s="3"/>
      <c r="D1" s="1" t="str">
        <f>RAB!D3</f>
        <v>: Perencanaan Pembangunan Gedung Tahfizul Qur'an-Wahdatul Ulum UIN SU</v>
      </c>
      <c r="E1" s="153"/>
      <c r="F1" s="480"/>
      <c r="G1" s="153"/>
      <c r="H1" s="480"/>
      <c r="I1" s="153"/>
      <c r="J1" s="480"/>
      <c r="K1" s="153"/>
      <c r="L1" s="480"/>
      <c r="M1" s="162"/>
      <c r="N1" s="480"/>
      <c r="O1" s="153"/>
      <c r="P1" s="480"/>
      <c r="Q1" s="200"/>
      <c r="R1" s="480"/>
      <c r="S1" s="224"/>
      <c r="T1" s="66"/>
      <c r="U1" s="2"/>
      <c r="V1" s="43"/>
    </row>
    <row r="2" spans="2:22" s="1" customFormat="1" x14ac:dyDescent="0.3">
      <c r="B2" s="1" t="str">
        <f>RAB!B4</f>
        <v xml:space="preserve">Lokasi                </v>
      </c>
      <c r="C2" s="3"/>
      <c r="D2" s="1" t="str">
        <f>RAB!D4</f>
        <v xml:space="preserve">Kampus UINSU Jl. Sutomo No. 1 </v>
      </c>
      <c r="E2" s="153"/>
      <c r="F2" s="480"/>
      <c r="G2" s="153"/>
      <c r="H2" s="480"/>
      <c r="I2" s="153"/>
      <c r="J2" s="480"/>
      <c r="K2" s="153"/>
      <c r="L2" s="480"/>
      <c r="M2" s="162"/>
      <c r="N2" s="480"/>
      <c r="O2" s="153"/>
      <c r="P2" s="480"/>
      <c r="Q2" s="200"/>
      <c r="R2" s="480"/>
      <c r="S2" s="224"/>
      <c r="T2" s="66"/>
      <c r="U2" s="2"/>
      <c r="V2" s="43"/>
    </row>
    <row r="3" spans="2:22" s="1" customFormat="1" x14ac:dyDescent="0.3">
      <c r="B3" s="1" t="str">
        <f>RAB!B5</f>
        <v xml:space="preserve">Tahun                 </v>
      </c>
      <c r="C3" s="3"/>
      <c r="D3" s="1" t="str">
        <f>RAB!D5</f>
        <v>: 2022</v>
      </c>
      <c r="E3" s="153"/>
      <c r="F3" s="480"/>
      <c r="G3" s="153"/>
      <c r="H3" s="480"/>
      <c r="I3" s="153"/>
      <c r="J3" s="480"/>
      <c r="K3" s="153"/>
      <c r="L3" s="480"/>
      <c r="M3" s="162"/>
      <c r="N3" s="480"/>
      <c r="O3" s="153"/>
      <c r="P3" s="480"/>
      <c r="Q3" s="200"/>
      <c r="R3" s="480"/>
      <c r="S3" s="224"/>
      <c r="T3" s="66"/>
      <c r="U3" s="2"/>
      <c r="V3" s="43"/>
    </row>
    <row r="4" spans="2:22" s="67" customFormat="1" ht="22.15" customHeight="1" x14ac:dyDescent="0.2">
      <c r="B4" s="3098" t="s">
        <v>593</v>
      </c>
      <c r="C4" s="3098"/>
      <c r="D4" s="3098"/>
      <c r="E4" s="3098"/>
      <c r="F4" s="3098"/>
      <c r="G4" s="3098"/>
      <c r="H4" s="3098"/>
      <c r="I4" s="3098"/>
      <c r="J4" s="3098"/>
      <c r="K4" s="3098"/>
      <c r="L4" s="3098"/>
      <c r="M4" s="3098"/>
      <c r="N4" s="3098"/>
      <c r="O4" s="3098"/>
      <c r="P4" s="3098"/>
      <c r="Q4" s="3098"/>
      <c r="R4" s="3098"/>
      <c r="S4" s="3098"/>
      <c r="T4" s="3098"/>
      <c r="U4" s="3098"/>
      <c r="V4" s="672"/>
    </row>
    <row r="5" spans="2:22" s="1" customFormat="1" x14ac:dyDescent="0.3">
      <c r="B5" s="2"/>
      <c r="C5" s="110"/>
      <c r="D5" s="2"/>
      <c r="E5" s="153"/>
      <c r="F5" s="480"/>
      <c r="G5" s="153"/>
      <c r="H5" s="480"/>
      <c r="I5" s="153"/>
      <c r="J5" s="480"/>
      <c r="K5" s="153"/>
      <c r="L5" s="480"/>
      <c r="M5" s="162"/>
      <c r="N5" s="480"/>
      <c r="O5" s="153"/>
      <c r="P5" s="480"/>
      <c r="Q5" s="200"/>
      <c r="R5" s="480"/>
      <c r="S5" s="225"/>
      <c r="T5" s="2" t="s">
        <v>183</v>
      </c>
      <c r="U5" s="2" t="s">
        <v>184</v>
      </c>
      <c r="V5" s="43"/>
    </row>
    <row r="6" spans="2:22" s="1" customFormat="1" x14ac:dyDescent="0.3">
      <c r="B6" s="66" t="str">
        <f>RAB!B10</f>
        <v>A</v>
      </c>
      <c r="C6" s="110" t="str">
        <f>RAB!C10</f>
        <v>PEKERJAAN PERSIAPAN</v>
      </c>
      <c r="E6" s="153"/>
      <c r="F6" s="480"/>
      <c r="G6" s="153"/>
      <c r="H6" s="480"/>
      <c r="I6" s="153"/>
      <c r="J6" s="480"/>
      <c r="K6" s="153"/>
      <c r="L6" s="480"/>
      <c r="M6" s="162"/>
      <c r="N6" s="480"/>
      <c r="O6" s="153"/>
      <c r="P6" s="480"/>
      <c r="Q6" s="200"/>
      <c r="R6" s="480"/>
      <c r="S6" s="224"/>
      <c r="T6" s="66"/>
      <c r="U6" s="2"/>
      <c r="V6" s="43"/>
    </row>
    <row r="7" spans="2:22" x14ac:dyDescent="0.3">
      <c r="B7" s="434"/>
      <c r="C7" s="435"/>
    </row>
    <row r="8" spans="2:22" s="1" customFormat="1" ht="17.25" thickBot="1" x14ac:dyDescent="0.35">
      <c r="B8" s="1">
        <f>RAB!B11</f>
        <v>1</v>
      </c>
      <c r="C8" s="3" t="str">
        <f>RAB!C11</f>
        <v>Pengukuran/Bowplank</v>
      </c>
      <c r="E8" s="153"/>
      <c r="F8" s="480"/>
      <c r="G8" s="153"/>
      <c r="H8" s="480"/>
      <c r="I8" s="153"/>
      <c r="J8" s="480"/>
      <c r="K8" s="153"/>
      <c r="L8" s="480"/>
      <c r="M8" s="162"/>
      <c r="N8" s="480"/>
      <c r="O8" s="153"/>
      <c r="P8" s="480"/>
      <c r="Q8" s="200"/>
      <c r="R8" s="480"/>
      <c r="S8" s="224"/>
      <c r="T8" s="99"/>
      <c r="U8" s="2"/>
      <c r="V8" s="43"/>
    </row>
    <row r="9" spans="2:22" s="1" customFormat="1" x14ac:dyDescent="0.3">
      <c r="C9" s="3"/>
      <c r="D9" s="8" t="s">
        <v>95</v>
      </c>
      <c r="E9" s="154" t="s">
        <v>150</v>
      </c>
      <c r="F9" s="493"/>
      <c r="G9" s="154" t="s">
        <v>151</v>
      </c>
      <c r="H9" s="493"/>
      <c r="I9" s="154" t="s">
        <v>152</v>
      </c>
      <c r="J9" s="493"/>
      <c r="K9" s="154" t="s">
        <v>153</v>
      </c>
      <c r="L9" s="494"/>
      <c r="M9" s="163" t="s">
        <v>32</v>
      </c>
      <c r="N9" s="494"/>
      <c r="O9" s="201" t="s">
        <v>163</v>
      </c>
      <c r="P9" s="494"/>
      <c r="Q9" s="202" t="s">
        <v>151</v>
      </c>
      <c r="R9" s="494"/>
      <c r="S9" s="226" t="s">
        <v>143</v>
      </c>
      <c r="T9" s="99"/>
      <c r="U9" s="2"/>
      <c r="V9" s="43"/>
    </row>
    <row r="10" spans="2:22" s="1" customFormat="1" x14ac:dyDescent="0.3">
      <c r="C10" s="3"/>
      <c r="D10" s="317" t="str">
        <f>RAB!C11</f>
        <v>Pengukuran/Bowplank</v>
      </c>
      <c r="E10" s="152"/>
      <c r="F10" s="495"/>
      <c r="G10" s="152"/>
      <c r="H10" s="496"/>
      <c r="I10" s="152"/>
      <c r="J10" s="495"/>
      <c r="K10" s="152"/>
      <c r="L10" s="496"/>
      <c r="M10" s="173"/>
      <c r="N10" s="496"/>
      <c r="O10" s="152"/>
      <c r="P10" s="495"/>
      <c r="Q10" s="221"/>
      <c r="R10" s="495"/>
      <c r="S10" s="316"/>
      <c r="T10" s="100">
        <f>S13</f>
        <v>138</v>
      </c>
      <c r="U10" s="2" t="s">
        <v>27</v>
      </c>
      <c r="V10" s="43"/>
    </row>
    <row r="11" spans="2:22" s="1" customFormat="1" x14ac:dyDescent="0.3">
      <c r="C11" s="3"/>
      <c r="D11" s="290" t="s">
        <v>286</v>
      </c>
      <c r="E11" s="187">
        <f>36+4</f>
        <v>40</v>
      </c>
      <c r="F11" s="497" t="s">
        <v>185</v>
      </c>
      <c r="G11" s="187"/>
      <c r="H11" s="498"/>
      <c r="I11" s="187"/>
      <c r="J11" s="497"/>
      <c r="K11" s="187">
        <v>2</v>
      </c>
      <c r="L11" s="498"/>
      <c r="M11" s="188"/>
      <c r="N11" s="498"/>
      <c r="O11" s="187"/>
      <c r="P11" s="497"/>
      <c r="Q11" s="218"/>
      <c r="R11" s="497" t="s">
        <v>114</v>
      </c>
      <c r="S11" s="293">
        <f>K11*E11</f>
        <v>80</v>
      </c>
      <c r="T11" s="100"/>
      <c r="U11" s="2"/>
      <c r="V11" s="43"/>
    </row>
    <row r="12" spans="2:22" s="1" customFormat="1" x14ac:dyDescent="0.3">
      <c r="C12" s="3"/>
      <c r="D12" s="290" t="s">
        <v>252</v>
      </c>
      <c r="E12" s="187">
        <f>25.5+3.5</f>
        <v>29</v>
      </c>
      <c r="F12" s="497" t="s">
        <v>185</v>
      </c>
      <c r="G12" s="187"/>
      <c r="H12" s="498"/>
      <c r="I12" s="187"/>
      <c r="J12" s="497"/>
      <c r="K12" s="187">
        <v>2</v>
      </c>
      <c r="L12" s="498"/>
      <c r="M12" s="188"/>
      <c r="N12" s="498"/>
      <c r="O12" s="187"/>
      <c r="P12" s="497"/>
      <c r="Q12" s="218"/>
      <c r="R12" s="497" t="s">
        <v>114</v>
      </c>
      <c r="S12" s="293">
        <f>K12*E12</f>
        <v>58</v>
      </c>
      <c r="T12" s="100"/>
      <c r="U12" s="2"/>
      <c r="V12" s="43"/>
    </row>
    <row r="13" spans="2:22" s="1" customFormat="1" ht="17.25" thickBot="1" x14ac:dyDescent="0.35">
      <c r="C13" s="3"/>
      <c r="D13" s="3099" t="s">
        <v>164</v>
      </c>
      <c r="E13" s="3100"/>
      <c r="F13" s="3100"/>
      <c r="G13" s="3100"/>
      <c r="H13" s="3100"/>
      <c r="I13" s="3100"/>
      <c r="J13" s="499"/>
      <c r="K13" s="174"/>
      <c r="L13" s="500"/>
      <c r="M13" s="175"/>
      <c r="N13" s="500"/>
      <c r="O13" s="178"/>
      <c r="P13" s="500"/>
      <c r="Q13" s="203"/>
      <c r="R13" s="500"/>
      <c r="S13" s="227">
        <f>SUM(S10:S12)</f>
        <v>138</v>
      </c>
      <c r="T13" s="99"/>
      <c r="U13" s="2"/>
      <c r="V13" s="43"/>
    </row>
    <row r="14" spans="2:22" s="1" customFormat="1" x14ac:dyDescent="0.3">
      <c r="C14" s="3"/>
      <c r="D14" s="111"/>
      <c r="E14" s="156"/>
      <c r="F14" s="501"/>
      <c r="G14" s="156"/>
      <c r="H14" s="501"/>
      <c r="I14" s="156"/>
      <c r="J14" s="501"/>
      <c r="K14" s="156"/>
      <c r="L14" s="501"/>
      <c r="M14" s="165"/>
      <c r="N14" s="501"/>
      <c r="O14" s="156"/>
      <c r="P14" s="501"/>
      <c r="Q14" s="204"/>
      <c r="R14" s="501"/>
      <c r="S14" s="228"/>
      <c r="T14" s="99"/>
      <c r="U14" s="2"/>
      <c r="V14" s="43"/>
    </row>
    <row r="15" spans="2:22" s="1" customFormat="1" ht="17.25" thickBot="1" x14ac:dyDescent="0.35">
      <c r="B15" s="1">
        <f>RAB!B12</f>
        <v>2</v>
      </c>
      <c r="C15" s="3" t="str">
        <f>RAB!C12</f>
        <v>Pagar Pengaman Proyek</v>
      </c>
      <c r="D15" s="111"/>
      <c r="E15" s="156"/>
      <c r="F15" s="501"/>
      <c r="G15" s="156"/>
      <c r="H15" s="501"/>
      <c r="I15" s="156"/>
      <c r="J15" s="501"/>
      <c r="K15" s="156"/>
      <c r="L15" s="501"/>
      <c r="M15" s="165"/>
      <c r="N15" s="501"/>
      <c r="O15" s="156"/>
      <c r="P15" s="501"/>
      <c r="Q15" s="204"/>
      <c r="R15" s="501"/>
      <c r="S15" s="228"/>
      <c r="T15" s="100">
        <f>S20</f>
        <v>158</v>
      </c>
      <c r="U15" s="2" t="s">
        <v>27</v>
      </c>
      <c r="V15" s="43"/>
    </row>
    <row r="16" spans="2:22" s="1" customFormat="1" x14ac:dyDescent="0.3">
      <c r="C16" s="3"/>
      <c r="D16" s="8" t="s">
        <v>95</v>
      </c>
      <c r="E16" s="154" t="s">
        <v>150</v>
      </c>
      <c r="F16" s="493"/>
      <c r="G16" s="154" t="s">
        <v>151</v>
      </c>
      <c r="H16" s="493"/>
      <c r="I16" s="154" t="s">
        <v>152</v>
      </c>
      <c r="J16" s="493"/>
      <c r="K16" s="154" t="s">
        <v>153</v>
      </c>
      <c r="L16" s="494"/>
      <c r="M16" s="163" t="s">
        <v>32</v>
      </c>
      <c r="N16" s="494"/>
      <c r="O16" s="201" t="s">
        <v>163</v>
      </c>
      <c r="P16" s="494"/>
      <c r="Q16" s="202" t="s">
        <v>151</v>
      </c>
      <c r="R16" s="494"/>
      <c r="S16" s="226" t="s">
        <v>143</v>
      </c>
      <c r="T16" s="99"/>
      <c r="U16" s="2"/>
      <c r="V16" s="43"/>
    </row>
    <row r="17" spans="2:22" s="1" customFormat="1" x14ac:dyDescent="0.3">
      <c r="C17" s="3"/>
      <c r="D17" s="315" t="s">
        <v>592</v>
      </c>
      <c r="E17" s="152"/>
      <c r="F17" s="495"/>
      <c r="G17" s="152"/>
      <c r="H17" s="496"/>
      <c r="I17" s="152"/>
      <c r="J17" s="495"/>
      <c r="K17" s="152"/>
      <c r="L17" s="496"/>
      <c r="M17" s="173"/>
      <c r="N17" s="496"/>
      <c r="O17" s="152"/>
      <c r="P17" s="495"/>
      <c r="Q17" s="221"/>
      <c r="R17" s="495"/>
      <c r="S17" s="316"/>
      <c r="V17" s="43"/>
    </row>
    <row r="18" spans="2:22" s="1" customFormat="1" x14ac:dyDescent="0.3">
      <c r="C18" s="3"/>
      <c r="D18" s="290" t="s">
        <v>286</v>
      </c>
      <c r="E18" s="187">
        <v>52</v>
      </c>
      <c r="F18" s="497" t="s">
        <v>185</v>
      </c>
      <c r="G18" s="187"/>
      <c r="H18" s="498"/>
      <c r="I18" s="187"/>
      <c r="J18" s="497"/>
      <c r="K18" s="187">
        <v>2</v>
      </c>
      <c r="L18" s="498"/>
      <c r="M18" s="188"/>
      <c r="N18" s="498"/>
      <c r="O18" s="187"/>
      <c r="P18" s="497"/>
      <c r="Q18" s="218"/>
      <c r="R18" s="497" t="s">
        <v>114</v>
      </c>
      <c r="S18" s="293">
        <f>K18*E18</f>
        <v>104</v>
      </c>
      <c r="T18" s="100"/>
      <c r="U18" s="2"/>
      <c r="V18" s="43"/>
    </row>
    <row r="19" spans="2:22" s="1" customFormat="1" x14ac:dyDescent="0.3">
      <c r="C19" s="3"/>
      <c r="D19" s="290" t="s">
        <v>252</v>
      </c>
      <c r="E19" s="187">
        <v>27</v>
      </c>
      <c r="F19" s="497" t="s">
        <v>185</v>
      </c>
      <c r="G19" s="187"/>
      <c r="H19" s="498"/>
      <c r="I19" s="187"/>
      <c r="J19" s="497"/>
      <c r="K19" s="187">
        <v>2</v>
      </c>
      <c r="L19" s="498"/>
      <c r="M19" s="188"/>
      <c r="N19" s="498"/>
      <c r="O19" s="187"/>
      <c r="P19" s="497"/>
      <c r="Q19" s="218"/>
      <c r="R19" s="497" t="s">
        <v>114</v>
      </c>
      <c r="S19" s="293">
        <f>K19*E19</f>
        <v>54</v>
      </c>
      <c r="T19" s="100"/>
      <c r="U19" s="2"/>
      <c r="V19" s="43"/>
    </row>
    <row r="20" spans="2:22" s="1" customFormat="1" ht="17.25" thickBot="1" x14ac:dyDescent="0.35">
      <c r="C20" s="64"/>
      <c r="D20" s="3099" t="s">
        <v>164</v>
      </c>
      <c r="E20" s="3100"/>
      <c r="F20" s="3100"/>
      <c r="G20" s="3100"/>
      <c r="H20" s="3100"/>
      <c r="I20" s="3100"/>
      <c r="J20" s="499"/>
      <c r="K20" s="174"/>
      <c r="L20" s="500"/>
      <c r="M20" s="175"/>
      <c r="N20" s="500"/>
      <c r="O20" s="178"/>
      <c r="P20" s="500"/>
      <c r="Q20" s="203"/>
      <c r="R20" s="500"/>
      <c r="S20" s="227">
        <f>SUM(S18:S19)</f>
        <v>158</v>
      </c>
      <c r="T20" s="66"/>
      <c r="U20" s="2"/>
      <c r="V20" s="43"/>
    </row>
    <row r="21" spans="2:22" x14ac:dyDescent="0.3">
      <c r="D21" s="437"/>
      <c r="E21" s="438"/>
      <c r="F21" s="482"/>
      <c r="G21" s="438"/>
      <c r="H21" s="482"/>
      <c r="I21" s="438"/>
      <c r="J21" s="482"/>
      <c r="K21" s="438"/>
      <c r="L21" s="482"/>
      <c r="M21" s="439"/>
      <c r="N21" s="482"/>
      <c r="O21" s="438"/>
      <c r="P21" s="482"/>
      <c r="Q21" s="440"/>
      <c r="R21" s="482"/>
      <c r="S21" s="441"/>
      <c r="T21" s="436"/>
    </row>
    <row r="22" spans="2:22" s="1" customFormat="1" x14ac:dyDescent="0.3">
      <c r="B22" s="1">
        <f>RAB!B18</f>
        <v>8</v>
      </c>
      <c r="C22" s="3" t="str">
        <f>RAB!C18</f>
        <v>Biaya SMK 3</v>
      </c>
      <c r="D22" s="111"/>
      <c r="E22" s="156"/>
      <c r="F22" s="501"/>
      <c r="G22" s="156"/>
      <c r="H22" s="501"/>
      <c r="I22" s="156"/>
      <c r="J22" s="501"/>
      <c r="K22" s="156"/>
      <c r="L22" s="501"/>
      <c r="M22" s="165"/>
      <c r="N22" s="501"/>
      <c r="O22" s="156"/>
      <c r="P22" s="501"/>
      <c r="Q22" s="204"/>
      <c r="R22" s="501"/>
      <c r="S22" s="228"/>
      <c r="T22" s="99">
        <v>1</v>
      </c>
      <c r="U22" s="2" t="s">
        <v>1</v>
      </c>
      <c r="V22" s="43"/>
    </row>
    <row r="23" spans="2:22" x14ac:dyDescent="0.3">
      <c r="D23" s="437"/>
      <c r="E23" s="438"/>
      <c r="F23" s="482"/>
      <c r="G23" s="438"/>
      <c r="H23" s="482"/>
      <c r="I23" s="438"/>
      <c r="J23" s="482"/>
      <c r="K23" s="438"/>
      <c r="L23" s="482"/>
      <c r="M23" s="439"/>
      <c r="N23" s="482"/>
      <c r="O23" s="438"/>
      <c r="P23" s="482"/>
      <c r="Q23" s="440"/>
      <c r="R23" s="482"/>
      <c r="S23" s="441"/>
      <c r="T23" s="436"/>
    </row>
    <row r="24" spans="2:22" s="32" customFormat="1" x14ac:dyDescent="0.3">
      <c r="B24" s="50" t="str">
        <f>RAB!B21</f>
        <v>B</v>
      </c>
      <c r="C24" s="119" t="str">
        <f>RAB!C21</f>
        <v>BANGUNAN LANTAI - 1</v>
      </c>
      <c r="E24" s="176"/>
      <c r="F24" s="504"/>
      <c r="G24" s="176"/>
      <c r="H24" s="504"/>
      <c r="I24" s="176"/>
      <c r="J24" s="504"/>
      <c r="K24" s="176"/>
      <c r="L24" s="504"/>
      <c r="M24" s="177"/>
      <c r="N24" s="504"/>
      <c r="O24" s="176"/>
      <c r="P24" s="504"/>
      <c r="Q24" s="205"/>
      <c r="R24" s="504"/>
      <c r="S24" s="229"/>
      <c r="T24" s="53"/>
      <c r="U24" s="50"/>
      <c r="V24" s="51"/>
    </row>
    <row r="25" spans="2:22" s="32" customFormat="1" x14ac:dyDescent="0.3">
      <c r="B25" s="34" t="str">
        <f>RAB!B22</f>
        <v>I</v>
      </c>
      <c r="C25" s="33" t="str">
        <f>RAB!C22</f>
        <v>PEKERJAAN TANAH</v>
      </c>
      <c r="E25" s="176"/>
      <c r="F25" s="504"/>
      <c r="G25" s="176"/>
      <c r="H25" s="504"/>
      <c r="I25" s="176"/>
      <c r="J25" s="504"/>
      <c r="K25" s="176"/>
      <c r="L25" s="504"/>
      <c r="M25" s="177"/>
      <c r="N25" s="504"/>
      <c r="O25" s="176"/>
      <c r="P25" s="504"/>
      <c r="Q25" s="205"/>
      <c r="R25" s="504"/>
      <c r="S25" s="229"/>
      <c r="T25" s="53"/>
      <c r="U25" s="53"/>
      <c r="V25" s="51"/>
    </row>
    <row r="26" spans="2:22" s="32" customFormat="1" ht="17.25" thickBot="1" x14ac:dyDescent="0.35">
      <c r="B26" s="34">
        <f>RAB!B23</f>
        <v>1</v>
      </c>
      <c r="C26" s="33" t="str">
        <f>RAB!C23</f>
        <v xml:space="preserve">Galian Tanah </v>
      </c>
      <c r="E26" s="176"/>
      <c r="F26" s="504"/>
      <c r="G26" s="176"/>
      <c r="H26" s="504"/>
      <c r="I26" s="176"/>
      <c r="J26" s="504"/>
      <c r="K26" s="176"/>
      <c r="L26" s="504"/>
      <c r="M26" s="177"/>
      <c r="N26" s="504"/>
      <c r="O26" s="176"/>
      <c r="P26" s="504"/>
      <c r="Q26" s="205"/>
      <c r="R26" s="504"/>
      <c r="S26" s="229"/>
      <c r="T26" s="100">
        <f>ROUNDDOWN(S32,2)</f>
        <v>70.62</v>
      </c>
      <c r="U26" s="50" t="s">
        <v>3</v>
      </c>
      <c r="V26" s="51"/>
    </row>
    <row r="27" spans="2:22" s="32" customFormat="1" x14ac:dyDescent="0.3">
      <c r="C27" s="33"/>
      <c r="D27" s="52" t="s">
        <v>95</v>
      </c>
      <c r="E27" s="155" t="s">
        <v>150</v>
      </c>
      <c r="F27" s="505"/>
      <c r="G27" s="155" t="s">
        <v>151</v>
      </c>
      <c r="H27" s="505"/>
      <c r="I27" s="155" t="s">
        <v>152</v>
      </c>
      <c r="J27" s="505"/>
      <c r="K27" s="155" t="s">
        <v>153</v>
      </c>
      <c r="L27" s="506"/>
      <c r="M27" s="164" t="s">
        <v>32</v>
      </c>
      <c r="N27" s="506"/>
      <c r="O27" s="206" t="s">
        <v>163</v>
      </c>
      <c r="P27" s="506"/>
      <c r="Q27" s="207" t="s">
        <v>151</v>
      </c>
      <c r="R27" s="506"/>
      <c r="S27" s="230" t="s">
        <v>143</v>
      </c>
      <c r="T27" s="419"/>
      <c r="U27" s="50"/>
      <c r="V27" s="51"/>
    </row>
    <row r="28" spans="2:22" s="32" customFormat="1" x14ac:dyDescent="0.3">
      <c r="C28" s="33"/>
      <c r="D28" s="297" t="s">
        <v>249</v>
      </c>
      <c r="E28" s="217"/>
      <c r="F28" s="507"/>
      <c r="G28" s="217"/>
      <c r="H28" s="507"/>
      <c r="I28" s="217"/>
      <c r="J28" s="507"/>
      <c r="K28" s="217"/>
      <c r="L28" s="508"/>
      <c r="M28" s="217"/>
      <c r="N28" s="508"/>
      <c r="O28" s="217"/>
      <c r="P28" s="508"/>
      <c r="Q28" s="276"/>
      <c r="R28" s="507"/>
      <c r="S28" s="298"/>
      <c r="T28" s="419"/>
      <c r="U28" s="50"/>
      <c r="V28" s="51"/>
    </row>
    <row r="29" spans="2:22" s="32" customFormat="1" x14ac:dyDescent="0.3">
      <c r="C29" s="33"/>
      <c r="D29" s="140" t="s">
        <v>1311</v>
      </c>
      <c r="E29" s="328">
        <v>1.1000000000000001</v>
      </c>
      <c r="F29" s="509" t="s">
        <v>185</v>
      </c>
      <c r="G29" s="328">
        <v>1.1000000000000001</v>
      </c>
      <c r="H29" s="509" t="s">
        <v>185</v>
      </c>
      <c r="I29" s="328">
        <v>0.75</v>
      </c>
      <c r="J29" s="509" t="s">
        <v>185</v>
      </c>
      <c r="K29" s="328">
        <f>14*4</f>
        <v>56</v>
      </c>
      <c r="L29" s="510"/>
      <c r="M29" s="328"/>
      <c r="N29" s="510"/>
      <c r="O29" s="328"/>
      <c r="P29" s="510"/>
      <c r="Q29" s="328"/>
      <c r="R29" s="509" t="s">
        <v>114</v>
      </c>
      <c r="S29" s="511">
        <f>K29*I29*G29*E29</f>
        <v>50.820000000000007</v>
      </c>
      <c r="T29" s="419"/>
      <c r="U29" s="50"/>
      <c r="V29" s="51">
        <f>SUM(S29:S30)</f>
        <v>70.62</v>
      </c>
    </row>
    <row r="30" spans="2:22" s="32" customFormat="1" x14ac:dyDescent="0.3">
      <c r="C30" s="33"/>
      <c r="D30" s="140" t="s">
        <v>1312</v>
      </c>
      <c r="E30" s="328">
        <v>2</v>
      </c>
      <c r="F30" s="509" t="s">
        <v>185</v>
      </c>
      <c r="G30" s="328">
        <v>1.1000000000000001</v>
      </c>
      <c r="H30" s="509" t="s">
        <v>185</v>
      </c>
      <c r="I30" s="328">
        <f>I29</f>
        <v>0.75</v>
      </c>
      <c r="J30" s="509" t="s">
        <v>185</v>
      </c>
      <c r="K30" s="328">
        <f>3*4</f>
        <v>12</v>
      </c>
      <c r="L30" s="510"/>
      <c r="M30" s="328"/>
      <c r="N30" s="510"/>
      <c r="O30" s="328"/>
      <c r="P30" s="510"/>
      <c r="Q30" s="328"/>
      <c r="R30" s="509" t="s">
        <v>114</v>
      </c>
      <c r="S30" s="511">
        <f>K30*I30*G30*E30</f>
        <v>19.8</v>
      </c>
      <c r="T30" s="419"/>
      <c r="U30" s="50"/>
      <c r="V30" s="51"/>
    </row>
    <row r="31" spans="2:22" s="1" customFormat="1" x14ac:dyDescent="0.3">
      <c r="C31" s="64"/>
      <c r="D31" s="313"/>
      <c r="E31" s="330"/>
      <c r="F31" s="512"/>
      <c r="G31" s="330"/>
      <c r="H31" s="512"/>
      <c r="I31" s="330"/>
      <c r="J31" s="512"/>
      <c r="K31" s="330"/>
      <c r="L31" s="512"/>
      <c r="M31" s="330"/>
      <c r="N31" s="512"/>
      <c r="O31" s="330"/>
      <c r="P31" s="512"/>
      <c r="Q31" s="330"/>
      <c r="R31" s="512"/>
      <c r="S31" s="513"/>
      <c r="T31" s="66"/>
      <c r="U31" s="2"/>
      <c r="V31" s="43"/>
    </row>
    <row r="32" spans="2:22" s="1" customFormat="1" ht="17.25" thickBot="1" x14ac:dyDescent="0.35">
      <c r="C32" s="64"/>
      <c r="D32" s="3099" t="s">
        <v>164</v>
      </c>
      <c r="E32" s="3100"/>
      <c r="F32" s="3100"/>
      <c r="G32" s="3100"/>
      <c r="H32" s="3100"/>
      <c r="I32" s="3100"/>
      <c r="J32" s="499"/>
      <c r="K32" s="174"/>
      <c r="L32" s="500"/>
      <c r="M32" s="175"/>
      <c r="N32" s="500"/>
      <c r="O32" s="178"/>
      <c r="P32" s="500"/>
      <c r="Q32" s="203"/>
      <c r="R32" s="500"/>
      <c r="S32" s="227">
        <f>SUM(S29:S30)</f>
        <v>70.62</v>
      </c>
      <c r="T32" s="66"/>
      <c r="U32" s="2"/>
      <c r="V32" s="43"/>
    </row>
    <row r="33" spans="2:22" x14ac:dyDescent="0.3">
      <c r="C33" s="442"/>
      <c r="D33" s="451"/>
      <c r="E33" s="438"/>
      <c r="F33" s="484"/>
      <c r="G33" s="438"/>
      <c r="H33" s="484"/>
      <c r="I33" s="438"/>
      <c r="J33" s="484"/>
      <c r="K33" s="438"/>
      <c r="L33" s="482"/>
      <c r="M33" s="439"/>
      <c r="N33" s="482"/>
      <c r="O33" s="438"/>
      <c r="P33" s="482"/>
      <c r="Q33" s="440"/>
      <c r="R33" s="482"/>
      <c r="S33" s="452"/>
    </row>
    <row r="34" spans="2:22" s="32" customFormat="1" ht="17.25" thickBot="1" x14ac:dyDescent="0.35">
      <c r="B34" s="34">
        <f>RAB!B24</f>
        <v>2</v>
      </c>
      <c r="C34" s="33" t="str">
        <f>RAB!C24</f>
        <v>Urugan Tanah Kembali Bekas Galian</v>
      </c>
      <c r="E34" s="176"/>
      <c r="F34" s="504"/>
      <c r="G34" s="176"/>
      <c r="H34" s="504"/>
      <c r="I34" s="176"/>
      <c r="J34" s="504"/>
      <c r="K34" s="176"/>
      <c r="L34" s="504"/>
      <c r="M34" s="177"/>
      <c r="N34" s="504"/>
      <c r="O34" s="176"/>
      <c r="P34" s="504"/>
      <c r="Q34" s="205"/>
      <c r="R34" s="504"/>
      <c r="S34" s="229"/>
      <c r="T34" s="100">
        <f>ROUNDDOWN(S46,2)</f>
        <v>17.61</v>
      </c>
      <c r="U34" s="50" t="s">
        <v>3</v>
      </c>
      <c r="V34" s="51"/>
    </row>
    <row r="35" spans="2:22" s="32" customFormat="1" x14ac:dyDescent="0.3">
      <c r="C35" s="33"/>
      <c r="D35" s="52" t="s">
        <v>95</v>
      </c>
      <c r="E35" s="155" t="s">
        <v>150</v>
      </c>
      <c r="F35" s="505"/>
      <c r="G35" s="155" t="s">
        <v>151</v>
      </c>
      <c r="H35" s="505"/>
      <c r="I35" s="155" t="s">
        <v>152</v>
      </c>
      <c r="J35" s="505"/>
      <c r="K35" s="155" t="s">
        <v>153</v>
      </c>
      <c r="L35" s="506"/>
      <c r="M35" s="164" t="s">
        <v>32</v>
      </c>
      <c r="N35" s="506"/>
      <c r="O35" s="206" t="s">
        <v>163</v>
      </c>
      <c r="P35" s="506"/>
      <c r="Q35" s="207" t="s">
        <v>151</v>
      </c>
      <c r="R35" s="506"/>
      <c r="S35" s="230" t="s">
        <v>143</v>
      </c>
      <c r="T35" s="419"/>
      <c r="U35" s="50"/>
      <c r="V35" s="51"/>
    </row>
    <row r="36" spans="2:22" s="32" customFormat="1" x14ac:dyDescent="0.3">
      <c r="C36" s="33"/>
      <c r="D36" s="297" t="s">
        <v>154</v>
      </c>
      <c r="E36" s="217"/>
      <c r="F36" s="507"/>
      <c r="G36" s="217"/>
      <c r="H36" s="507"/>
      <c r="I36" s="217"/>
      <c r="J36" s="507"/>
      <c r="K36" s="217"/>
      <c r="L36" s="508"/>
      <c r="M36" s="217"/>
      <c r="N36" s="508"/>
      <c r="O36" s="217"/>
      <c r="P36" s="508"/>
      <c r="Q36" s="276"/>
      <c r="R36" s="507"/>
      <c r="S36" s="298"/>
      <c r="T36" s="419"/>
      <c r="U36" s="50"/>
      <c r="V36" s="51"/>
    </row>
    <row r="37" spans="2:22" s="32" customFormat="1" x14ac:dyDescent="0.3">
      <c r="C37" s="33"/>
      <c r="D37" s="140" t="str">
        <f>C114</f>
        <v>Pile Cap tipe - PC1</v>
      </c>
      <c r="E37" s="172"/>
      <c r="F37" s="514"/>
      <c r="G37" s="172"/>
      <c r="H37" s="514"/>
      <c r="I37" s="172"/>
      <c r="J37" s="514"/>
      <c r="K37" s="172"/>
      <c r="L37" s="515"/>
      <c r="M37" s="172"/>
      <c r="N37" s="515"/>
      <c r="O37" s="172"/>
      <c r="P37" s="515"/>
      <c r="Q37" s="259"/>
      <c r="R37" s="521" t="s">
        <v>114</v>
      </c>
      <c r="S37" s="260">
        <f>S117</f>
        <v>27.216000000000001</v>
      </c>
      <c r="T37" s="419"/>
      <c r="U37" s="50"/>
      <c r="V37" s="51"/>
    </row>
    <row r="38" spans="2:22" s="32" customFormat="1" x14ac:dyDescent="0.3">
      <c r="C38" s="33"/>
      <c r="D38" s="140" t="str">
        <f>C136</f>
        <v>Pile Cap tipe - PC2</v>
      </c>
      <c r="E38" s="172"/>
      <c r="F38" s="514"/>
      <c r="G38" s="172"/>
      <c r="H38" s="514"/>
      <c r="I38" s="172"/>
      <c r="J38" s="514"/>
      <c r="K38" s="172"/>
      <c r="L38" s="515"/>
      <c r="M38" s="172"/>
      <c r="N38" s="515"/>
      <c r="O38" s="172"/>
      <c r="P38" s="515"/>
      <c r="Q38" s="259"/>
      <c r="R38" s="521" t="s">
        <v>114</v>
      </c>
      <c r="S38" s="260">
        <f>S139</f>
        <v>11.664</v>
      </c>
      <c r="T38" s="419"/>
      <c r="U38" s="50"/>
      <c r="V38" s="51"/>
    </row>
    <row r="39" spans="2:22" s="1" customFormat="1" x14ac:dyDescent="0.3">
      <c r="C39" s="64"/>
      <c r="D39" s="311" t="s">
        <v>726</v>
      </c>
      <c r="E39" s="172"/>
      <c r="F39" s="514"/>
      <c r="G39" s="172"/>
      <c r="H39" s="521"/>
      <c r="I39" s="187"/>
      <c r="J39" s="521"/>
      <c r="K39" s="187"/>
      <c r="L39" s="498"/>
      <c r="M39" s="188"/>
      <c r="N39" s="498"/>
      <c r="O39" s="187"/>
      <c r="P39" s="498"/>
      <c r="Q39" s="218"/>
      <c r="R39" s="521" t="s">
        <v>114</v>
      </c>
      <c r="S39" s="293">
        <f>SUM(S51:S55)</f>
        <v>14.124000000000002</v>
      </c>
      <c r="T39" s="66"/>
      <c r="U39" s="2"/>
      <c r="V39" s="43"/>
    </row>
    <row r="40" spans="2:22" x14ac:dyDescent="0.3">
      <c r="C40" s="442"/>
      <c r="D40" s="311" t="s">
        <v>725</v>
      </c>
      <c r="E40" s="187"/>
      <c r="F40" s="521"/>
      <c r="G40" s="187"/>
      <c r="H40" s="521"/>
      <c r="I40" s="187"/>
      <c r="J40" s="521"/>
      <c r="K40" s="187"/>
      <c r="L40" s="498"/>
      <c r="M40" s="188"/>
      <c r="N40" s="498"/>
      <c r="O40" s="187"/>
      <c r="P40" s="498"/>
      <c r="Q40" s="218"/>
      <c r="R40" s="521"/>
      <c r="S40" s="244"/>
    </row>
    <row r="41" spans="2:22" x14ac:dyDescent="0.3">
      <c r="C41" s="442"/>
      <c r="D41" s="290" t="s">
        <v>186</v>
      </c>
      <c r="E41" s="187"/>
      <c r="F41" s="521"/>
      <c r="G41" s="187"/>
      <c r="H41" s="521"/>
      <c r="I41" s="187"/>
      <c r="J41" s="521"/>
      <c r="K41" s="187"/>
      <c r="L41" s="522"/>
      <c r="M41" s="187"/>
      <c r="N41" s="522"/>
      <c r="O41" s="187"/>
      <c r="P41" s="521"/>
      <c r="Q41" s="218"/>
      <c r="R41" s="522"/>
      <c r="S41" s="293">
        <f>SUM(S37:S40)</f>
        <v>53.004000000000005</v>
      </c>
    </row>
    <row r="42" spans="2:22" x14ac:dyDescent="0.3">
      <c r="C42" s="442"/>
      <c r="D42" s="261" t="s">
        <v>170</v>
      </c>
      <c r="E42" s="187"/>
      <c r="F42" s="521"/>
      <c r="G42" s="187"/>
      <c r="H42" s="521"/>
      <c r="I42" s="187"/>
      <c r="J42" s="521"/>
      <c r="K42" s="527">
        <f>S32</f>
        <v>70.62</v>
      </c>
      <c r="L42" s="522"/>
      <c r="M42" s="187"/>
      <c r="N42" s="522"/>
      <c r="O42" s="187"/>
      <c r="P42" s="521"/>
      <c r="Q42" s="218"/>
      <c r="R42" s="521" t="s">
        <v>114</v>
      </c>
      <c r="S42" s="293">
        <f>K42</f>
        <v>70.62</v>
      </c>
    </row>
    <row r="43" spans="2:22" x14ac:dyDescent="0.3">
      <c r="C43" s="442"/>
      <c r="D43" s="261" t="s">
        <v>187</v>
      </c>
      <c r="E43" s="187"/>
      <c r="F43" s="521"/>
      <c r="G43" s="187"/>
      <c r="H43" s="521"/>
      <c r="I43" s="187"/>
      <c r="J43" s="521"/>
      <c r="K43" s="187"/>
      <c r="L43" s="522"/>
      <c r="M43" s="187"/>
      <c r="N43" s="522"/>
      <c r="O43" s="187"/>
      <c r="P43" s="521"/>
      <c r="Q43" s="218"/>
      <c r="R43" s="521" t="s">
        <v>149</v>
      </c>
      <c r="S43" s="293">
        <f>S41</f>
        <v>53.004000000000005</v>
      </c>
    </row>
    <row r="44" spans="2:22" x14ac:dyDescent="0.3">
      <c r="C44" s="442"/>
      <c r="D44" s="261" t="s">
        <v>188</v>
      </c>
      <c r="E44" s="187"/>
      <c r="F44" s="521"/>
      <c r="G44" s="187"/>
      <c r="H44" s="521"/>
      <c r="I44" s="187"/>
      <c r="J44" s="521"/>
      <c r="K44" s="187"/>
      <c r="L44" s="522"/>
      <c r="M44" s="187"/>
      <c r="N44" s="522"/>
      <c r="O44" s="187"/>
      <c r="P44" s="521"/>
      <c r="Q44" s="218"/>
      <c r="R44" s="521" t="s">
        <v>114</v>
      </c>
      <c r="S44" s="293">
        <f>S42-S43</f>
        <v>17.616</v>
      </c>
    </row>
    <row r="45" spans="2:22" x14ac:dyDescent="0.3">
      <c r="C45" s="442"/>
      <c r="D45" s="313"/>
      <c r="E45" s="160"/>
      <c r="F45" s="523"/>
      <c r="G45" s="160"/>
      <c r="H45" s="523"/>
      <c r="I45" s="160"/>
      <c r="J45" s="523"/>
      <c r="K45" s="160"/>
      <c r="L45" s="523"/>
      <c r="M45" s="195"/>
      <c r="N45" s="523"/>
      <c r="O45" s="160"/>
      <c r="P45" s="523"/>
      <c r="Q45" s="220"/>
      <c r="R45" s="523"/>
      <c r="S45" s="314"/>
    </row>
    <row r="46" spans="2:22" ht="17.25" thickBot="1" x14ac:dyDescent="0.35">
      <c r="C46" s="442"/>
      <c r="D46" s="3099" t="s">
        <v>164</v>
      </c>
      <c r="E46" s="3100"/>
      <c r="F46" s="3100"/>
      <c r="G46" s="3100"/>
      <c r="H46" s="3100"/>
      <c r="I46" s="3100"/>
      <c r="J46" s="499"/>
      <c r="K46" s="174"/>
      <c r="L46" s="500"/>
      <c r="M46" s="175"/>
      <c r="N46" s="500"/>
      <c r="O46" s="178"/>
      <c r="P46" s="500"/>
      <c r="Q46" s="203"/>
      <c r="R46" s="500"/>
      <c r="S46" s="227">
        <f>S44</f>
        <v>17.616</v>
      </c>
    </row>
    <row r="47" spans="2:22" x14ac:dyDescent="0.3">
      <c r="C47" s="442"/>
      <c r="D47" s="451"/>
      <c r="E47" s="438"/>
      <c r="F47" s="482"/>
      <c r="G47" s="438"/>
      <c r="H47" s="482"/>
      <c r="I47" s="438"/>
      <c r="J47" s="482"/>
      <c r="K47" s="438"/>
      <c r="L47" s="482"/>
      <c r="M47" s="439"/>
      <c r="N47" s="482"/>
      <c r="O47" s="438"/>
      <c r="P47" s="482"/>
      <c r="Q47" s="440"/>
      <c r="R47" s="482"/>
      <c r="S47" s="437"/>
    </row>
    <row r="48" spans="2:22" s="1" customFormat="1" ht="17.25" thickBot="1" x14ac:dyDescent="0.35">
      <c r="B48" s="1">
        <f>RAB!B25</f>
        <v>3</v>
      </c>
      <c r="C48" s="3" t="str">
        <f>RAB!C25</f>
        <v xml:space="preserve">Urugan Pasir di bawah Pondasi </v>
      </c>
      <c r="E48" s="153"/>
      <c r="F48" s="480"/>
      <c r="G48" s="153"/>
      <c r="H48" s="480"/>
      <c r="I48" s="153"/>
      <c r="J48" s="480"/>
      <c r="K48" s="153"/>
      <c r="L48" s="480"/>
      <c r="M48" s="162"/>
      <c r="N48" s="480"/>
      <c r="O48" s="153"/>
      <c r="P48" s="480"/>
      <c r="Q48" s="200"/>
      <c r="R48" s="480"/>
      <c r="S48" s="224"/>
      <c r="T48" s="100">
        <f>ROUNDDOWN(S57,2)</f>
        <v>14.12</v>
      </c>
      <c r="U48" s="2" t="s">
        <v>3</v>
      </c>
      <c r="V48" s="43"/>
    </row>
    <row r="49" spans="2:22" s="1" customFormat="1" x14ac:dyDescent="0.3">
      <c r="C49" s="64"/>
      <c r="D49" s="8" t="s">
        <v>95</v>
      </c>
      <c r="E49" s="154" t="s">
        <v>150</v>
      </c>
      <c r="F49" s="493"/>
      <c r="G49" s="154" t="s">
        <v>151</v>
      </c>
      <c r="H49" s="493"/>
      <c r="I49" s="154" t="s">
        <v>152</v>
      </c>
      <c r="J49" s="493"/>
      <c r="K49" s="154" t="s">
        <v>153</v>
      </c>
      <c r="L49" s="494"/>
      <c r="M49" s="163" t="s">
        <v>32</v>
      </c>
      <c r="N49" s="494"/>
      <c r="O49" s="201" t="s">
        <v>163</v>
      </c>
      <c r="P49" s="494"/>
      <c r="Q49" s="202" t="s">
        <v>151</v>
      </c>
      <c r="R49" s="494"/>
      <c r="S49" s="226" t="s">
        <v>143</v>
      </c>
      <c r="T49" s="66"/>
      <c r="U49" s="2"/>
      <c r="V49" s="43"/>
    </row>
    <row r="50" spans="2:22" s="1" customFormat="1" x14ac:dyDescent="0.3">
      <c r="C50" s="64"/>
      <c r="D50" s="310" t="s">
        <v>250</v>
      </c>
      <c r="E50" s="152"/>
      <c r="F50" s="516"/>
      <c r="G50" s="152"/>
      <c r="H50" s="516"/>
      <c r="I50" s="152"/>
      <c r="J50" s="516"/>
      <c r="K50" s="152"/>
      <c r="L50" s="496"/>
      <c r="M50" s="173"/>
      <c r="N50" s="496"/>
      <c r="O50" s="152"/>
      <c r="P50" s="496"/>
      <c r="Q50" s="221"/>
      <c r="R50" s="516"/>
      <c r="S50" s="248"/>
      <c r="T50" s="66"/>
      <c r="U50" s="2"/>
      <c r="V50" s="43"/>
    </row>
    <row r="51" spans="2:22" s="1" customFormat="1" x14ac:dyDescent="0.3">
      <c r="C51" s="64"/>
      <c r="D51" s="311" t="str">
        <f>C114</f>
        <v>Pile Cap tipe - PC1</v>
      </c>
      <c r="E51" s="329">
        <f t="shared" ref="E51:G52" si="0">E29</f>
        <v>1.1000000000000001</v>
      </c>
      <c r="F51" s="517" t="str">
        <f t="shared" si="0"/>
        <v>x</v>
      </c>
      <c r="G51" s="329">
        <f t="shared" si="0"/>
        <v>1.1000000000000001</v>
      </c>
      <c r="H51" s="517" t="s">
        <v>185</v>
      </c>
      <c r="I51" s="329">
        <v>0.05</v>
      </c>
      <c r="J51" s="517" t="s">
        <v>185</v>
      </c>
      <c r="K51" s="329">
        <f>K117</f>
        <v>56</v>
      </c>
      <c r="L51" s="517"/>
      <c r="M51" s="329"/>
      <c r="N51" s="517"/>
      <c r="O51" s="329"/>
      <c r="P51" s="517"/>
      <c r="Q51" s="329"/>
      <c r="R51" s="518" t="s">
        <v>114</v>
      </c>
      <c r="S51" s="519">
        <f>E51*G51*I51*K51</f>
        <v>3.3880000000000008</v>
      </c>
      <c r="T51" s="66"/>
      <c r="U51" s="2"/>
      <c r="V51" s="43"/>
    </row>
    <row r="52" spans="2:22" s="1" customFormat="1" x14ac:dyDescent="0.3">
      <c r="C52" s="64"/>
      <c r="D52" s="311" t="str">
        <f>C136</f>
        <v>Pile Cap tipe - PC2</v>
      </c>
      <c r="E52" s="329">
        <f t="shared" si="0"/>
        <v>2</v>
      </c>
      <c r="F52" s="517" t="str">
        <f t="shared" si="0"/>
        <v>x</v>
      </c>
      <c r="G52" s="329">
        <f t="shared" si="0"/>
        <v>1.1000000000000001</v>
      </c>
      <c r="H52" s="517" t="s">
        <v>185</v>
      </c>
      <c r="I52" s="329">
        <f>I51</f>
        <v>0.05</v>
      </c>
      <c r="J52" s="517" t="s">
        <v>185</v>
      </c>
      <c r="K52" s="329">
        <f>K139</f>
        <v>12</v>
      </c>
      <c r="L52" s="517"/>
      <c r="M52" s="329"/>
      <c r="N52" s="517"/>
      <c r="O52" s="329"/>
      <c r="P52" s="517"/>
      <c r="Q52" s="329"/>
      <c r="R52" s="518" t="s">
        <v>114</v>
      </c>
      <c r="S52" s="519">
        <f>E52*G52*I52*K52</f>
        <v>1.3200000000000003</v>
      </c>
      <c r="T52" s="66"/>
      <c r="U52" s="2"/>
      <c r="V52" s="43"/>
    </row>
    <row r="53" spans="2:22" s="1" customFormat="1" x14ac:dyDescent="0.3">
      <c r="C53" s="64"/>
      <c r="D53" s="281" t="s">
        <v>725</v>
      </c>
      <c r="E53" s="520"/>
      <c r="F53" s="521"/>
      <c r="G53" s="187"/>
      <c r="H53" s="521"/>
      <c r="I53" s="187"/>
      <c r="J53" s="521"/>
      <c r="K53" s="187"/>
      <c r="L53" s="522"/>
      <c r="M53" s="187"/>
      <c r="N53" s="522"/>
      <c r="O53" s="187"/>
      <c r="P53" s="521"/>
      <c r="Q53" s="218"/>
      <c r="R53" s="521"/>
      <c r="S53" s="244"/>
      <c r="T53" s="66"/>
      <c r="U53" s="2"/>
      <c r="V53" s="43"/>
    </row>
    <row r="54" spans="2:22" s="1" customFormat="1" x14ac:dyDescent="0.3">
      <c r="C54" s="64"/>
      <c r="D54" s="278" t="str">
        <f t="shared" ref="D54:H55" si="1">D51</f>
        <v>Pile Cap tipe - PC1</v>
      </c>
      <c r="E54" s="520">
        <f t="shared" si="1"/>
        <v>1.1000000000000001</v>
      </c>
      <c r="F54" s="525" t="str">
        <f t="shared" si="1"/>
        <v>x</v>
      </c>
      <c r="G54" s="520">
        <f t="shared" si="1"/>
        <v>1.1000000000000001</v>
      </c>
      <c r="H54" s="525" t="str">
        <f t="shared" si="1"/>
        <v>x</v>
      </c>
      <c r="I54" s="187">
        <v>0.1</v>
      </c>
      <c r="J54" s="525" t="str">
        <f>J51</f>
        <v>x</v>
      </c>
      <c r="K54" s="520">
        <f>K51</f>
        <v>56</v>
      </c>
      <c r="L54" s="522"/>
      <c r="M54" s="187"/>
      <c r="N54" s="522"/>
      <c r="O54" s="187"/>
      <c r="P54" s="521"/>
      <c r="Q54" s="218"/>
      <c r="R54" s="518" t="s">
        <v>114</v>
      </c>
      <c r="S54" s="519">
        <f>E54*G54*I54*K54</f>
        <v>6.7760000000000016</v>
      </c>
      <c r="T54" s="66"/>
      <c r="U54" s="2"/>
      <c r="V54" s="43"/>
    </row>
    <row r="55" spans="2:22" s="1" customFormat="1" x14ac:dyDescent="0.3">
      <c r="C55" s="64"/>
      <c r="D55" s="278" t="str">
        <f t="shared" si="1"/>
        <v>Pile Cap tipe - PC2</v>
      </c>
      <c r="E55" s="520">
        <f t="shared" si="1"/>
        <v>2</v>
      </c>
      <c r="F55" s="525" t="str">
        <f t="shared" si="1"/>
        <v>x</v>
      </c>
      <c r="G55" s="520">
        <f t="shared" si="1"/>
        <v>1.1000000000000001</v>
      </c>
      <c r="H55" s="525" t="str">
        <f t="shared" si="1"/>
        <v>x</v>
      </c>
      <c r="I55" s="187">
        <v>0.1</v>
      </c>
      <c r="J55" s="525" t="str">
        <f>J52</f>
        <v>x</v>
      </c>
      <c r="K55" s="520">
        <f>K52</f>
        <v>12</v>
      </c>
      <c r="L55" s="522"/>
      <c r="M55" s="187"/>
      <c r="N55" s="522"/>
      <c r="O55" s="187"/>
      <c r="P55" s="521"/>
      <c r="Q55" s="218"/>
      <c r="R55" s="518" t="s">
        <v>114</v>
      </c>
      <c r="S55" s="519">
        <f>E55*G55*I55*K55</f>
        <v>2.6400000000000006</v>
      </c>
      <c r="T55" s="66"/>
      <c r="U55" s="2"/>
      <c r="V55" s="43"/>
    </row>
    <row r="56" spans="2:22" s="1" customFormat="1" x14ac:dyDescent="0.3">
      <c r="C56" s="64"/>
      <c r="D56" s="312"/>
      <c r="E56" s="160"/>
      <c r="F56" s="523"/>
      <c r="G56" s="220"/>
      <c r="H56" s="523"/>
      <c r="I56" s="160"/>
      <c r="J56" s="523"/>
      <c r="K56" s="160"/>
      <c r="L56" s="523"/>
      <c r="M56" s="195"/>
      <c r="N56" s="523"/>
      <c r="O56" s="160"/>
      <c r="P56" s="523"/>
      <c r="Q56" s="220"/>
      <c r="R56" s="523"/>
      <c r="S56" s="251"/>
      <c r="T56" s="66"/>
      <c r="U56" s="2"/>
      <c r="V56" s="43"/>
    </row>
    <row r="57" spans="2:22" s="1" customFormat="1" ht="17.25" thickBot="1" x14ac:dyDescent="0.35">
      <c r="C57" s="64"/>
      <c r="D57" s="3093" t="s">
        <v>164</v>
      </c>
      <c r="E57" s="3094"/>
      <c r="F57" s="3094"/>
      <c r="G57" s="3094"/>
      <c r="H57" s="3094"/>
      <c r="I57" s="3095"/>
      <c r="J57" s="524"/>
      <c r="K57" s="178"/>
      <c r="L57" s="500"/>
      <c r="M57" s="175"/>
      <c r="N57" s="500"/>
      <c r="O57" s="178"/>
      <c r="P57" s="500"/>
      <c r="Q57" s="203"/>
      <c r="R57" s="500"/>
      <c r="S57" s="231">
        <f>SUM(S50:S56)</f>
        <v>14.124000000000002</v>
      </c>
      <c r="T57" s="66"/>
      <c r="U57" s="2"/>
      <c r="V57" s="43"/>
    </row>
    <row r="58" spans="2:22" x14ac:dyDescent="0.3">
      <c r="C58" s="442"/>
      <c r="D58" s="453"/>
      <c r="E58" s="438"/>
      <c r="F58" s="482"/>
      <c r="G58" s="438"/>
      <c r="H58" s="482"/>
      <c r="I58" s="438"/>
      <c r="J58" s="482"/>
      <c r="K58" s="438"/>
      <c r="L58" s="482"/>
      <c r="M58" s="439"/>
      <c r="N58" s="482"/>
      <c r="O58" s="438"/>
      <c r="P58" s="482"/>
      <c r="Q58" s="440"/>
      <c r="R58" s="482"/>
      <c r="S58" s="454"/>
    </row>
    <row r="59" spans="2:22" s="1" customFormat="1" x14ac:dyDescent="0.3">
      <c r="B59" s="1">
        <f>[60]RAB!B22</f>
        <v>4</v>
      </c>
      <c r="C59" s="3" t="str">
        <f>[60]RAB!C22</f>
        <v>Urugan Tanah Peninggian Lantai dan Pemadatan</v>
      </c>
      <c r="E59" s="153"/>
      <c r="F59" s="480"/>
      <c r="G59" s="153"/>
      <c r="H59" s="480"/>
      <c r="I59" s="153"/>
      <c r="J59" s="480"/>
      <c r="K59" s="153"/>
      <c r="L59" s="480"/>
      <c r="M59" s="162"/>
      <c r="N59" s="480"/>
      <c r="O59" s="153"/>
      <c r="P59" s="480"/>
      <c r="Q59" s="200"/>
      <c r="R59" s="480"/>
      <c r="S59" s="224"/>
      <c r="T59" s="18">
        <f>ROUNDDOWN(S64,2)</f>
        <v>53</v>
      </c>
      <c r="U59" s="2" t="s">
        <v>3</v>
      </c>
      <c r="V59" s="43"/>
    </row>
    <row r="60" spans="2:22" s="1" customFormat="1" ht="17.25" thickBot="1" x14ac:dyDescent="0.35">
      <c r="C60" s="3"/>
      <c r="D60" s="1" t="str">
        <f>[60]RAB!C23</f>
        <v>- Urugan Tanah Bekas Galian</v>
      </c>
      <c r="E60" s="153"/>
      <c r="F60" s="480"/>
      <c r="G60" s="153"/>
      <c r="H60" s="480"/>
      <c r="I60" s="153"/>
      <c r="J60" s="480"/>
      <c r="K60" s="153"/>
      <c r="L60" s="480"/>
      <c r="M60" s="162"/>
      <c r="N60" s="480"/>
      <c r="O60" s="153"/>
      <c r="P60" s="480"/>
      <c r="Q60" s="200"/>
      <c r="R60" s="480"/>
      <c r="S60" s="224"/>
      <c r="T60" s="18"/>
      <c r="U60" s="2"/>
      <c r="V60" s="43"/>
    </row>
    <row r="61" spans="2:22" s="1" customFormat="1" x14ac:dyDescent="0.3">
      <c r="C61" s="64"/>
      <c r="D61" s="8" t="s">
        <v>95</v>
      </c>
      <c r="E61" s="154" t="s">
        <v>150</v>
      </c>
      <c r="F61" s="493"/>
      <c r="G61" s="154" t="s">
        <v>151</v>
      </c>
      <c r="H61" s="493"/>
      <c r="I61" s="154" t="s">
        <v>152</v>
      </c>
      <c r="J61" s="493"/>
      <c r="K61" s="154" t="s">
        <v>153</v>
      </c>
      <c r="L61" s="494"/>
      <c r="M61" s="163" t="s">
        <v>32</v>
      </c>
      <c r="N61" s="494"/>
      <c r="O61" s="201" t="s">
        <v>163</v>
      </c>
      <c r="P61" s="494"/>
      <c r="Q61" s="202" t="s">
        <v>151</v>
      </c>
      <c r="R61" s="494"/>
      <c r="S61" s="226" t="s">
        <v>143</v>
      </c>
      <c r="T61" s="66"/>
      <c r="U61" s="2"/>
      <c r="V61" s="43"/>
    </row>
    <row r="62" spans="2:22" s="1" customFormat="1" x14ac:dyDescent="0.3">
      <c r="C62" s="64"/>
      <c r="D62" s="308" t="s">
        <v>189</v>
      </c>
      <c r="E62" s="152"/>
      <c r="F62" s="496"/>
      <c r="G62" s="152"/>
      <c r="H62" s="496"/>
      <c r="I62" s="152"/>
      <c r="J62" s="496"/>
      <c r="K62" s="152"/>
      <c r="L62" s="496"/>
      <c r="M62" s="173"/>
      <c r="N62" s="496"/>
      <c r="O62" s="152"/>
      <c r="P62" s="496"/>
      <c r="Q62" s="221"/>
      <c r="R62" s="496" t="s">
        <v>114</v>
      </c>
      <c r="S62" s="248">
        <f>S43</f>
        <v>53.004000000000005</v>
      </c>
      <c r="T62" s="66"/>
      <c r="U62" s="2"/>
      <c r="V62" s="43"/>
    </row>
    <row r="63" spans="2:22" s="1" customFormat="1" x14ac:dyDescent="0.3">
      <c r="C63" s="64"/>
      <c r="D63" s="309"/>
      <c r="E63" s="160"/>
      <c r="F63" s="523"/>
      <c r="G63" s="160"/>
      <c r="H63" s="523"/>
      <c r="I63" s="160"/>
      <c r="J63" s="523"/>
      <c r="K63" s="160"/>
      <c r="L63" s="523"/>
      <c r="M63" s="195"/>
      <c r="N63" s="523"/>
      <c r="O63" s="160"/>
      <c r="P63" s="523"/>
      <c r="Q63" s="220"/>
      <c r="R63" s="523"/>
      <c r="S63" s="251"/>
      <c r="T63" s="66"/>
      <c r="U63" s="2"/>
      <c r="V63" s="43"/>
    </row>
    <row r="64" spans="2:22" s="1" customFormat="1" ht="17.25" thickBot="1" x14ac:dyDescent="0.35">
      <c r="C64" s="64"/>
      <c r="D64" s="3093" t="s">
        <v>164</v>
      </c>
      <c r="E64" s="3094"/>
      <c r="F64" s="3094"/>
      <c r="G64" s="3094"/>
      <c r="H64" s="3094"/>
      <c r="I64" s="3095"/>
      <c r="J64" s="524"/>
      <c r="K64" s="178"/>
      <c r="L64" s="500"/>
      <c r="M64" s="175"/>
      <c r="N64" s="500"/>
      <c r="O64" s="178"/>
      <c r="P64" s="500"/>
      <c r="Q64" s="203"/>
      <c r="R64" s="500"/>
      <c r="S64" s="231">
        <f>SUM(S62:S62)</f>
        <v>53.004000000000005</v>
      </c>
      <c r="T64" s="66"/>
      <c r="U64" s="2"/>
      <c r="V64" s="43"/>
    </row>
    <row r="65" spans="2:22" x14ac:dyDescent="0.3">
      <c r="C65" s="442"/>
      <c r="D65" s="453"/>
      <c r="E65" s="438"/>
      <c r="F65" s="485"/>
      <c r="G65" s="438"/>
      <c r="H65" s="485"/>
      <c r="I65" s="438"/>
      <c r="J65" s="485"/>
      <c r="K65" s="438"/>
      <c r="L65" s="482"/>
      <c r="M65" s="439"/>
      <c r="N65" s="482"/>
      <c r="O65" s="438"/>
      <c r="P65" s="482"/>
      <c r="Q65" s="440"/>
      <c r="R65" s="482"/>
      <c r="S65" s="454"/>
    </row>
    <row r="66" spans="2:22" s="1" customFormat="1" ht="17.25" thickBot="1" x14ac:dyDescent="0.35">
      <c r="C66" s="3"/>
      <c r="D66" s="1" t="str">
        <f>[60]RAB!C24</f>
        <v>- Urugan Tanah Didatangkan</v>
      </c>
      <c r="E66" s="153"/>
      <c r="F66" s="480"/>
      <c r="G66" s="153"/>
      <c r="H66" s="480"/>
      <c r="I66" s="153"/>
      <c r="J66" s="480"/>
      <c r="K66" s="153"/>
      <c r="L66" s="480"/>
      <c r="M66" s="162"/>
      <c r="N66" s="480"/>
      <c r="O66" s="153"/>
      <c r="P66" s="480"/>
      <c r="Q66" s="200"/>
      <c r="R66" s="480"/>
      <c r="S66" s="224"/>
      <c r="T66" s="18">
        <f>ROUNDDOWN(S74,2)</f>
        <v>180.27</v>
      </c>
      <c r="U66" s="2" t="s">
        <v>3</v>
      </c>
      <c r="V66" s="43"/>
    </row>
    <row r="67" spans="2:22" s="1" customFormat="1" x14ac:dyDescent="0.3">
      <c r="C67" s="64"/>
      <c r="D67" s="8" t="s">
        <v>95</v>
      </c>
      <c r="E67" s="154" t="s">
        <v>150</v>
      </c>
      <c r="F67" s="493"/>
      <c r="G67" s="154" t="s">
        <v>151</v>
      </c>
      <c r="H67" s="493"/>
      <c r="I67" s="154" t="s">
        <v>152</v>
      </c>
      <c r="J67" s="493"/>
      <c r="K67" s="154" t="s">
        <v>153</v>
      </c>
      <c r="L67" s="494"/>
      <c r="M67" s="163" t="s">
        <v>32</v>
      </c>
      <c r="N67" s="494"/>
      <c r="O67" s="201" t="s">
        <v>163</v>
      </c>
      <c r="P67" s="494"/>
      <c r="Q67" s="202" t="s">
        <v>151</v>
      </c>
      <c r="R67" s="494"/>
      <c r="S67" s="226" t="s">
        <v>143</v>
      </c>
      <c r="T67" s="66"/>
      <c r="U67" s="2"/>
      <c r="V67" s="43"/>
    </row>
    <row r="68" spans="2:22" s="1" customFormat="1" x14ac:dyDescent="0.3">
      <c r="C68" s="64"/>
      <c r="D68" s="308" t="s">
        <v>583</v>
      </c>
      <c r="E68" s="152">
        <v>29.52</v>
      </c>
      <c r="F68" s="496"/>
      <c r="G68" s="152"/>
      <c r="H68" s="496" t="s">
        <v>1318</v>
      </c>
      <c r="I68" s="152">
        <v>0.4</v>
      </c>
      <c r="J68" s="496" t="s">
        <v>1318</v>
      </c>
      <c r="K68" s="152">
        <v>18</v>
      </c>
      <c r="L68" s="496"/>
      <c r="M68" s="173"/>
      <c r="N68" s="496"/>
      <c r="O68" s="152"/>
      <c r="P68" s="496"/>
      <c r="Q68" s="533">
        <f>E68*I68*K68</f>
        <v>212.54399999999998</v>
      </c>
      <c r="R68" s="496" t="s">
        <v>114</v>
      </c>
      <c r="S68" s="248">
        <f>Q68</f>
        <v>212.54399999999998</v>
      </c>
      <c r="T68" s="66"/>
      <c r="U68" s="2"/>
      <c r="V68" s="43"/>
    </row>
    <row r="69" spans="2:22" s="1" customFormat="1" x14ac:dyDescent="0.3">
      <c r="C69" s="64"/>
      <c r="D69" s="1146"/>
      <c r="E69" s="187">
        <v>14.4</v>
      </c>
      <c r="F69" s="498"/>
      <c r="G69" s="187"/>
      <c r="H69" s="498" t="s">
        <v>1318</v>
      </c>
      <c r="I69" s="187">
        <v>0.4</v>
      </c>
      <c r="J69" s="498" t="s">
        <v>1318</v>
      </c>
      <c r="K69" s="187">
        <v>9</v>
      </c>
      <c r="L69" s="498"/>
      <c r="M69" s="188"/>
      <c r="N69" s="498"/>
      <c r="O69" s="187"/>
      <c r="P69" s="498"/>
      <c r="Q69" s="1147">
        <f>E69*I69*K69</f>
        <v>51.84</v>
      </c>
      <c r="R69" s="498" t="s">
        <v>114</v>
      </c>
      <c r="S69" s="244">
        <f>I69*Q69</f>
        <v>20.736000000000004</v>
      </c>
      <c r="T69" s="66"/>
      <c r="U69" s="2"/>
      <c r="V69" s="43"/>
    </row>
    <row r="70" spans="2:22" s="1" customFormat="1" x14ac:dyDescent="0.3">
      <c r="C70" s="64"/>
      <c r="D70" s="1146"/>
      <c r="E70" s="187"/>
      <c r="F70" s="498"/>
      <c r="G70" s="187"/>
      <c r="H70" s="498"/>
      <c r="I70" s="187"/>
      <c r="J70" s="498"/>
      <c r="K70" s="187"/>
      <c r="L70" s="498"/>
      <c r="M70" s="188"/>
      <c r="N70" s="498"/>
      <c r="O70" s="187"/>
      <c r="P70" s="498"/>
      <c r="Q70" s="1147"/>
      <c r="R70" s="498"/>
      <c r="S70" s="1148">
        <f>SUM(S68:S69)</f>
        <v>233.27999999999997</v>
      </c>
      <c r="T70" s="66"/>
      <c r="U70" s="2"/>
      <c r="V70" s="43"/>
    </row>
    <row r="71" spans="2:22" s="1" customFormat="1" x14ac:dyDescent="0.3">
      <c r="C71" s="64"/>
      <c r="D71" s="139" t="s">
        <v>248</v>
      </c>
      <c r="E71" s="187"/>
      <c r="F71" s="521"/>
      <c r="G71" s="187"/>
      <c r="H71" s="521"/>
      <c r="I71" s="187"/>
      <c r="J71" s="521"/>
      <c r="K71" s="187"/>
      <c r="L71" s="498"/>
      <c r="M71" s="188"/>
      <c r="N71" s="498"/>
      <c r="O71" s="187"/>
      <c r="P71" s="498"/>
      <c r="Q71" s="218"/>
      <c r="R71" s="522" t="s">
        <v>149</v>
      </c>
      <c r="S71" s="293">
        <f>S64</f>
        <v>53.004000000000005</v>
      </c>
      <c r="T71" s="66"/>
      <c r="U71" s="2"/>
      <c r="V71" s="43"/>
    </row>
    <row r="72" spans="2:22" s="1" customFormat="1" x14ac:dyDescent="0.3">
      <c r="C72" s="64"/>
      <c r="D72" s="147" t="s">
        <v>190</v>
      </c>
      <c r="E72" s="187"/>
      <c r="F72" s="521"/>
      <c r="G72" s="187"/>
      <c r="H72" s="521"/>
      <c r="I72" s="187"/>
      <c r="J72" s="521"/>
      <c r="K72" s="187"/>
      <c r="L72" s="498"/>
      <c r="M72" s="188"/>
      <c r="N72" s="498"/>
      <c r="O72" s="187"/>
      <c r="P72" s="498"/>
      <c r="Q72" s="218"/>
      <c r="R72" s="521" t="s">
        <v>114</v>
      </c>
      <c r="S72" s="293">
        <f>S70-S71</f>
        <v>180.27599999999995</v>
      </c>
      <c r="T72" s="66"/>
      <c r="U72" s="2"/>
      <c r="V72" s="43"/>
    </row>
    <row r="73" spans="2:22" s="1" customFormat="1" x14ac:dyDescent="0.3">
      <c r="C73" s="64"/>
      <c r="D73" s="309"/>
      <c r="E73" s="160"/>
      <c r="F73" s="523"/>
      <c r="G73" s="160"/>
      <c r="H73" s="523"/>
      <c r="I73" s="160"/>
      <c r="J73" s="523"/>
      <c r="K73" s="160"/>
      <c r="L73" s="523"/>
      <c r="M73" s="195"/>
      <c r="N73" s="523"/>
      <c r="O73" s="160"/>
      <c r="P73" s="523"/>
      <c r="Q73" s="220"/>
      <c r="R73" s="523"/>
      <c r="S73" s="251"/>
      <c r="T73" s="66"/>
      <c r="U73" s="2"/>
      <c r="V73" s="43"/>
    </row>
    <row r="74" spans="2:22" s="1" customFormat="1" ht="17.25" thickBot="1" x14ac:dyDescent="0.35">
      <c r="C74" s="64"/>
      <c r="D74" s="3093" t="s">
        <v>164</v>
      </c>
      <c r="E74" s="3094"/>
      <c r="F74" s="3094"/>
      <c r="G74" s="3094"/>
      <c r="H74" s="3094"/>
      <c r="I74" s="3095"/>
      <c r="J74" s="524"/>
      <c r="K74" s="178"/>
      <c r="L74" s="500"/>
      <c r="M74" s="175"/>
      <c r="N74" s="500"/>
      <c r="O74" s="178"/>
      <c r="P74" s="500"/>
      <c r="Q74" s="203"/>
      <c r="R74" s="500"/>
      <c r="S74" s="231">
        <f>S72</f>
        <v>180.27599999999995</v>
      </c>
      <c r="T74" s="66"/>
      <c r="U74" s="2"/>
      <c r="V74" s="43"/>
    </row>
    <row r="75" spans="2:22" x14ac:dyDescent="0.3">
      <c r="C75" s="442"/>
      <c r="D75" s="453"/>
      <c r="E75" s="438"/>
      <c r="F75" s="485"/>
      <c r="G75" s="438"/>
      <c r="H75" s="485"/>
      <c r="I75" s="438"/>
      <c r="J75" s="485"/>
      <c r="K75" s="438"/>
      <c r="L75" s="482"/>
      <c r="M75" s="439"/>
      <c r="N75" s="482"/>
      <c r="O75" s="438"/>
      <c r="P75" s="482"/>
      <c r="Q75" s="440"/>
      <c r="R75" s="482"/>
      <c r="S75" s="454"/>
    </row>
    <row r="76" spans="2:22" s="32" customFormat="1" x14ac:dyDescent="0.3">
      <c r="B76" s="53" t="str">
        <f>RAB!B31</f>
        <v>II</v>
      </c>
      <c r="C76" s="119" t="str">
        <f>RAB!C31</f>
        <v>PEKERJAAN STRUKTUR</v>
      </c>
      <c r="E76" s="176"/>
      <c r="F76" s="504"/>
      <c r="G76" s="176"/>
      <c r="H76" s="504"/>
      <c r="I76" s="176"/>
      <c r="J76" s="504"/>
      <c r="K76" s="176"/>
      <c r="L76" s="504"/>
      <c r="M76" s="177"/>
      <c r="N76" s="504"/>
      <c r="O76" s="176"/>
      <c r="P76" s="504"/>
      <c r="Q76" s="205"/>
      <c r="R76" s="504"/>
      <c r="S76" s="229"/>
      <c r="T76" s="54"/>
      <c r="U76" s="50"/>
      <c r="V76" s="51"/>
    </row>
    <row r="77" spans="2:22" s="32" customFormat="1" x14ac:dyDescent="0.3">
      <c r="B77" s="32">
        <f>RAB!B32</f>
        <v>1</v>
      </c>
      <c r="C77" s="33" t="str">
        <f>RAB!C32</f>
        <v>Pekerjaan Tiang Pancang</v>
      </c>
      <c r="E77" s="176"/>
      <c r="F77" s="504"/>
      <c r="G77" s="176"/>
      <c r="H77" s="504"/>
      <c r="I77" s="176"/>
      <c r="J77" s="504"/>
      <c r="K77" s="176"/>
      <c r="L77" s="504"/>
      <c r="M77" s="177"/>
      <c r="N77" s="504"/>
      <c r="O77" s="176"/>
      <c r="P77" s="504"/>
      <c r="Q77" s="205"/>
      <c r="R77" s="504"/>
      <c r="S77" s="229"/>
      <c r="T77" s="54"/>
      <c r="U77" s="50"/>
      <c r="V77" s="51"/>
    </row>
    <row r="78" spans="2:22" s="32" customFormat="1" x14ac:dyDescent="0.3">
      <c r="C78" s="33" t="str">
        <f>RAB!C33</f>
        <v>-</v>
      </c>
      <c r="D78" s="32" t="str">
        <f>RAB!D33</f>
        <v>Mobilisasi dan Demobilisasi Alat Pemancang</v>
      </c>
      <c r="E78" s="176"/>
      <c r="F78" s="504"/>
      <c r="G78" s="176"/>
      <c r="H78" s="504"/>
      <c r="I78" s="176"/>
      <c r="J78" s="504"/>
      <c r="K78" s="176"/>
      <c r="L78" s="504"/>
      <c r="M78" s="177"/>
      <c r="N78" s="504"/>
      <c r="O78" s="176"/>
      <c r="P78" s="504"/>
      <c r="Q78" s="205"/>
      <c r="R78" s="504"/>
      <c r="S78" s="229"/>
      <c r="T78" s="54">
        <v>1</v>
      </c>
      <c r="U78" s="50" t="s">
        <v>1</v>
      </c>
      <c r="V78" s="51"/>
    </row>
    <row r="79" spans="2:22" s="32" customFormat="1" x14ac:dyDescent="0.3">
      <c r="C79" s="33"/>
      <c r="E79" s="176"/>
      <c r="F79" s="504"/>
      <c r="G79" s="176"/>
      <c r="H79" s="504"/>
      <c r="I79" s="176"/>
      <c r="J79" s="504"/>
      <c r="K79" s="176"/>
      <c r="L79" s="504"/>
      <c r="M79" s="177"/>
      <c r="N79" s="504"/>
      <c r="O79" s="176"/>
      <c r="P79" s="504"/>
      <c r="Q79" s="205"/>
      <c r="R79" s="504"/>
      <c r="S79" s="229"/>
      <c r="T79" s="54"/>
      <c r="U79" s="50"/>
      <c r="V79" s="51"/>
    </row>
    <row r="80" spans="2:22" s="32" customFormat="1" ht="17.25" thickBot="1" x14ac:dyDescent="0.35">
      <c r="C80" s="33" t="str">
        <f>RAB!C34</f>
        <v>-</v>
      </c>
      <c r="D80" s="33" t="str">
        <f>RAB!D34</f>
        <v>Pengadaan Spun Pile Ø 30  Cm K-600</v>
      </c>
      <c r="E80" s="176"/>
      <c r="F80" s="504"/>
      <c r="G80" s="176"/>
      <c r="H80" s="504"/>
      <c r="I80" s="176"/>
      <c r="J80" s="504"/>
      <c r="K80" s="176"/>
      <c r="L80" s="504"/>
      <c r="M80" s="177"/>
      <c r="N80" s="504"/>
      <c r="O80" s="176"/>
      <c r="P80" s="504"/>
      <c r="Q80" s="205"/>
      <c r="R80" s="504"/>
      <c r="S80" s="229"/>
      <c r="T80" s="54">
        <f>ROUNDDOWN(S85,2)</f>
        <v>1600</v>
      </c>
      <c r="U80" s="50" t="s">
        <v>27</v>
      </c>
      <c r="V80" s="51"/>
    </row>
    <row r="81" spans="3:24" s="32" customFormat="1" x14ac:dyDescent="0.3">
      <c r="C81" s="33"/>
      <c r="D81" s="52" t="s">
        <v>95</v>
      </c>
      <c r="E81" s="155" t="s">
        <v>150</v>
      </c>
      <c r="F81" s="505"/>
      <c r="G81" s="155" t="s">
        <v>151</v>
      </c>
      <c r="H81" s="505"/>
      <c r="I81" s="155" t="s">
        <v>152</v>
      </c>
      <c r="J81" s="505"/>
      <c r="K81" s="155" t="s">
        <v>153</v>
      </c>
      <c r="L81" s="506"/>
      <c r="M81" s="164" t="s">
        <v>32</v>
      </c>
      <c r="N81" s="506"/>
      <c r="O81" s="206" t="s">
        <v>163</v>
      </c>
      <c r="P81" s="506"/>
      <c r="Q81" s="207" t="s">
        <v>151</v>
      </c>
      <c r="R81" s="506"/>
      <c r="S81" s="230" t="s">
        <v>143</v>
      </c>
      <c r="T81" s="419"/>
      <c r="U81" s="50"/>
      <c r="V81" s="51"/>
    </row>
    <row r="82" spans="3:24" s="32" customFormat="1" x14ac:dyDescent="0.3">
      <c r="C82" s="33"/>
      <c r="D82" s="140" t="str">
        <f>D89</f>
        <v>Pile Cap tipe - PC1</v>
      </c>
      <c r="E82" s="172">
        <v>20</v>
      </c>
      <c r="F82" s="514" t="s">
        <v>185</v>
      </c>
      <c r="G82" s="172"/>
      <c r="H82" s="514"/>
      <c r="I82" s="172"/>
      <c r="J82" s="514"/>
      <c r="K82" s="172">
        <f>K89</f>
        <v>1</v>
      </c>
      <c r="L82" s="514" t="s">
        <v>185</v>
      </c>
      <c r="M82" s="534">
        <f>K29</f>
        <v>56</v>
      </c>
      <c r="N82" s="515"/>
      <c r="O82" s="172"/>
      <c r="P82" s="535"/>
      <c r="Q82" s="535"/>
      <c r="R82" s="515" t="s">
        <v>114</v>
      </c>
      <c r="S82" s="536">
        <f>M82*K82*E82</f>
        <v>1120</v>
      </c>
      <c r="T82" s="419"/>
      <c r="U82" s="50"/>
      <c r="V82" s="1154"/>
      <c r="W82" s="635"/>
      <c r="X82" s="55"/>
    </row>
    <row r="83" spans="3:24" s="32" customFormat="1" x14ac:dyDescent="0.3">
      <c r="C83" s="33"/>
      <c r="D83" s="140" t="str">
        <f>D90</f>
        <v>Pile Cap tipe - PC2</v>
      </c>
      <c r="E83" s="172">
        <v>20</v>
      </c>
      <c r="F83" s="514" t="s">
        <v>185</v>
      </c>
      <c r="G83" s="172"/>
      <c r="H83" s="514"/>
      <c r="I83" s="172"/>
      <c r="J83" s="514"/>
      <c r="K83" s="172">
        <f>K90</f>
        <v>2</v>
      </c>
      <c r="L83" s="514" t="s">
        <v>185</v>
      </c>
      <c r="M83" s="534">
        <f>K30</f>
        <v>12</v>
      </c>
      <c r="N83" s="515"/>
      <c r="O83" s="172"/>
      <c r="P83" s="537"/>
      <c r="Q83" s="537"/>
      <c r="R83" s="515" t="s">
        <v>114</v>
      </c>
      <c r="S83" s="538">
        <f>M83*K83*E83</f>
        <v>480</v>
      </c>
      <c r="T83" s="419"/>
      <c r="U83" s="50"/>
      <c r="V83" s="1154"/>
      <c r="W83" s="635"/>
      <c r="X83" s="55"/>
    </row>
    <row r="84" spans="3:24" s="32" customFormat="1" ht="17.25" thickBot="1" x14ac:dyDescent="0.35">
      <c r="C84" s="33"/>
      <c r="D84" s="306"/>
      <c r="E84" s="223"/>
      <c r="F84" s="539"/>
      <c r="G84" s="223"/>
      <c r="H84" s="539"/>
      <c r="I84" s="223"/>
      <c r="J84" s="539"/>
      <c r="K84" s="223"/>
      <c r="L84" s="539"/>
      <c r="M84" s="223"/>
      <c r="N84" s="539"/>
      <c r="O84" s="223"/>
      <c r="P84" s="540"/>
      <c r="Q84" s="541"/>
      <c r="R84" s="539"/>
      <c r="S84" s="307"/>
      <c r="T84" s="419"/>
      <c r="U84" s="50"/>
      <c r="V84" s="1155"/>
      <c r="W84" s="55"/>
      <c r="X84" s="55"/>
    </row>
    <row r="85" spans="3:24" s="32" customFormat="1" ht="17.25" thickBot="1" x14ac:dyDescent="0.35">
      <c r="C85" s="33"/>
      <c r="D85" s="3101" t="s">
        <v>164</v>
      </c>
      <c r="E85" s="3102"/>
      <c r="F85" s="3102"/>
      <c r="G85" s="3102"/>
      <c r="H85" s="3102"/>
      <c r="I85" s="3102"/>
      <c r="J85" s="531"/>
      <c r="K85" s="179"/>
      <c r="L85" s="532"/>
      <c r="M85" s="180"/>
      <c r="N85" s="532"/>
      <c r="O85" s="183"/>
      <c r="P85" s="532"/>
      <c r="Q85" s="210"/>
      <c r="R85" s="532"/>
      <c r="S85" s="233">
        <f>SUM(S82:S84)</f>
        <v>1600</v>
      </c>
      <c r="T85" s="53"/>
      <c r="U85" s="50"/>
      <c r="V85" s="51"/>
    </row>
    <row r="86" spans="3:24" s="444" customFormat="1" x14ac:dyDescent="0.3">
      <c r="C86" s="450"/>
      <c r="E86" s="445"/>
      <c r="F86" s="483"/>
      <c r="G86" s="445"/>
      <c r="H86" s="483"/>
      <c r="I86" s="445"/>
      <c r="J86" s="483"/>
      <c r="K86" s="445"/>
      <c r="L86" s="483"/>
      <c r="M86" s="446"/>
      <c r="N86" s="483"/>
      <c r="O86" s="445"/>
      <c r="P86" s="483"/>
      <c r="Q86" s="447"/>
      <c r="R86" s="483"/>
      <c r="S86" s="448"/>
      <c r="T86" s="456"/>
      <c r="U86" s="443"/>
      <c r="V86" s="674"/>
    </row>
    <row r="87" spans="3:24" s="32" customFormat="1" ht="17.25" thickBot="1" x14ac:dyDescent="0.35">
      <c r="C87" s="33" t="str">
        <f>RAB!C35</f>
        <v>-</v>
      </c>
      <c r="D87" s="32" t="str">
        <f>RAB!D35</f>
        <v>Pemancangan Spun Pile Ø 30 Cm K-600 dengan Hydraulic Jacking System kap. 120 Ton</v>
      </c>
      <c r="E87" s="176"/>
      <c r="F87" s="504"/>
      <c r="G87" s="176"/>
      <c r="H87" s="504"/>
      <c r="I87" s="176"/>
      <c r="J87" s="504"/>
      <c r="K87" s="176"/>
      <c r="L87" s="504"/>
      <c r="M87" s="177"/>
      <c r="N87" s="504"/>
      <c r="O87" s="176"/>
      <c r="P87" s="504"/>
      <c r="Q87" s="205"/>
      <c r="R87" s="504"/>
      <c r="S87" s="229"/>
      <c r="T87" s="54">
        <f>ROUNDDOWN(S92,2)</f>
        <v>1600</v>
      </c>
      <c r="U87" s="50" t="s">
        <v>27</v>
      </c>
      <c r="V87" s="51"/>
    </row>
    <row r="88" spans="3:24" s="32" customFormat="1" x14ac:dyDescent="0.3">
      <c r="C88" s="33"/>
      <c r="D88" s="52" t="s">
        <v>95</v>
      </c>
      <c r="E88" s="155" t="s">
        <v>150</v>
      </c>
      <c r="F88" s="505"/>
      <c r="G88" s="155" t="s">
        <v>151</v>
      </c>
      <c r="H88" s="505"/>
      <c r="I88" s="155" t="s">
        <v>152</v>
      </c>
      <c r="J88" s="505"/>
      <c r="K88" s="155" t="s">
        <v>153</v>
      </c>
      <c r="L88" s="506"/>
      <c r="M88" s="164" t="s">
        <v>32</v>
      </c>
      <c r="N88" s="506"/>
      <c r="O88" s="206" t="s">
        <v>163</v>
      </c>
      <c r="P88" s="506"/>
      <c r="Q88" s="207" t="s">
        <v>151</v>
      </c>
      <c r="R88" s="506"/>
      <c r="S88" s="230" t="s">
        <v>143</v>
      </c>
      <c r="T88" s="419"/>
      <c r="U88" s="50"/>
      <c r="V88" s="51"/>
    </row>
    <row r="89" spans="3:24" s="32" customFormat="1" x14ac:dyDescent="0.3">
      <c r="C89" s="33"/>
      <c r="D89" s="303" t="str">
        <f>C114</f>
        <v>Pile Cap tipe - PC1</v>
      </c>
      <c r="E89" s="217">
        <f>E82</f>
        <v>20</v>
      </c>
      <c r="F89" s="507" t="s">
        <v>185</v>
      </c>
      <c r="G89" s="217"/>
      <c r="H89" s="507"/>
      <c r="I89" s="217"/>
      <c r="J89" s="507"/>
      <c r="K89" s="217">
        <v>1</v>
      </c>
      <c r="L89" s="508"/>
      <c r="M89" s="354">
        <f>M82</f>
        <v>56</v>
      </c>
      <c r="N89" s="508"/>
      <c r="O89" s="217"/>
      <c r="P89" s="508"/>
      <c r="Q89" s="276"/>
      <c r="R89" s="507" t="s">
        <v>114</v>
      </c>
      <c r="S89" s="298">
        <f>M89*K89*E89</f>
        <v>1120</v>
      </c>
      <c r="T89" s="419"/>
      <c r="U89" s="50"/>
      <c r="V89" s="1154"/>
      <c r="W89" s="55"/>
      <c r="X89" s="55"/>
    </row>
    <row r="90" spans="3:24" s="32" customFormat="1" x14ac:dyDescent="0.3">
      <c r="C90" s="33"/>
      <c r="D90" s="140" t="str">
        <f>C136</f>
        <v>Pile Cap tipe - PC2</v>
      </c>
      <c r="E90" s="172">
        <f>E83</f>
        <v>20</v>
      </c>
      <c r="F90" s="514" t="s">
        <v>185</v>
      </c>
      <c r="G90" s="172"/>
      <c r="H90" s="514"/>
      <c r="I90" s="172"/>
      <c r="J90" s="514"/>
      <c r="K90" s="172">
        <v>2</v>
      </c>
      <c r="L90" s="515"/>
      <c r="M90" s="534">
        <f>M83</f>
        <v>12</v>
      </c>
      <c r="N90" s="515"/>
      <c r="O90" s="172"/>
      <c r="P90" s="515"/>
      <c r="Q90" s="259"/>
      <c r="R90" s="514"/>
      <c r="S90" s="260">
        <f>E90*K90*M90</f>
        <v>480</v>
      </c>
      <c r="T90" s="419"/>
      <c r="U90" s="50"/>
      <c r="V90" s="1154"/>
      <c r="W90" s="55"/>
      <c r="X90" s="55"/>
    </row>
    <row r="91" spans="3:24" s="32" customFormat="1" x14ac:dyDescent="0.3">
      <c r="C91" s="33"/>
      <c r="D91" s="304"/>
      <c r="E91" s="199"/>
      <c r="F91" s="530"/>
      <c r="G91" s="199"/>
      <c r="H91" s="530"/>
      <c r="I91" s="199"/>
      <c r="J91" s="530"/>
      <c r="K91" s="199"/>
      <c r="L91" s="530"/>
      <c r="M91" s="199"/>
      <c r="N91" s="530"/>
      <c r="O91" s="199"/>
      <c r="P91" s="530"/>
      <c r="Q91" s="283"/>
      <c r="R91" s="530"/>
      <c r="S91" s="305"/>
      <c r="T91" s="419"/>
      <c r="U91" s="50"/>
      <c r="V91" s="1155"/>
      <c r="W91" s="55"/>
      <c r="X91" s="55"/>
    </row>
    <row r="92" spans="3:24" s="32" customFormat="1" ht="17.25" thickBot="1" x14ac:dyDescent="0.35">
      <c r="C92" s="33"/>
      <c r="D92" s="3101" t="s">
        <v>164</v>
      </c>
      <c r="E92" s="3102"/>
      <c r="F92" s="3102"/>
      <c r="G92" s="3102"/>
      <c r="H92" s="3102"/>
      <c r="I92" s="3102"/>
      <c r="J92" s="531"/>
      <c r="K92" s="179"/>
      <c r="L92" s="532"/>
      <c r="M92" s="180"/>
      <c r="N92" s="532"/>
      <c r="O92" s="183"/>
      <c r="P92" s="532"/>
      <c r="Q92" s="210"/>
      <c r="R92" s="532"/>
      <c r="S92" s="233">
        <f>SUM(S89:S91)</f>
        <v>1600</v>
      </c>
      <c r="T92" s="53"/>
      <c r="U92" s="50"/>
      <c r="V92" s="51"/>
    </row>
    <row r="93" spans="3:24" s="32" customFormat="1" x14ac:dyDescent="0.3">
      <c r="C93" s="33"/>
      <c r="D93" s="121"/>
      <c r="E93" s="181"/>
      <c r="F93" s="528"/>
      <c r="G93" s="181"/>
      <c r="H93" s="528"/>
      <c r="I93" s="181"/>
      <c r="J93" s="528"/>
      <c r="K93" s="181"/>
      <c r="L93" s="529"/>
      <c r="M93" s="182"/>
      <c r="N93" s="529"/>
      <c r="O93" s="181"/>
      <c r="P93" s="529"/>
      <c r="Q93" s="211"/>
      <c r="R93" s="529"/>
      <c r="S93" s="234"/>
      <c r="T93" s="53"/>
      <c r="U93" s="50"/>
      <c r="V93" s="51"/>
    </row>
    <row r="94" spans="3:24" s="32" customFormat="1" ht="17.25" thickBot="1" x14ac:dyDescent="0.35">
      <c r="C94" s="33" t="str">
        <f>RAB!C36</f>
        <v>-</v>
      </c>
      <c r="D94" s="32" t="str">
        <f>RAB!D36</f>
        <v>Penyambungan Tiang Pancang</v>
      </c>
      <c r="E94" s="176"/>
      <c r="F94" s="504"/>
      <c r="G94" s="176"/>
      <c r="H94" s="504"/>
      <c r="I94" s="176"/>
      <c r="J94" s="504"/>
      <c r="K94" s="176"/>
      <c r="L94" s="504"/>
      <c r="M94" s="177"/>
      <c r="N94" s="504"/>
      <c r="O94" s="176"/>
      <c r="P94" s="504"/>
      <c r="Q94" s="205"/>
      <c r="R94" s="504"/>
      <c r="S94" s="229"/>
      <c r="T94" s="54">
        <f>ROUNDDOWN(S99,2)</f>
        <v>80</v>
      </c>
      <c r="U94" s="50" t="s">
        <v>287</v>
      </c>
      <c r="V94" s="51"/>
    </row>
    <row r="95" spans="3:24" s="32" customFormat="1" x14ac:dyDescent="0.3">
      <c r="C95" s="33"/>
      <c r="D95" s="52" t="s">
        <v>95</v>
      </c>
      <c r="E95" s="155" t="s">
        <v>150</v>
      </c>
      <c r="F95" s="505"/>
      <c r="G95" s="155" t="s">
        <v>151</v>
      </c>
      <c r="H95" s="505"/>
      <c r="I95" s="155" t="s">
        <v>152</v>
      </c>
      <c r="J95" s="505"/>
      <c r="K95" s="155" t="s">
        <v>153</v>
      </c>
      <c r="L95" s="506"/>
      <c r="M95" s="164" t="s">
        <v>32</v>
      </c>
      <c r="N95" s="506"/>
      <c r="O95" s="206" t="s">
        <v>163</v>
      </c>
      <c r="P95" s="506"/>
      <c r="Q95" s="207" t="s">
        <v>151</v>
      </c>
      <c r="R95" s="506"/>
      <c r="S95" s="230" t="s">
        <v>143</v>
      </c>
      <c r="T95" s="419"/>
      <c r="U95" s="50"/>
      <c r="V95" s="51"/>
    </row>
    <row r="96" spans="3:24" s="32" customFormat="1" x14ac:dyDescent="0.3">
      <c r="C96" s="33"/>
      <c r="D96" s="303" t="str">
        <f>D89</f>
        <v>Pile Cap tipe - PC1</v>
      </c>
      <c r="E96" s="217"/>
      <c r="F96" s="507"/>
      <c r="G96" s="217"/>
      <c r="H96" s="507"/>
      <c r="I96" s="217"/>
      <c r="J96" s="507"/>
      <c r="K96" s="217">
        <f>K89</f>
        <v>1</v>
      </c>
      <c r="L96" s="508" t="s">
        <v>185</v>
      </c>
      <c r="M96" s="217">
        <f>M89</f>
        <v>56</v>
      </c>
      <c r="N96" s="508" t="s">
        <v>185</v>
      </c>
      <c r="O96" s="217">
        <v>1</v>
      </c>
      <c r="P96" s="508"/>
      <c r="Q96" s="276"/>
      <c r="R96" s="507" t="s">
        <v>114</v>
      </c>
      <c r="S96" s="298">
        <f>O96*M96*K96</f>
        <v>56</v>
      </c>
      <c r="T96" s="419"/>
      <c r="U96" s="50"/>
      <c r="V96" s="51"/>
    </row>
    <row r="97" spans="2:22" s="32" customFormat="1" x14ac:dyDescent="0.3">
      <c r="C97" s="33"/>
      <c r="D97" s="140" t="str">
        <f>D90</f>
        <v>Pile Cap tipe - PC2</v>
      </c>
      <c r="E97" s="172"/>
      <c r="F97" s="514"/>
      <c r="G97" s="172"/>
      <c r="H97" s="514"/>
      <c r="I97" s="172"/>
      <c r="J97" s="514"/>
      <c r="K97" s="172">
        <f>K90</f>
        <v>2</v>
      </c>
      <c r="L97" s="515" t="s">
        <v>185</v>
      </c>
      <c r="M97" s="172">
        <f>M90</f>
        <v>12</v>
      </c>
      <c r="N97" s="515" t="s">
        <v>185</v>
      </c>
      <c r="O97" s="172">
        <v>1</v>
      </c>
      <c r="P97" s="515"/>
      <c r="Q97" s="259"/>
      <c r="R97" s="514" t="s">
        <v>114</v>
      </c>
      <c r="S97" s="260">
        <f>O97*M97*K97</f>
        <v>24</v>
      </c>
      <c r="T97" s="419"/>
      <c r="U97" s="50"/>
      <c r="V97" s="51"/>
    </row>
    <row r="98" spans="2:22" s="32" customFormat="1" x14ac:dyDescent="0.3">
      <c r="C98" s="33"/>
      <c r="D98" s="304"/>
      <c r="E98" s="199"/>
      <c r="F98" s="530"/>
      <c r="G98" s="199"/>
      <c r="H98" s="530"/>
      <c r="I98" s="199"/>
      <c r="J98" s="530"/>
      <c r="K98" s="199"/>
      <c r="L98" s="530"/>
      <c r="M98" s="199"/>
      <c r="N98" s="530"/>
      <c r="O98" s="199"/>
      <c r="P98" s="530"/>
      <c r="Q98" s="283"/>
      <c r="R98" s="530"/>
      <c r="S98" s="305"/>
      <c r="T98" s="419"/>
      <c r="U98" s="50"/>
      <c r="V98" s="51"/>
    </row>
    <row r="99" spans="2:22" s="32" customFormat="1" ht="17.25" thickBot="1" x14ac:dyDescent="0.35">
      <c r="C99" s="33"/>
      <c r="D99" s="3101" t="s">
        <v>164</v>
      </c>
      <c r="E99" s="3101"/>
      <c r="F99" s="3101"/>
      <c r="G99" s="3101"/>
      <c r="H99" s="3101"/>
      <c r="I99" s="3101"/>
      <c r="J99" s="531"/>
      <c r="K99" s="179"/>
      <c r="L99" s="532"/>
      <c r="M99" s="180"/>
      <c r="N99" s="532"/>
      <c r="O99" s="183"/>
      <c r="P99" s="532"/>
      <c r="Q99" s="210"/>
      <c r="R99" s="532"/>
      <c r="S99" s="233">
        <f>SUM(S96:S98)</f>
        <v>80</v>
      </c>
      <c r="T99" s="53"/>
      <c r="U99" s="50"/>
      <c r="V99" s="51"/>
    </row>
    <row r="100" spans="2:22" s="444" customFormat="1" x14ac:dyDescent="0.3">
      <c r="C100" s="450"/>
      <c r="E100" s="445"/>
      <c r="F100" s="483"/>
      <c r="G100" s="445"/>
      <c r="H100" s="483"/>
      <c r="I100" s="445"/>
      <c r="J100" s="483"/>
      <c r="K100" s="445"/>
      <c r="L100" s="483"/>
      <c r="M100" s="446"/>
      <c r="N100" s="483"/>
      <c r="O100" s="445"/>
      <c r="P100" s="483"/>
      <c r="Q100" s="447"/>
      <c r="R100" s="483"/>
      <c r="S100" s="448"/>
      <c r="T100" s="456"/>
      <c r="U100" s="443"/>
      <c r="V100" s="674"/>
    </row>
    <row r="101" spans="2:22" s="32" customFormat="1" ht="17.25" thickBot="1" x14ac:dyDescent="0.35">
      <c r="C101" s="33" t="str">
        <f>RAB!C37</f>
        <v>-</v>
      </c>
      <c r="D101" s="32" t="str">
        <f>RAB!D37</f>
        <v>Memecah Kepala Tiang Pancang</v>
      </c>
      <c r="E101" s="176"/>
      <c r="F101" s="504"/>
      <c r="G101" s="176"/>
      <c r="H101" s="504"/>
      <c r="I101" s="176"/>
      <c r="J101" s="504"/>
      <c r="K101" s="176"/>
      <c r="L101" s="504"/>
      <c r="M101" s="177"/>
      <c r="N101" s="504"/>
      <c r="O101" s="176"/>
      <c r="P101" s="504"/>
      <c r="Q101" s="205"/>
      <c r="R101" s="504"/>
      <c r="S101" s="229"/>
      <c r="T101" s="54">
        <f>ROUNDDOWN(S106,2)</f>
        <v>80</v>
      </c>
      <c r="U101" s="50" t="s">
        <v>9</v>
      </c>
      <c r="V101" s="51"/>
    </row>
    <row r="102" spans="2:22" s="32" customFormat="1" x14ac:dyDescent="0.3">
      <c r="C102" s="33"/>
      <c r="D102" s="52" t="s">
        <v>95</v>
      </c>
      <c r="E102" s="155" t="s">
        <v>150</v>
      </c>
      <c r="F102" s="505"/>
      <c r="G102" s="155" t="s">
        <v>151</v>
      </c>
      <c r="H102" s="505"/>
      <c r="I102" s="155" t="s">
        <v>152</v>
      </c>
      <c r="J102" s="505"/>
      <c r="K102" s="155" t="s">
        <v>153</v>
      </c>
      <c r="L102" s="506"/>
      <c r="M102" s="164" t="s">
        <v>32</v>
      </c>
      <c r="N102" s="506"/>
      <c r="O102" s="206" t="s">
        <v>163</v>
      </c>
      <c r="P102" s="506"/>
      <c r="Q102" s="207" t="s">
        <v>151</v>
      </c>
      <c r="R102" s="506"/>
      <c r="S102" s="230" t="s">
        <v>143</v>
      </c>
      <c r="T102" s="419"/>
      <c r="U102" s="50"/>
      <c r="V102" s="51"/>
    </row>
    <row r="103" spans="2:22" s="32" customFormat="1" x14ac:dyDescent="0.3">
      <c r="C103" s="33"/>
      <c r="D103" s="303" t="str">
        <f>D96</f>
        <v>Pile Cap tipe - PC1</v>
      </c>
      <c r="E103" s="217"/>
      <c r="F103" s="507"/>
      <c r="G103" s="217"/>
      <c r="H103" s="507"/>
      <c r="I103" s="217"/>
      <c r="J103" s="507"/>
      <c r="K103" s="217">
        <f>K96</f>
        <v>1</v>
      </c>
      <c r="L103" s="508" t="s">
        <v>185</v>
      </c>
      <c r="M103" s="217">
        <f>M96</f>
        <v>56</v>
      </c>
      <c r="N103" s="508"/>
      <c r="O103" s="217"/>
      <c r="P103" s="508"/>
      <c r="Q103" s="276"/>
      <c r="R103" s="507" t="s">
        <v>114</v>
      </c>
      <c r="S103" s="298">
        <f>M103*K103</f>
        <v>56</v>
      </c>
      <c r="T103" s="419"/>
      <c r="U103" s="50"/>
      <c r="V103" s="51"/>
    </row>
    <row r="104" spans="2:22" s="32" customFormat="1" x14ac:dyDescent="0.3">
      <c r="C104" s="33"/>
      <c r="D104" s="140" t="str">
        <f>D97</f>
        <v>Pile Cap tipe - PC2</v>
      </c>
      <c r="E104" s="172"/>
      <c r="F104" s="514"/>
      <c r="G104" s="172"/>
      <c r="H104" s="514"/>
      <c r="I104" s="172"/>
      <c r="J104" s="514"/>
      <c r="K104" s="172">
        <f>K97</f>
        <v>2</v>
      </c>
      <c r="L104" s="515"/>
      <c r="M104" s="172">
        <f>M97</f>
        <v>12</v>
      </c>
      <c r="N104" s="515"/>
      <c r="O104" s="172"/>
      <c r="P104" s="515"/>
      <c r="Q104" s="259"/>
      <c r="R104" s="514" t="s">
        <v>114</v>
      </c>
      <c r="S104" s="260">
        <f>M104*K104</f>
        <v>24</v>
      </c>
      <c r="T104" s="419"/>
      <c r="U104" s="50"/>
      <c r="V104" s="51"/>
    </row>
    <row r="105" spans="2:22" s="32" customFormat="1" x14ac:dyDescent="0.3">
      <c r="C105" s="33"/>
      <c r="D105" s="304"/>
      <c r="E105" s="199"/>
      <c r="F105" s="530"/>
      <c r="G105" s="199"/>
      <c r="H105" s="530"/>
      <c r="I105" s="199"/>
      <c r="J105" s="530"/>
      <c r="K105" s="199"/>
      <c r="L105" s="530"/>
      <c r="M105" s="199"/>
      <c r="N105" s="530"/>
      <c r="O105" s="199"/>
      <c r="P105" s="530"/>
      <c r="Q105" s="283"/>
      <c r="R105" s="530"/>
      <c r="S105" s="305"/>
      <c r="T105" s="419"/>
      <c r="U105" s="50"/>
      <c r="V105" s="51"/>
    </row>
    <row r="106" spans="2:22" s="32" customFormat="1" ht="17.25" thickBot="1" x14ac:dyDescent="0.35">
      <c r="C106" s="33"/>
      <c r="D106" s="3101" t="s">
        <v>164</v>
      </c>
      <c r="E106" s="3102"/>
      <c r="F106" s="3102"/>
      <c r="G106" s="3102"/>
      <c r="H106" s="3102"/>
      <c r="I106" s="3102"/>
      <c r="J106" s="531"/>
      <c r="K106" s="179"/>
      <c r="L106" s="532"/>
      <c r="M106" s="180"/>
      <c r="N106" s="532"/>
      <c r="O106" s="183"/>
      <c r="P106" s="532"/>
      <c r="Q106" s="210"/>
      <c r="R106" s="532"/>
      <c r="S106" s="233">
        <f>SUM(S103:S105)</f>
        <v>80</v>
      </c>
      <c r="T106" s="53"/>
      <c r="U106" s="50"/>
      <c r="V106" s="51"/>
    </row>
    <row r="107" spans="2:22" s="444" customFormat="1" x14ac:dyDescent="0.3">
      <c r="C107" s="450"/>
      <c r="D107" s="457"/>
      <c r="E107" s="457"/>
      <c r="F107" s="457"/>
      <c r="G107" s="457"/>
      <c r="H107" s="457"/>
      <c r="I107" s="457"/>
      <c r="J107" s="486"/>
      <c r="K107" s="458"/>
      <c r="L107" s="487"/>
      <c r="M107" s="459"/>
      <c r="N107" s="487"/>
      <c r="O107" s="458"/>
      <c r="P107" s="487"/>
      <c r="Q107" s="460"/>
      <c r="R107" s="487"/>
      <c r="S107" s="461"/>
      <c r="T107" s="449"/>
      <c r="U107" s="443"/>
      <c r="V107" s="674"/>
    </row>
    <row r="108" spans="2:22" s="32" customFormat="1" ht="17.25" thickBot="1" x14ac:dyDescent="0.35">
      <c r="B108" s="32" t="e">
        <f>RAB!#REF!</f>
        <v>#REF!</v>
      </c>
      <c r="C108" s="33" t="e">
        <f>RAB!#REF!</f>
        <v>#REF!</v>
      </c>
      <c r="D108" s="121"/>
      <c r="E108" s="181"/>
      <c r="F108" s="528"/>
      <c r="G108" s="181"/>
      <c r="H108" s="528"/>
      <c r="I108" s="181"/>
      <c r="J108" s="528"/>
      <c r="K108" s="181"/>
      <c r="L108" s="529"/>
      <c r="M108" s="182"/>
      <c r="N108" s="529"/>
      <c r="O108" s="181"/>
      <c r="P108" s="529"/>
      <c r="Q108" s="211"/>
      <c r="R108" s="529"/>
      <c r="S108" s="234"/>
      <c r="T108" s="54">
        <v>0</v>
      </c>
      <c r="U108" s="50" t="s">
        <v>3</v>
      </c>
      <c r="V108" s="51"/>
    </row>
    <row r="109" spans="2:22" s="32" customFormat="1" x14ac:dyDescent="0.3">
      <c r="C109" s="33"/>
      <c r="D109" s="52" t="s">
        <v>95</v>
      </c>
      <c r="E109" s="155" t="s">
        <v>150</v>
      </c>
      <c r="F109" s="505"/>
      <c r="G109" s="155" t="s">
        <v>151</v>
      </c>
      <c r="H109" s="505"/>
      <c r="I109" s="155" t="s">
        <v>152</v>
      </c>
      <c r="J109" s="505"/>
      <c r="K109" s="155" t="s">
        <v>153</v>
      </c>
      <c r="L109" s="506"/>
      <c r="M109" s="164" t="s">
        <v>32</v>
      </c>
      <c r="N109" s="506"/>
      <c r="O109" s="206" t="s">
        <v>163</v>
      </c>
      <c r="P109" s="506"/>
      <c r="Q109" s="207" t="s">
        <v>151</v>
      </c>
      <c r="R109" s="506"/>
      <c r="S109" s="230" t="s">
        <v>143</v>
      </c>
      <c r="T109" s="419"/>
      <c r="U109" s="50"/>
      <c r="V109" s="51"/>
    </row>
    <row r="110" spans="2:22" s="32" customFormat="1" x14ac:dyDescent="0.3">
      <c r="C110" s="33"/>
      <c r="D110" s="303" t="s">
        <v>729</v>
      </c>
      <c r="E110" s="354" t="e">
        <f>#REF!+#REF!</f>
        <v>#REF!</v>
      </c>
      <c r="F110" s="508" t="s">
        <v>185</v>
      </c>
      <c r="G110" s="217">
        <v>0.45</v>
      </c>
      <c r="H110" s="508" t="s">
        <v>185</v>
      </c>
      <c r="I110" s="217">
        <v>0.55000000000000004</v>
      </c>
      <c r="J110" s="508" t="s">
        <v>185</v>
      </c>
      <c r="K110" s="217"/>
      <c r="L110" s="508"/>
      <c r="M110" s="217"/>
      <c r="N110" s="508"/>
      <c r="O110" s="217">
        <v>0.5</v>
      </c>
      <c r="P110" s="508"/>
      <c r="Q110" s="276"/>
      <c r="R110" s="507" t="s">
        <v>114</v>
      </c>
      <c r="S110" s="298" t="e">
        <f>O110*I110*G110*E110</f>
        <v>#REF!</v>
      </c>
      <c r="T110" s="419"/>
      <c r="U110" s="50"/>
      <c r="V110" s="51"/>
    </row>
    <row r="111" spans="2:22" s="32" customFormat="1" x14ac:dyDescent="0.3">
      <c r="C111" s="33"/>
      <c r="D111" s="304"/>
      <c r="E111" s="199"/>
      <c r="F111" s="530"/>
      <c r="G111" s="199"/>
      <c r="H111" s="530"/>
      <c r="I111" s="199"/>
      <c r="J111" s="530"/>
      <c r="K111" s="199"/>
      <c r="L111" s="530"/>
      <c r="M111" s="199"/>
      <c r="N111" s="530"/>
      <c r="O111" s="199"/>
      <c r="P111" s="530"/>
      <c r="Q111" s="283"/>
      <c r="R111" s="530"/>
      <c r="S111" s="305"/>
      <c r="T111" s="419"/>
      <c r="U111" s="50"/>
      <c r="V111" s="51"/>
    </row>
    <row r="112" spans="2:22" s="32" customFormat="1" ht="17.25" thickBot="1" x14ac:dyDescent="0.35">
      <c r="C112" s="33"/>
      <c r="D112" s="3101" t="s">
        <v>164</v>
      </c>
      <c r="E112" s="3102"/>
      <c r="F112" s="3102"/>
      <c r="G112" s="3102"/>
      <c r="H112" s="3102"/>
      <c r="I112" s="3102"/>
      <c r="J112" s="531"/>
      <c r="K112" s="179"/>
      <c r="L112" s="532"/>
      <c r="M112" s="180"/>
      <c r="N112" s="532"/>
      <c r="O112" s="183"/>
      <c r="P112" s="532"/>
      <c r="Q112" s="210"/>
      <c r="R112" s="532"/>
      <c r="S112" s="233" t="e">
        <f>SUM(S110:S111)</f>
        <v>#REF!</v>
      </c>
      <c r="T112" s="53"/>
      <c r="U112" s="50"/>
      <c r="V112" s="51"/>
    </row>
    <row r="113" spans="2:23" s="444" customFormat="1" x14ac:dyDescent="0.3">
      <c r="C113" s="450"/>
      <c r="D113" s="457"/>
      <c r="E113" s="457"/>
      <c r="F113" s="457"/>
      <c r="G113" s="457"/>
      <c r="H113" s="457"/>
      <c r="I113" s="457"/>
      <c r="J113" s="486"/>
      <c r="K113" s="458"/>
      <c r="L113" s="487"/>
      <c r="M113" s="459"/>
      <c r="N113" s="487"/>
      <c r="O113" s="458"/>
      <c r="P113" s="487"/>
      <c r="Q113" s="460"/>
      <c r="R113" s="487"/>
      <c r="S113" s="461"/>
      <c r="T113" s="449"/>
      <c r="U113" s="443"/>
      <c r="V113" s="674"/>
    </row>
    <row r="114" spans="2:23" s="32" customFormat="1" x14ac:dyDescent="0.3">
      <c r="B114" s="32">
        <f>RAB!B39</f>
        <v>2</v>
      </c>
      <c r="C114" s="33" t="str">
        <f>RAB!C39</f>
        <v>Pile Cap tipe - PC1</v>
      </c>
      <c r="E114" s="176"/>
      <c r="F114" s="504"/>
      <c r="G114" s="176"/>
      <c r="H114" s="504"/>
      <c r="I114" s="176"/>
      <c r="J114" s="504"/>
      <c r="K114" s="176"/>
      <c r="L114" s="504"/>
      <c r="M114" s="177"/>
      <c r="N114" s="504"/>
      <c r="O114" s="176"/>
      <c r="P114" s="504"/>
      <c r="Q114" s="205"/>
      <c r="R114" s="504"/>
      <c r="S114" s="229"/>
      <c r="T114" s="54"/>
      <c r="U114" s="50"/>
      <c r="V114" s="51"/>
    </row>
    <row r="115" spans="2:23" s="32" customFormat="1" ht="17.25" thickBot="1" x14ac:dyDescent="0.35">
      <c r="C115" s="33" t="str">
        <f>RAB!D40</f>
        <v xml:space="preserve">Beton mutu f'c=26,4 Mpa </v>
      </c>
      <c r="E115" s="176"/>
      <c r="F115" s="504"/>
      <c r="G115" s="176"/>
      <c r="H115" s="504"/>
      <c r="I115" s="176"/>
      <c r="J115" s="504"/>
      <c r="K115" s="176"/>
      <c r="L115" s="504"/>
      <c r="M115" s="177"/>
      <c r="N115" s="504"/>
      <c r="O115" s="176"/>
      <c r="P115" s="504"/>
      <c r="Q115" s="205"/>
      <c r="R115" s="504"/>
      <c r="S115" s="229"/>
      <c r="T115" s="54">
        <f>ROUNDDOWN(S121,2)</f>
        <v>26.67</v>
      </c>
      <c r="U115" s="50" t="s">
        <v>3</v>
      </c>
      <c r="V115" s="51"/>
    </row>
    <row r="116" spans="2:23" s="32" customFormat="1" x14ac:dyDescent="0.3">
      <c r="C116" s="33"/>
      <c r="D116" s="52" t="s">
        <v>95</v>
      </c>
      <c r="E116" s="155" t="s">
        <v>150</v>
      </c>
      <c r="F116" s="505"/>
      <c r="G116" s="155" t="s">
        <v>151</v>
      </c>
      <c r="H116" s="505"/>
      <c r="I116" s="155" t="s">
        <v>152</v>
      </c>
      <c r="J116" s="505"/>
      <c r="K116" s="155" t="s">
        <v>153</v>
      </c>
      <c r="L116" s="506"/>
      <c r="M116" s="164" t="s">
        <v>32</v>
      </c>
      <c r="N116" s="506"/>
      <c r="O116" s="206" t="s">
        <v>163</v>
      </c>
      <c r="P116" s="506"/>
      <c r="Q116" s="207" t="s">
        <v>151</v>
      </c>
      <c r="R116" s="506"/>
      <c r="S116" s="230" t="s">
        <v>143</v>
      </c>
      <c r="T116" s="419"/>
      <c r="U116" s="50"/>
      <c r="V116" s="51"/>
    </row>
    <row r="117" spans="2:23" s="32" customFormat="1" x14ac:dyDescent="0.3">
      <c r="C117" s="33"/>
      <c r="D117" s="297" t="s">
        <v>258</v>
      </c>
      <c r="E117" s="217">
        <v>0.9</v>
      </c>
      <c r="F117" s="508" t="s">
        <v>185</v>
      </c>
      <c r="G117" s="217">
        <v>0.9</v>
      </c>
      <c r="H117" s="508" t="s">
        <v>185</v>
      </c>
      <c r="I117" s="217">
        <v>0.6</v>
      </c>
      <c r="J117" s="507" t="s">
        <v>185</v>
      </c>
      <c r="K117" s="354">
        <f>K29</f>
        <v>56</v>
      </c>
      <c r="L117" s="542"/>
      <c r="M117" s="257"/>
      <c r="N117" s="542"/>
      <c r="O117" s="217"/>
      <c r="P117" s="542"/>
      <c r="Q117" s="276"/>
      <c r="R117" s="507" t="s">
        <v>114</v>
      </c>
      <c r="S117" s="298">
        <f>K117*I117*G117*E117</f>
        <v>27.216000000000001</v>
      </c>
      <c r="T117" s="419"/>
      <c r="U117" s="50"/>
      <c r="V117" s="51"/>
      <c r="W117" s="120">
        <f>S117+S139</f>
        <v>38.880000000000003</v>
      </c>
    </row>
    <row r="118" spans="2:23" s="32" customFormat="1" x14ac:dyDescent="0.3">
      <c r="C118" s="33"/>
      <c r="D118" s="299" t="s">
        <v>244</v>
      </c>
      <c r="E118" s="172"/>
      <c r="F118" s="514"/>
      <c r="G118" s="172"/>
      <c r="H118" s="514"/>
      <c r="I118" s="172"/>
      <c r="J118" s="514"/>
      <c r="K118" s="172"/>
      <c r="L118" s="543"/>
      <c r="M118" s="189"/>
      <c r="N118" s="543"/>
      <c r="O118" s="172"/>
      <c r="P118" s="543"/>
      <c r="Q118" s="259"/>
      <c r="R118" s="514"/>
      <c r="S118" s="260"/>
      <c r="T118" s="419"/>
      <c r="U118" s="50"/>
      <c r="V118" s="51"/>
    </row>
    <row r="119" spans="2:23" s="32" customFormat="1" x14ac:dyDescent="0.3">
      <c r="C119" s="33"/>
      <c r="D119" s="300" t="s">
        <v>254</v>
      </c>
      <c r="E119" s="172"/>
      <c r="F119" s="514"/>
      <c r="G119" s="172"/>
      <c r="H119" s="514"/>
      <c r="I119" s="172"/>
      <c r="J119" s="514"/>
      <c r="K119" s="328">
        <f>S128</f>
        <v>4231.459478400001</v>
      </c>
      <c r="L119" s="544" t="s">
        <v>253</v>
      </c>
      <c r="M119" s="189"/>
      <c r="N119" s="543"/>
      <c r="O119" s="172">
        <f>O126</f>
        <v>7850</v>
      </c>
      <c r="P119" s="543"/>
      <c r="Q119" s="259"/>
      <c r="R119" s="514" t="s">
        <v>149</v>
      </c>
      <c r="S119" s="260">
        <f>K119/O119</f>
        <v>0.53903942400000016</v>
      </c>
      <c r="T119" s="419"/>
      <c r="U119" s="50"/>
      <c r="V119" s="51"/>
    </row>
    <row r="120" spans="2:23" s="32" customFormat="1" x14ac:dyDescent="0.3">
      <c r="C120" s="33"/>
      <c r="D120" s="301"/>
      <c r="E120" s="199"/>
      <c r="F120" s="545"/>
      <c r="G120" s="199"/>
      <c r="H120" s="545"/>
      <c r="I120" s="199"/>
      <c r="J120" s="545"/>
      <c r="K120" s="199"/>
      <c r="L120" s="546"/>
      <c r="M120" s="219"/>
      <c r="N120" s="546"/>
      <c r="O120" s="199"/>
      <c r="P120" s="546"/>
      <c r="Q120" s="283"/>
      <c r="R120" s="545"/>
      <c r="S120" s="302"/>
      <c r="T120" s="419"/>
      <c r="U120" s="50"/>
      <c r="V120" s="51"/>
    </row>
    <row r="121" spans="2:23" s="32" customFormat="1" ht="17.25" thickBot="1" x14ac:dyDescent="0.35">
      <c r="C121" s="33"/>
      <c r="D121" s="3103" t="s">
        <v>164</v>
      </c>
      <c r="E121" s="3104"/>
      <c r="F121" s="3104"/>
      <c r="G121" s="3104"/>
      <c r="H121" s="3104"/>
      <c r="I121" s="3105"/>
      <c r="J121" s="547"/>
      <c r="K121" s="183"/>
      <c r="L121" s="532"/>
      <c r="M121" s="180"/>
      <c r="N121" s="532"/>
      <c r="O121" s="183"/>
      <c r="P121" s="532"/>
      <c r="Q121" s="210"/>
      <c r="R121" s="532"/>
      <c r="S121" s="235">
        <f>S117-S119</f>
        <v>26.676960576000003</v>
      </c>
      <c r="T121" s="419"/>
      <c r="U121" s="50"/>
      <c r="V121" s="51"/>
    </row>
    <row r="122" spans="2:23" s="32" customFormat="1" x14ac:dyDescent="0.3">
      <c r="C122" s="33"/>
      <c r="D122" s="55"/>
      <c r="E122" s="181"/>
      <c r="F122" s="529"/>
      <c r="G122" s="181"/>
      <c r="H122" s="529"/>
      <c r="I122" s="181"/>
      <c r="J122" s="529"/>
      <c r="K122" s="181"/>
      <c r="L122" s="529"/>
      <c r="M122" s="182"/>
      <c r="N122" s="529"/>
      <c r="O122" s="181"/>
      <c r="P122" s="529"/>
      <c r="Q122" s="211"/>
      <c r="R122" s="529"/>
      <c r="S122" s="236"/>
      <c r="T122" s="53"/>
      <c r="U122" s="50"/>
      <c r="V122" s="51"/>
    </row>
    <row r="123" spans="2:23" s="32" customFormat="1" ht="17.25" thickBot="1" x14ac:dyDescent="0.35">
      <c r="C123" s="33" t="str">
        <f>RAB!D41</f>
        <v>Pembesian Ulir</v>
      </c>
      <c r="E123" s="176"/>
      <c r="F123" s="504"/>
      <c r="G123" s="176"/>
      <c r="H123" s="504"/>
      <c r="I123" s="176"/>
      <c r="J123" s="504"/>
      <c r="K123" s="176"/>
      <c r="L123" s="504"/>
      <c r="M123" s="177"/>
      <c r="N123" s="504"/>
      <c r="O123" s="176"/>
      <c r="P123" s="504"/>
      <c r="Q123" s="205"/>
      <c r="R123" s="504"/>
      <c r="S123" s="229"/>
      <c r="T123" s="54">
        <f>ROUNDDOWN(S128,2)</f>
        <v>4231.45</v>
      </c>
      <c r="U123" s="50" t="s">
        <v>0</v>
      </c>
      <c r="V123" s="51"/>
    </row>
    <row r="124" spans="2:23" s="32" customFormat="1" x14ac:dyDescent="0.3">
      <c r="C124" s="33"/>
      <c r="D124" s="52" t="s">
        <v>95</v>
      </c>
      <c r="E124" s="155" t="s">
        <v>150</v>
      </c>
      <c r="F124" s="505"/>
      <c r="G124" s="155" t="s">
        <v>151</v>
      </c>
      <c r="H124" s="505"/>
      <c r="I124" s="155" t="s">
        <v>152</v>
      </c>
      <c r="J124" s="505"/>
      <c r="K124" s="155" t="s">
        <v>153</v>
      </c>
      <c r="L124" s="505"/>
      <c r="M124" s="166" t="s">
        <v>32</v>
      </c>
      <c r="N124" s="505"/>
      <c r="O124" s="155" t="s">
        <v>163</v>
      </c>
      <c r="P124" s="505"/>
      <c r="Q124" s="212" t="s">
        <v>151</v>
      </c>
      <c r="R124" s="506"/>
      <c r="S124" s="230" t="s">
        <v>143</v>
      </c>
      <c r="T124" s="53"/>
      <c r="U124" s="50"/>
      <c r="V124" s="51"/>
      <c r="W124" s="32">
        <f>0.9/0.19</f>
        <v>4.7368421052631575</v>
      </c>
    </row>
    <row r="125" spans="2:23" s="32" customFormat="1" x14ac:dyDescent="0.3">
      <c r="C125" s="33"/>
      <c r="D125" s="278" t="s">
        <v>613</v>
      </c>
      <c r="E125" s="172">
        <f>(0.8+0.5)*2+2*(6*0.019)</f>
        <v>2.8280000000000003</v>
      </c>
      <c r="F125" s="514" t="s">
        <v>185</v>
      </c>
      <c r="G125" s="172"/>
      <c r="H125" s="543"/>
      <c r="I125" s="172"/>
      <c r="J125" s="543"/>
      <c r="K125" s="172">
        <v>6</v>
      </c>
      <c r="L125" s="514" t="s">
        <v>185</v>
      </c>
      <c r="M125" s="189">
        <f>K117</f>
        <v>56</v>
      </c>
      <c r="N125" s="514" t="s">
        <v>185</v>
      </c>
      <c r="O125" s="172">
        <v>7850</v>
      </c>
      <c r="P125" s="514" t="s">
        <v>185</v>
      </c>
      <c r="Q125" s="280">
        <f>22/7*0.0095*0.0095</f>
        <v>2.8364285714285714E-4</v>
      </c>
      <c r="R125" s="514" t="s">
        <v>114</v>
      </c>
      <c r="S125" s="266">
        <f>Q125*O125*M125*K125*E125</f>
        <v>2115.7297392000005</v>
      </c>
      <c r="T125" s="53"/>
      <c r="U125" s="50"/>
      <c r="V125" s="51"/>
    </row>
    <row r="126" spans="2:23" s="32" customFormat="1" x14ac:dyDescent="0.3">
      <c r="C126" s="33"/>
      <c r="D126" s="278" t="s">
        <v>614</v>
      </c>
      <c r="E126" s="172">
        <f>E125</f>
        <v>2.8280000000000003</v>
      </c>
      <c r="F126" s="514" t="s">
        <v>185</v>
      </c>
      <c r="G126" s="172"/>
      <c r="H126" s="543"/>
      <c r="I126" s="172"/>
      <c r="J126" s="543"/>
      <c r="K126" s="172">
        <v>6</v>
      </c>
      <c r="L126" s="514" t="s">
        <v>185</v>
      </c>
      <c r="M126" s="189">
        <f>M125</f>
        <v>56</v>
      </c>
      <c r="N126" s="514" t="s">
        <v>185</v>
      </c>
      <c r="O126" s="172">
        <v>7850</v>
      </c>
      <c r="P126" s="514" t="s">
        <v>185</v>
      </c>
      <c r="Q126" s="280">
        <f>22/7*0.0095*0.0095</f>
        <v>2.8364285714285714E-4</v>
      </c>
      <c r="R126" s="514" t="s">
        <v>114</v>
      </c>
      <c r="S126" s="266">
        <f>Q126*O126*M126*K126*E126</f>
        <v>2115.7297392000005</v>
      </c>
      <c r="T126" s="53"/>
      <c r="U126" s="50"/>
      <c r="V126" s="51"/>
    </row>
    <row r="127" spans="2:23" s="32" customFormat="1" x14ac:dyDescent="0.3">
      <c r="C127" s="33"/>
      <c r="D127" s="282"/>
      <c r="E127" s="199"/>
      <c r="F127" s="546"/>
      <c r="G127" s="199"/>
      <c r="H127" s="546"/>
      <c r="I127" s="199"/>
      <c r="J127" s="546"/>
      <c r="K127" s="199"/>
      <c r="L127" s="546"/>
      <c r="M127" s="219"/>
      <c r="N127" s="546"/>
      <c r="O127" s="199"/>
      <c r="P127" s="546"/>
      <c r="Q127" s="283"/>
      <c r="R127" s="546"/>
      <c r="S127" s="272"/>
      <c r="T127" s="53"/>
      <c r="U127" s="50"/>
      <c r="V127" s="51"/>
    </row>
    <row r="128" spans="2:23" s="32" customFormat="1" ht="17.25" thickBot="1" x14ac:dyDescent="0.35">
      <c r="C128" s="33"/>
      <c r="D128" s="3103" t="s">
        <v>164</v>
      </c>
      <c r="E128" s="3104"/>
      <c r="F128" s="3104"/>
      <c r="G128" s="3104"/>
      <c r="H128" s="3104"/>
      <c r="I128" s="3105"/>
      <c r="J128" s="548"/>
      <c r="K128" s="183"/>
      <c r="L128" s="532"/>
      <c r="M128" s="180"/>
      <c r="N128" s="532"/>
      <c r="O128" s="183"/>
      <c r="P128" s="532"/>
      <c r="Q128" s="210"/>
      <c r="R128" s="532"/>
      <c r="S128" s="233">
        <f>SUM(S125:S127)</f>
        <v>4231.459478400001</v>
      </c>
      <c r="T128" s="53"/>
      <c r="U128" s="50"/>
      <c r="V128" s="51"/>
    </row>
    <row r="129" spans="2:22" s="32" customFormat="1" x14ac:dyDescent="0.3">
      <c r="C129" s="33"/>
      <c r="D129" s="56"/>
      <c r="E129" s="181"/>
      <c r="F129" s="549"/>
      <c r="G129" s="181"/>
      <c r="H129" s="549"/>
      <c r="I129" s="181"/>
      <c r="J129" s="549"/>
      <c r="K129" s="181"/>
      <c r="L129" s="529"/>
      <c r="M129" s="182"/>
      <c r="N129" s="529"/>
      <c r="O129" s="181"/>
      <c r="P129" s="529"/>
      <c r="Q129" s="211"/>
      <c r="R129" s="529"/>
      <c r="S129" s="234"/>
      <c r="T129" s="53"/>
      <c r="U129" s="50"/>
      <c r="V129" s="51"/>
    </row>
    <row r="130" spans="2:22" s="32" customFormat="1" ht="17.25" thickBot="1" x14ac:dyDescent="0.35">
      <c r="C130" s="33" t="str">
        <f>RAB!D42</f>
        <v>Bekisting Pondasi</v>
      </c>
      <c r="D130" s="56"/>
      <c r="E130" s="181"/>
      <c r="F130" s="549"/>
      <c r="G130" s="181"/>
      <c r="H130" s="549"/>
      <c r="I130" s="181"/>
      <c r="J130" s="549"/>
      <c r="K130" s="181"/>
      <c r="L130" s="529"/>
      <c r="M130" s="182"/>
      <c r="N130" s="529"/>
      <c r="O130" s="181"/>
      <c r="P130" s="529"/>
      <c r="Q130" s="211"/>
      <c r="R130" s="529"/>
      <c r="S130" s="234"/>
      <c r="T130" s="54">
        <f>ROUNDDOWN(Q134,2)</f>
        <v>120.96</v>
      </c>
      <c r="U130" s="50" t="s">
        <v>2</v>
      </c>
      <c r="V130" s="51"/>
    </row>
    <row r="131" spans="2:22" s="32" customFormat="1" x14ac:dyDescent="0.3">
      <c r="C131" s="33"/>
      <c r="D131" s="52" t="s">
        <v>95</v>
      </c>
      <c r="E131" s="155" t="s">
        <v>150</v>
      </c>
      <c r="F131" s="505"/>
      <c r="G131" s="155" t="s">
        <v>151</v>
      </c>
      <c r="H131" s="505"/>
      <c r="I131" s="155" t="s">
        <v>152</v>
      </c>
      <c r="J131" s="505"/>
      <c r="K131" s="155" t="s">
        <v>153</v>
      </c>
      <c r="L131" s="505"/>
      <c r="M131" s="166" t="s">
        <v>32</v>
      </c>
      <c r="N131" s="505"/>
      <c r="O131" s="155" t="s">
        <v>163</v>
      </c>
      <c r="P131" s="505"/>
      <c r="Q131" s="212" t="s">
        <v>151</v>
      </c>
      <c r="R131" s="506"/>
      <c r="S131" s="230" t="s">
        <v>143</v>
      </c>
      <c r="T131" s="53"/>
      <c r="U131" s="50"/>
      <c r="V131" s="51"/>
    </row>
    <row r="132" spans="2:22" s="32" customFormat="1" x14ac:dyDescent="0.3">
      <c r="C132" s="33"/>
      <c r="D132" s="275" t="s">
        <v>235</v>
      </c>
      <c r="E132" s="217">
        <f>E117*4</f>
        <v>3.6</v>
      </c>
      <c r="F132" s="507"/>
      <c r="G132" s="217"/>
      <c r="H132" s="507" t="s">
        <v>185</v>
      </c>
      <c r="I132" s="217">
        <f>I117</f>
        <v>0.6</v>
      </c>
      <c r="J132" s="507"/>
      <c r="K132" s="217"/>
      <c r="L132" s="507" t="s">
        <v>185</v>
      </c>
      <c r="M132" s="257">
        <f>M126</f>
        <v>56</v>
      </c>
      <c r="N132" s="507"/>
      <c r="O132" s="217"/>
      <c r="P132" s="507" t="s">
        <v>114</v>
      </c>
      <c r="Q132" s="276">
        <f>M132*I132*E132</f>
        <v>120.96000000000001</v>
      </c>
      <c r="R132" s="507"/>
      <c r="S132" s="271"/>
      <c r="T132" s="53"/>
      <c r="U132" s="50"/>
      <c r="V132" s="51"/>
    </row>
    <row r="133" spans="2:22" s="32" customFormat="1" x14ac:dyDescent="0.3">
      <c r="C133" s="33"/>
      <c r="D133" s="282"/>
      <c r="E133" s="199"/>
      <c r="F133" s="546"/>
      <c r="G133" s="199"/>
      <c r="H133" s="546"/>
      <c r="I133" s="199"/>
      <c r="J133" s="546"/>
      <c r="K133" s="199"/>
      <c r="L133" s="546"/>
      <c r="M133" s="219"/>
      <c r="N133" s="546"/>
      <c r="O133" s="199"/>
      <c r="P133" s="546"/>
      <c r="Q133" s="283"/>
      <c r="R133" s="546"/>
      <c r="S133" s="272"/>
      <c r="T133" s="53"/>
      <c r="U133" s="50"/>
      <c r="V133" s="51"/>
    </row>
    <row r="134" spans="2:22" s="32" customFormat="1" ht="17.25" thickBot="1" x14ac:dyDescent="0.35">
      <c r="C134" s="33"/>
      <c r="D134" s="3103" t="s">
        <v>164</v>
      </c>
      <c r="E134" s="3104"/>
      <c r="F134" s="3104"/>
      <c r="G134" s="3104"/>
      <c r="H134" s="3104"/>
      <c r="I134" s="3105"/>
      <c r="J134" s="548"/>
      <c r="K134" s="183"/>
      <c r="L134" s="532"/>
      <c r="M134" s="180"/>
      <c r="N134" s="532"/>
      <c r="O134" s="183"/>
      <c r="P134" s="532"/>
      <c r="Q134" s="210">
        <f>Q132</f>
        <v>120.96000000000001</v>
      </c>
      <c r="R134" s="532"/>
      <c r="S134" s="233"/>
      <c r="T134" s="53"/>
      <c r="U134" s="50"/>
      <c r="V134" s="51"/>
    </row>
    <row r="135" spans="2:22" s="444" customFormat="1" x14ac:dyDescent="0.3">
      <c r="C135" s="450"/>
      <c r="D135" s="462"/>
      <c r="E135" s="463"/>
      <c r="F135" s="488"/>
      <c r="G135" s="463"/>
      <c r="H135" s="488"/>
      <c r="I135" s="463"/>
      <c r="J135" s="488"/>
      <c r="K135" s="458"/>
      <c r="L135" s="487"/>
      <c r="M135" s="459"/>
      <c r="N135" s="487"/>
      <c r="O135" s="458"/>
      <c r="P135" s="487"/>
      <c r="Q135" s="460"/>
      <c r="R135" s="487"/>
      <c r="S135" s="461"/>
      <c r="T135" s="449"/>
      <c r="U135" s="443"/>
      <c r="V135" s="674"/>
    </row>
    <row r="136" spans="2:22" s="32" customFormat="1" x14ac:dyDescent="0.3">
      <c r="B136" s="32">
        <f>RAB!B43</f>
        <v>3</v>
      </c>
      <c r="C136" s="33" t="str">
        <f>RAB!C43</f>
        <v>Pile Cap tipe - PC2</v>
      </c>
      <c r="E136" s="176"/>
      <c r="F136" s="504"/>
      <c r="G136" s="176"/>
      <c r="H136" s="504"/>
      <c r="I136" s="176"/>
      <c r="J136" s="504"/>
      <c r="K136" s="176"/>
      <c r="L136" s="504"/>
      <c r="M136" s="177"/>
      <c r="N136" s="504"/>
      <c r="O136" s="176"/>
      <c r="P136" s="504"/>
      <c r="Q136" s="205"/>
      <c r="R136" s="504"/>
      <c r="S136" s="229"/>
      <c r="T136" s="54"/>
      <c r="U136" s="50"/>
      <c r="V136" s="51"/>
    </row>
    <row r="137" spans="2:22" s="32" customFormat="1" ht="17.25" thickBot="1" x14ac:dyDescent="0.35">
      <c r="C137" s="33" t="str">
        <f>RAB!D44</f>
        <v xml:space="preserve">Beton mutu f'c=26,4 Mpa </v>
      </c>
      <c r="E137" s="176"/>
      <c r="F137" s="504"/>
      <c r="G137" s="176"/>
      <c r="H137" s="504"/>
      <c r="I137" s="176"/>
      <c r="J137" s="504"/>
      <c r="K137" s="176"/>
      <c r="L137" s="504"/>
      <c r="M137" s="177"/>
      <c r="N137" s="504"/>
      <c r="O137" s="176"/>
      <c r="P137" s="504"/>
      <c r="Q137" s="205"/>
      <c r="R137" s="504"/>
      <c r="S137" s="229"/>
      <c r="T137" s="54">
        <f>ROUNDDOWN(S143,2)</f>
        <v>11.45</v>
      </c>
      <c r="U137" s="50" t="s">
        <v>3</v>
      </c>
      <c r="V137" s="51"/>
    </row>
    <row r="138" spans="2:22" s="32" customFormat="1" x14ac:dyDescent="0.3">
      <c r="C138" s="33"/>
      <c r="D138" s="52" t="s">
        <v>95</v>
      </c>
      <c r="E138" s="155" t="s">
        <v>150</v>
      </c>
      <c r="F138" s="505"/>
      <c r="G138" s="155" t="s">
        <v>151</v>
      </c>
      <c r="H138" s="505"/>
      <c r="I138" s="155" t="s">
        <v>152</v>
      </c>
      <c r="J138" s="505"/>
      <c r="K138" s="155" t="s">
        <v>153</v>
      </c>
      <c r="L138" s="506"/>
      <c r="M138" s="164" t="s">
        <v>32</v>
      </c>
      <c r="N138" s="506"/>
      <c r="O138" s="206" t="s">
        <v>163</v>
      </c>
      <c r="P138" s="506"/>
      <c r="Q138" s="207" t="s">
        <v>151</v>
      </c>
      <c r="R138" s="506"/>
      <c r="S138" s="230" t="s">
        <v>143</v>
      </c>
      <c r="T138" s="419"/>
      <c r="U138" s="50"/>
      <c r="V138" s="51"/>
    </row>
    <row r="139" spans="2:22" s="32" customFormat="1" x14ac:dyDescent="0.3">
      <c r="C139" s="33"/>
      <c r="D139" s="297" t="s">
        <v>708</v>
      </c>
      <c r="E139" s="217">
        <v>1.8</v>
      </c>
      <c r="F139" s="508" t="s">
        <v>185</v>
      </c>
      <c r="G139" s="217">
        <v>0.9</v>
      </c>
      <c r="H139" s="508" t="s">
        <v>185</v>
      </c>
      <c r="I139" s="217">
        <v>0.6</v>
      </c>
      <c r="J139" s="507" t="s">
        <v>185</v>
      </c>
      <c r="K139" s="354">
        <f>K30</f>
        <v>12</v>
      </c>
      <c r="L139" s="542"/>
      <c r="M139" s="257"/>
      <c r="N139" s="542"/>
      <c r="O139" s="217"/>
      <c r="P139" s="542"/>
      <c r="Q139" s="276"/>
      <c r="R139" s="507" t="s">
        <v>114</v>
      </c>
      <c r="S139" s="298">
        <f>K139*I139*G139*E139</f>
        <v>11.664</v>
      </c>
      <c r="T139" s="419"/>
      <c r="U139" s="50"/>
      <c r="V139" s="51"/>
    </row>
    <row r="140" spans="2:22" s="32" customFormat="1" x14ac:dyDescent="0.3">
      <c r="C140" s="33"/>
      <c r="D140" s="299" t="s">
        <v>244</v>
      </c>
      <c r="E140" s="172"/>
      <c r="F140" s="514"/>
      <c r="G140" s="172"/>
      <c r="H140" s="514"/>
      <c r="I140" s="172"/>
      <c r="J140" s="514"/>
      <c r="K140" s="172"/>
      <c r="L140" s="543"/>
      <c r="M140" s="189"/>
      <c r="N140" s="543"/>
      <c r="O140" s="172"/>
      <c r="P140" s="543"/>
      <c r="Q140" s="259"/>
      <c r="R140" s="514"/>
      <c r="S140" s="260"/>
      <c r="T140" s="419"/>
      <c r="U140" s="50"/>
      <c r="V140" s="51"/>
    </row>
    <row r="141" spans="2:22" s="32" customFormat="1" x14ac:dyDescent="0.3">
      <c r="C141" s="33"/>
      <c r="D141" s="300" t="s">
        <v>254</v>
      </c>
      <c r="E141" s="172"/>
      <c r="F141" s="514"/>
      <c r="G141" s="172"/>
      <c r="H141" s="514"/>
      <c r="I141" s="172"/>
      <c r="J141" s="514"/>
      <c r="K141" s="259">
        <f>S150</f>
        <v>1648.6788723428576</v>
      </c>
      <c r="L141" s="544" t="s">
        <v>253</v>
      </c>
      <c r="M141" s="189"/>
      <c r="N141" s="543"/>
      <c r="O141" s="172">
        <f>O147</f>
        <v>7850</v>
      </c>
      <c r="P141" s="543"/>
      <c r="Q141" s="259"/>
      <c r="R141" s="514" t="s">
        <v>149</v>
      </c>
      <c r="S141" s="260">
        <f>K141/O141</f>
        <v>0.21002278628571436</v>
      </c>
      <c r="T141" s="419"/>
      <c r="U141" s="50"/>
      <c r="V141" s="51"/>
    </row>
    <row r="142" spans="2:22" s="32" customFormat="1" x14ac:dyDescent="0.3">
      <c r="C142" s="33"/>
      <c r="D142" s="301"/>
      <c r="E142" s="199"/>
      <c r="F142" s="545"/>
      <c r="G142" s="199"/>
      <c r="H142" s="545"/>
      <c r="I142" s="199"/>
      <c r="J142" s="545"/>
      <c r="K142" s="199"/>
      <c r="L142" s="546"/>
      <c r="M142" s="219"/>
      <c r="N142" s="546"/>
      <c r="O142" s="199"/>
      <c r="P142" s="546"/>
      <c r="Q142" s="283"/>
      <c r="R142" s="545"/>
      <c r="S142" s="302"/>
      <c r="T142" s="419"/>
      <c r="U142" s="50"/>
      <c r="V142" s="51"/>
    </row>
    <row r="143" spans="2:22" s="32" customFormat="1" ht="17.25" thickBot="1" x14ac:dyDescent="0.35">
      <c r="C143" s="33"/>
      <c r="D143" s="3103" t="s">
        <v>164</v>
      </c>
      <c r="E143" s="3104"/>
      <c r="F143" s="3104"/>
      <c r="G143" s="3104"/>
      <c r="H143" s="3104"/>
      <c r="I143" s="3105"/>
      <c r="J143" s="547"/>
      <c r="K143" s="183"/>
      <c r="L143" s="532"/>
      <c r="M143" s="180"/>
      <c r="N143" s="532"/>
      <c r="O143" s="183"/>
      <c r="P143" s="532"/>
      <c r="Q143" s="210"/>
      <c r="R143" s="532"/>
      <c r="S143" s="235">
        <f>S139-S141</f>
        <v>11.453977213714285</v>
      </c>
      <c r="T143" s="419"/>
      <c r="U143" s="50"/>
      <c r="V143" s="51"/>
    </row>
    <row r="144" spans="2:22" s="32" customFormat="1" x14ac:dyDescent="0.3">
      <c r="C144" s="33"/>
      <c r="D144" s="55"/>
      <c r="E144" s="181"/>
      <c r="F144" s="529"/>
      <c r="G144" s="181"/>
      <c r="H144" s="529"/>
      <c r="I144" s="181"/>
      <c r="J144" s="529"/>
      <c r="K144" s="181"/>
      <c r="L144" s="529"/>
      <c r="M144" s="182"/>
      <c r="N144" s="529"/>
      <c r="O144" s="181"/>
      <c r="P144" s="529"/>
      <c r="Q144" s="211"/>
      <c r="R144" s="529"/>
      <c r="S144" s="236"/>
      <c r="T144" s="53"/>
      <c r="U144" s="50"/>
      <c r="V144" s="51"/>
    </row>
    <row r="145" spans="2:23" s="32" customFormat="1" ht="17.25" thickBot="1" x14ac:dyDescent="0.35">
      <c r="C145" s="33" t="str">
        <f>RAB!D45</f>
        <v>Pembesian Ulir</v>
      </c>
      <c r="E145" s="176"/>
      <c r="F145" s="504"/>
      <c r="G145" s="176"/>
      <c r="H145" s="504"/>
      <c r="I145" s="176"/>
      <c r="J145" s="504"/>
      <c r="K145" s="176"/>
      <c r="L145" s="504"/>
      <c r="M145" s="177"/>
      <c r="N145" s="504"/>
      <c r="O145" s="176"/>
      <c r="P145" s="504"/>
      <c r="Q145" s="205"/>
      <c r="R145" s="504"/>
      <c r="S145" s="229"/>
      <c r="T145" s="54">
        <f>ROUNDDOWN(S150,2)</f>
        <v>1648.67</v>
      </c>
      <c r="U145" s="50" t="s">
        <v>0</v>
      </c>
      <c r="V145" s="51"/>
    </row>
    <row r="146" spans="2:23" s="32" customFormat="1" x14ac:dyDescent="0.3">
      <c r="C146" s="33"/>
      <c r="D146" s="52" t="s">
        <v>95</v>
      </c>
      <c r="E146" s="155" t="s">
        <v>150</v>
      </c>
      <c r="F146" s="505"/>
      <c r="G146" s="155" t="s">
        <v>151</v>
      </c>
      <c r="H146" s="505"/>
      <c r="I146" s="155" t="s">
        <v>152</v>
      </c>
      <c r="J146" s="505"/>
      <c r="K146" s="155" t="s">
        <v>153</v>
      </c>
      <c r="L146" s="505"/>
      <c r="M146" s="166" t="s">
        <v>32</v>
      </c>
      <c r="N146" s="505"/>
      <c r="O146" s="155" t="s">
        <v>163</v>
      </c>
      <c r="P146" s="505"/>
      <c r="Q146" s="212" t="s">
        <v>151</v>
      </c>
      <c r="R146" s="506"/>
      <c r="S146" s="230" t="s">
        <v>143</v>
      </c>
      <c r="T146" s="53"/>
      <c r="U146" s="50"/>
      <c r="V146" s="51"/>
    </row>
    <row r="147" spans="2:23" s="32" customFormat="1" x14ac:dyDescent="0.3">
      <c r="C147" s="33"/>
      <c r="D147" s="278" t="s">
        <v>613</v>
      </c>
      <c r="E147" s="172">
        <f>(1.7+0.5)*2+2*(6*0.019)</f>
        <v>4.6280000000000001</v>
      </c>
      <c r="F147" s="514" t="s">
        <v>185</v>
      </c>
      <c r="G147" s="172"/>
      <c r="H147" s="543"/>
      <c r="I147" s="172"/>
      <c r="J147" s="543"/>
      <c r="K147" s="172">
        <v>6</v>
      </c>
      <c r="L147" s="514" t="s">
        <v>185</v>
      </c>
      <c r="M147" s="189">
        <f>K139</f>
        <v>12</v>
      </c>
      <c r="N147" s="514" t="s">
        <v>185</v>
      </c>
      <c r="O147" s="172">
        <v>7850</v>
      </c>
      <c r="P147" s="514" t="s">
        <v>185</v>
      </c>
      <c r="Q147" s="280">
        <f>22/7*0.0095*0.0095</f>
        <v>2.8364285714285714E-4</v>
      </c>
      <c r="R147" s="514" t="s">
        <v>114</v>
      </c>
      <c r="S147" s="266">
        <f>Q147*O147*M147*K147*E147</f>
        <v>741.93755554285724</v>
      </c>
      <c r="T147" s="53"/>
      <c r="U147" s="50"/>
      <c r="V147" s="51">
        <f>0.8/0.23</f>
        <v>3.4782608695652173</v>
      </c>
    </row>
    <row r="148" spans="2:23" s="32" customFormat="1" x14ac:dyDescent="0.3">
      <c r="C148" s="33"/>
      <c r="D148" s="278" t="s">
        <v>614</v>
      </c>
      <c r="E148" s="172">
        <f>(0.8+0.5)*2+2*(6*0.019)</f>
        <v>2.8280000000000003</v>
      </c>
      <c r="F148" s="514" t="s">
        <v>185</v>
      </c>
      <c r="G148" s="172"/>
      <c r="H148" s="543"/>
      <c r="I148" s="172"/>
      <c r="J148" s="543"/>
      <c r="K148" s="172">
        <v>12</v>
      </c>
      <c r="L148" s="514" t="s">
        <v>185</v>
      </c>
      <c r="M148" s="189">
        <f>M147</f>
        <v>12</v>
      </c>
      <c r="N148" s="514" t="s">
        <v>185</v>
      </c>
      <c r="O148" s="172">
        <v>7850</v>
      </c>
      <c r="P148" s="514" t="s">
        <v>185</v>
      </c>
      <c r="Q148" s="280">
        <f>22/7*0.0095*0.0095</f>
        <v>2.8364285714285714E-4</v>
      </c>
      <c r="R148" s="514" t="s">
        <v>114</v>
      </c>
      <c r="S148" s="266">
        <f>Q148*O148*M148*K148*E148</f>
        <v>906.74131680000028</v>
      </c>
      <c r="T148" s="53"/>
      <c r="U148" s="50"/>
      <c r="V148" s="51">
        <f>1.7/0.23</f>
        <v>7.391304347826086</v>
      </c>
      <c r="W148" s="32">
        <f>1.7/0.15+1</f>
        <v>12.333333333333334</v>
      </c>
    </row>
    <row r="149" spans="2:23" s="32" customFormat="1" x14ac:dyDescent="0.3">
      <c r="C149" s="33"/>
      <c r="D149" s="282"/>
      <c r="E149" s="199"/>
      <c r="F149" s="546"/>
      <c r="G149" s="199"/>
      <c r="H149" s="546"/>
      <c r="I149" s="199"/>
      <c r="J149" s="546"/>
      <c r="K149" s="199"/>
      <c r="L149" s="546"/>
      <c r="M149" s="219"/>
      <c r="N149" s="546"/>
      <c r="O149" s="199"/>
      <c r="P149" s="546"/>
      <c r="Q149" s="283"/>
      <c r="R149" s="546"/>
      <c r="S149" s="272"/>
      <c r="T149" s="53"/>
      <c r="U149" s="50"/>
      <c r="V149" s="51"/>
    </row>
    <row r="150" spans="2:23" s="32" customFormat="1" ht="17.25" thickBot="1" x14ac:dyDescent="0.35">
      <c r="C150" s="33"/>
      <c r="D150" s="3103" t="s">
        <v>164</v>
      </c>
      <c r="E150" s="3104"/>
      <c r="F150" s="3104"/>
      <c r="G150" s="3104"/>
      <c r="H150" s="3104"/>
      <c r="I150" s="3105"/>
      <c r="J150" s="548"/>
      <c r="K150" s="183"/>
      <c r="L150" s="532"/>
      <c r="M150" s="180"/>
      <c r="N150" s="532"/>
      <c r="O150" s="183"/>
      <c r="P150" s="532"/>
      <c r="Q150" s="210"/>
      <c r="R150" s="532"/>
      <c r="S150" s="233">
        <f>SUM(S147:S148)</f>
        <v>1648.6788723428576</v>
      </c>
      <c r="T150" s="53"/>
      <c r="U150" s="50"/>
      <c r="V150" s="51"/>
    </row>
    <row r="151" spans="2:23" s="32" customFormat="1" x14ac:dyDescent="0.3">
      <c r="C151" s="33"/>
      <c r="D151" s="56"/>
      <c r="E151" s="181"/>
      <c r="F151" s="549"/>
      <c r="G151" s="181"/>
      <c r="H151" s="549"/>
      <c r="I151" s="181"/>
      <c r="J151" s="549"/>
      <c r="K151" s="181"/>
      <c r="L151" s="529"/>
      <c r="M151" s="182"/>
      <c r="N151" s="529"/>
      <c r="O151" s="181"/>
      <c r="P151" s="529"/>
      <c r="Q151" s="211"/>
      <c r="R151" s="529"/>
      <c r="S151" s="234"/>
      <c r="T151" s="53"/>
      <c r="U151" s="50"/>
      <c r="V151" s="51"/>
    </row>
    <row r="152" spans="2:23" s="32" customFormat="1" ht="17.25" thickBot="1" x14ac:dyDescent="0.35">
      <c r="C152" s="33" t="str">
        <f>RAB!D46</f>
        <v>Bekisting Pondasi</v>
      </c>
      <c r="D152" s="56"/>
      <c r="E152" s="181"/>
      <c r="F152" s="549"/>
      <c r="G152" s="181"/>
      <c r="H152" s="549"/>
      <c r="I152" s="181"/>
      <c r="J152" s="549"/>
      <c r="K152" s="181"/>
      <c r="L152" s="529"/>
      <c r="M152" s="182"/>
      <c r="N152" s="529"/>
      <c r="O152" s="181"/>
      <c r="P152" s="529"/>
      <c r="Q152" s="211"/>
      <c r="R152" s="529"/>
      <c r="S152" s="234"/>
      <c r="T152" s="54">
        <f>ROUNDDOWN(Q156,2)</f>
        <v>38.880000000000003</v>
      </c>
      <c r="U152" s="50" t="s">
        <v>2</v>
      </c>
      <c r="V152" s="51"/>
    </row>
    <row r="153" spans="2:23" s="32" customFormat="1" x14ac:dyDescent="0.3">
      <c r="C153" s="33"/>
      <c r="D153" s="52" t="s">
        <v>95</v>
      </c>
      <c r="E153" s="155" t="s">
        <v>150</v>
      </c>
      <c r="F153" s="505"/>
      <c r="G153" s="155" t="s">
        <v>151</v>
      </c>
      <c r="H153" s="505"/>
      <c r="I153" s="155" t="s">
        <v>152</v>
      </c>
      <c r="J153" s="505"/>
      <c r="K153" s="155" t="s">
        <v>153</v>
      </c>
      <c r="L153" s="505"/>
      <c r="M153" s="166" t="s">
        <v>32</v>
      </c>
      <c r="N153" s="505"/>
      <c r="O153" s="155" t="s">
        <v>163</v>
      </c>
      <c r="P153" s="505"/>
      <c r="Q153" s="212" t="s">
        <v>151</v>
      </c>
      <c r="R153" s="506"/>
      <c r="S153" s="230" t="s">
        <v>143</v>
      </c>
      <c r="T153" s="53"/>
      <c r="U153" s="50"/>
      <c r="V153" s="51"/>
    </row>
    <row r="154" spans="2:23" s="32" customFormat="1" x14ac:dyDescent="0.3">
      <c r="C154" s="33"/>
      <c r="D154" s="275" t="s">
        <v>235</v>
      </c>
      <c r="E154" s="217">
        <f>2*(E139+G139)</f>
        <v>5.4</v>
      </c>
      <c r="F154" s="507" t="s">
        <v>185</v>
      </c>
      <c r="G154" s="217"/>
      <c r="H154" s="507"/>
      <c r="I154" s="217">
        <f>I139</f>
        <v>0.6</v>
      </c>
      <c r="J154" s="507" t="s">
        <v>185</v>
      </c>
      <c r="K154" s="217"/>
      <c r="L154" s="507"/>
      <c r="M154" s="257">
        <f>K139</f>
        <v>12</v>
      </c>
      <c r="N154" s="507"/>
      <c r="O154" s="217"/>
      <c r="P154" s="507" t="s">
        <v>114</v>
      </c>
      <c r="Q154" s="276">
        <f>M154*I154*E154</f>
        <v>38.879999999999995</v>
      </c>
      <c r="R154" s="507"/>
      <c r="S154" s="271"/>
      <c r="T154" s="53"/>
      <c r="U154" s="50"/>
      <c r="V154" s="51"/>
    </row>
    <row r="155" spans="2:23" s="32" customFormat="1" x14ac:dyDescent="0.3">
      <c r="C155" s="33"/>
      <c r="D155" s="282"/>
      <c r="E155" s="199"/>
      <c r="F155" s="546"/>
      <c r="G155" s="199"/>
      <c r="H155" s="546"/>
      <c r="I155" s="199"/>
      <c r="J155" s="546"/>
      <c r="K155" s="199"/>
      <c r="L155" s="546"/>
      <c r="M155" s="219"/>
      <c r="N155" s="546"/>
      <c r="O155" s="199"/>
      <c r="P155" s="546"/>
      <c r="Q155" s="283"/>
      <c r="R155" s="546"/>
      <c r="S155" s="272"/>
      <c r="T155" s="53"/>
      <c r="U155" s="50"/>
      <c r="V155" s="51"/>
    </row>
    <row r="156" spans="2:23" s="32" customFormat="1" ht="17.25" thickBot="1" x14ac:dyDescent="0.35">
      <c r="C156" s="33"/>
      <c r="D156" s="3103" t="s">
        <v>164</v>
      </c>
      <c r="E156" s="3104"/>
      <c r="F156" s="3104"/>
      <c r="G156" s="3104"/>
      <c r="H156" s="3104"/>
      <c r="I156" s="3105"/>
      <c r="J156" s="548"/>
      <c r="K156" s="183"/>
      <c r="L156" s="532"/>
      <c r="M156" s="180"/>
      <c r="N156" s="532"/>
      <c r="O156" s="183"/>
      <c r="P156" s="532"/>
      <c r="Q156" s="210">
        <f>Q154</f>
        <v>38.879999999999995</v>
      </c>
      <c r="R156" s="532"/>
      <c r="S156" s="233"/>
      <c r="T156" s="53"/>
      <c r="U156" s="50"/>
      <c r="V156" s="51"/>
    </row>
    <row r="157" spans="2:23" x14ac:dyDescent="0.3">
      <c r="B157" s="464"/>
      <c r="C157" s="465"/>
      <c r="D157" s="453"/>
      <c r="E157" s="455"/>
      <c r="F157" s="485"/>
      <c r="G157" s="455"/>
      <c r="H157" s="485"/>
      <c r="I157" s="455"/>
      <c r="J157" s="485"/>
      <c r="K157" s="438"/>
      <c r="L157" s="482"/>
      <c r="M157" s="439"/>
      <c r="N157" s="482"/>
      <c r="O157" s="438"/>
      <c r="P157" s="482"/>
      <c r="Q157" s="440"/>
      <c r="R157" s="482"/>
      <c r="S157" s="454"/>
    </row>
    <row r="158" spans="2:23" s="1" customFormat="1" x14ac:dyDescent="0.3">
      <c r="B158" s="1149">
        <f>RAB!B47</f>
        <v>4</v>
      </c>
      <c r="C158" s="17" t="str">
        <f>RAB!C47</f>
        <v>Sloof 20x40 Cm (S1)</v>
      </c>
      <c r="D158" s="38"/>
      <c r="E158" s="208"/>
      <c r="F158" s="551"/>
      <c r="G158" s="208"/>
      <c r="H158" s="551"/>
      <c r="I158" s="208"/>
      <c r="J158" s="551"/>
      <c r="K158" s="156"/>
      <c r="L158" s="501"/>
      <c r="M158" s="165"/>
      <c r="N158" s="501"/>
      <c r="O158" s="156"/>
      <c r="P158" s="501"/>
      <c r="Q158" s="204"/>
      <c r="R158" s="501"/>
      <c r="S158" s="232"/>
      <c r="T158" s="66"/>
      <c r="U158" s="2"/>
      <c r="V158" s="43"/>
    </row>
    <row r="159" spans="2:23" s="1" customFormat="1" ht="17.25" thickBot="1" x14ac:dyDescent="0.35">
      <c r="B159" s="36"/>
      <c r="C159" s="17" t="str">
        <f>RAB!D48</f>
        <v xml:space="preserve">Beton mutu f'c=26,4 Mpa </v>
      </c>
      <c r="D159" s="38"/>
      <c r="E159" s="208"/>
      <c r="F159" s="551"/>
      <c r="G159" s="208"/>
      <c r="H159" s="551"/>
      <c r="I159" s="208"/>
      <c r="J159" s="551"/>
      <c r="K159" s="156"/>
      <c r="L159" s="501"/>
      <c r="M159" s="165"/>
      <c r="N159" s="501"/>
      <c r="O159" s="156"/>
      <c r="P159" s="501"/>
      <c r="Q159" s="204"/>
      <c r="R159" s="501"/>
      <c r="S159" s="232"/>
      <c r="T159" s="18">
        <f>ROUNDDOWN(S167,2)</f>
        <v>25.57</v>
      </c>
      <c r="U159" s="2" t="s">
        <v>3</v>
      </c>
      <c r="V159" s="43"/>
    </row>
    <row r="160" spans="2:23" s="1" customFormat="1" x14ac:dyDescent="0.3">
      <c r="B160" s="36"/>
      <c r="C160" s="17"/>
      <c r="D160" s="8" t="s">
        <v>95</v>
      </c>
      <c r="E160" s="154" t="s">
        <v>150</v>
      </c>
      <c r="F160" s="493"/>
      <c r="G160" s="154" t="s">
        <v>151</v>
      </c>
      <c r="H160" s="493"/>
      <c r="I160" s="154" t="s">
        <v>152</v>
      </c>
      <c r="J160" s="493"/>
      <c r="K160" s="154" t="s">
        <v>153</v>
      </c>
      <c r="L160" s="494"/>
      <c r="M160" s="163" t="s">
        <v>32</v>
      </c>
      <c r="N160" s="494"/>
      <c r="O160" s="201" t="s">
        <v>163</v>
      </c>
      <c r="P160" s="494"/>
      <c r="Q160" s="202" t="s">
        <v>151</v>
      </c>
      <c r="R160" s="494"/>
      <c r="S160" s="226" t="s">
        <v>143</v>
      </c>
      <c r="T160" s="66"/>
      <c r="U160" s="2"/>
      <c r="V160" s="43"/>
    </row>
    <row r="161" spans="2:25" s="1" customFormat="1" x14ac:dyDescent="0.3">
      <c r="B161" s="36"/>
      <c r="C161" s="17"/>
      <c r="D161" s="296" t="s">
        <v>259</v>
      </c>
      <c r="E161" s="331">
        <f>36-(0.4*9)</f>
        <v>32.4</v>
      </c>
      <c r="F161" s="565" t="s">
        <v>185</v>
      </c>
      <c r="G161" s="331">
        <v>0.2</v>
      </c>
      <c r="H161" s="565" t="s">
        <v>185</v>
      </c>
      <c r="I161" s="331">
        <v>0.4</v>
      </c>
      <c r="J161" s="565"/>
      <c r="K161" s="331">
        <v>4</v>
      </c>
      <c r="L161" s="1150"/>
      <c r="M161" s="331"/>
      <c r="N161" s="1150"/>
      <c r="O161" s="1151"/>
      <c r="P161" s="1150"/>
      <c r="Q161" s="1151"/>
      <c r="R161" s="565" t="s">
        <v>114</v>
      </c>
      <c r="S161" s="577">
        <f>E161*G161*I161*K161</f>
        <v>10.368000000000002</v>
      </c>
      <c r="T161" s="420"/>
      <c r="U161" s="2"/>
      <c r="V161" s="43"/>
    </row>
    <row r="162" spans="2:25" s="1" customFormat="1" x14ac:dyDescent="0.3">
      <c r="C162" s="3"/>
      <c r="D162" s="294" t="s">
        <v>260</v>
      </c>
      <c r="E162" s="1144">
        <f>20-(0.4*5)</f>
        <v>18</v>
      </c>
      <c r="F162" s="518" t="s">
        <v>185</v>
      </c>
      <c r="G162" s="1144">
        <v>0.2</v>
      </c>
      <c r="H162" s="518" t="s">
        <v>185</v>
      </c>
      <c r="I162" s="1144">
        <v>0.4</v>
      </c>
      <c r="J162" s="518"/>
      <c r="K162" s="1144">
        <v>10</v>
      </c>
      <c r="L162" s="1152"/>
      <c r="M162" s="1144"/>
      <c r="N162" s="1152"/>
      <c r="O162" s="1153"/>
      <c r="P162" s="1152"/>
      <c r="Q162" s="1153"/>
      <c r="R162" s="518" t="s">
        <v>114</v>
      </c>
      <c r="S162" s="519">
        <f>E162*G162*I162*K162</f>
        <v>14.400000000000002</v>
      </c>
      <c r="T162" s="99"/>
      <c r="U162" s="2"/>
      <c r="V162" s="43"/>
    </row>
    <row r="163" spans="2:25" s="1" customFormat="1" x14ac:dyDescent="0.3">
      <c r="B163" s="36"/>
      <c r="C163" s="17"/>
      <c r="D163" s="261" t="s">
        <v>244</v>
      </c>
      <c r="E163" s="329"/>
      <c r="F163" s="518"/>
      <c r="G163" s="329"/>
      <c r="H163" s="518"/>
      <c r="I163" s="329"/>
      <c r="J163" s="518"/>
      <c r="K163" s="329"/>
      <c r="L163" s="517"/>
      <c r="M163" s="329"/>
      <c r="N163" s="517"/>
      <c r="O163" s="329"/>
      <c r="P163" s="518"/>
      <c r="Q163" s="329"/>
      <c r="R163" s="518"/>
      <c r="S163" s="553"/>
      <c r="T163" s="66"/>
      <c r="U163" s="2"/>
      <c r="V163" s="43"/>
    </row>
    <row r="164" spans="2:25" s="1" customFormat="1" x14ac:dyDescent="0.3">
      <c r="B164" s="36"/>
      <c r="C164" s="17"/>
      <c r="D164" s="140" t="s">
        <v>733</v>
      </c>
      <c r="E164" s="328"/>
      <c r="F164" s="509"/>
      <c r="G164" s="328"/>
      <c r="H164" s="509"/>
      <c r="I164" s="328"/>
      <c r="J164" s="509"/>
      <c r="K164" s="328">
        <f>S178</f>
        <v>4045.7037531428568</v>
      </c>
      <c r="L164" s="509" t="s">
        <v>253</v>
      </c>
      <c r="M164" s="328"/>
      <c r="N164" s="510"/>
      <c r="O164" s="328">
        <f>O172</f>
        <v>7850</v>
      </c>
      <c r="P164" s="510"/>
      <c r="Q164" s="328"/>
      <c r="R164" s="518" t="s">
        <v>114</v>
      </c>
      <c r="S164" s="511">
        <f>K164/O164</f>
        <v>0.5153762742857142</v>
      </c>
      <c r="T164" s="66"/>
      <c r="U164" s="2"/>
      <c r="V164" s="43"/>
    </row>
    <row r="165" spans="2:25" s="1" customFormat="1" ht="15.75" customHeight="1" x14ac:dyDescent="0.3">
      <c r="B165" s="36"/>
      <c r="C165" s="17"/>
      <c r="D165" s="140" t="s">
        <v>734</v>
      </c>
      <c r="E165" s="328"/>
      <c r="F165" s="509"/>
      <c r="G165" s="328"/>
      <c r="H165" s="509"/>
      <c r="I165" s="328"/>
      <c r="J165" s="509"/>
      <c r="K165" s="328">
        <f>S185</f>
        <v>2300.8080857142859</v>
      </c>
      <c r="L165" s="509" t="s">
        <v>253</v>
      </c>
      <c r="M165" s="328"/>
      <c r="N165" s="510"/>
      <c r="O165" s="328">
        <f>O164</f>
        <v>7850</v>
      </c>
      <c r="P165" s="510"/>
      <c r="Q165" s="328"/>
      <c r="R165" s="518" t="s">
        <v>114</v>
      </c>
      <c r="S165" s="511">
        <f>K165/O165</f>
        <v>0.29309657142857143</v>
      </c>
      <c r="T165" s="66"/>
      <c r="U165" s="2"/>
      <c r="V165" s="43"/>
    </row>
    <row r="166" spans="2:25" s="1" customFormat="1" x14ac:dyDescent="0.3">
      <c r="B166" s="36"/>
      <c r="C166" s="17"/>
      <c r="D166" s="150"/>
      <c r="E166" s="330"/>
      <c r="F166" s="512"/>
      <c r="G166" s="330"/>
      <c r="H166" s="512"/>
      <c r="I166" s="330"/>
      <c r="J166" s="512"/>
      <c r="K166" s="330"/>
      <c r="L166" s="512"/>
      <c r="M166" s="330"/>
      <c r="N166" s="512"/>
      <c r="O166" s="330"/>
      <c r="P166" s="512"/>
      <c r="Q166" s="330"/>
      <c r="R166" s="512"/>
      <c r="S166" s="559"/>
      <c r="T166" s="66"/>
      <c r="U166" s="2"/>
      <c r="V166" s="43"/>
    </row>
    <row r="167" spans="2:25" s="1" customFormat="1" ht="17.25" thickBot="1" x14ac:dyDescent="0.35">
      <c r="B167" s="36"/>
      <c r="C167" s="17"/>
      <c r="D167" s="3093" t="s">
        <v>164</v>
      </c>
      <c r="E167" s="3094"/>
      <c r="F167" s="3094"/>
      <c r="G167" s="3094"/>
      <c r="H167" s="3094"/>
      <c r="I167" s="3095"/>
      <c r="J167" s="524"/>
      <c r="K167" s="178"/>
      <c r="L167" s="500"/>
      <c r="M167" s="175"/>
      <c r="N167" s="500"/>
      <c r="O167" s="178"/>
      <c r="P167" s="500"/>
      <c r="Q167" s="203"/>
      <c r="R167" s="500"/>
      <c r="S167" s="231">
        <f>SUM(S161:S166)</f>
        <v>25.576472845714289</v>
      </c>
      <c r="T167" s="66"/>
      <c r="U167" s="2"/>
      <c r="V167" s="43"/>
    </row>
    <row r="168" spans="2:25" s="1" customFormat="1" x14ac:dyDescent="0.3">
      <c r="B168" s="36"/>
      <c r="C168" s="17"/>
      <c r="D168" s="38"/>
      <c r="E168" s="208"/>
      <c r="F168" s="551"/>
      <c r="G168" s="208"/>
      <c r="H168" s="551"/>
      <c r="I168" s="208"/>
      <c r="J168" s="551"/>
      <c r="K168" s="156"/>
      <c r="L168" s="501"/>
      <c r="M168" s="165"/>
      <c r="N168" s="501"/>
      <c r="O168" s="156"/>
      <c r="P168" s="501"/>
      <c r="Q168" s="204"/>
      <c r="R168" s="501"/>
      <c r="S168" s="232"/>
      <c r="T168" s="66"/>
      <c r="U168" s="2"/>
      <c r="V168" s="1156"/>
      <c r="W168" s="122"/>
      <c r="X168" s="122"/>
      <c r="Y168" s="122"/>
    </row>
    <row r="169" spans="2:25" s="1" customFormat="1" ht="17.25" thickBot="1" x14ac:dyDescent="0.35">
      <c r="B169" s="36"/>
      <c r="C169" s="17" t="str">
        <f>RAB!D49</f>
        <v>Pembesian Ulir</v>
      </c>
      <c r="D169" s="38"/>
      <c r="E169" s="208"/>
      <c r="F169" s="551"/>
      <c r="G169" s="208"/>
      <c r="H169" s="551"/>
      <c r="I169" s="208"/>
      <c r="J169" s="551"/>
      <c r="K169" s="156"/>
      <c r="L169" s="501"/>
      <c r="M169" s="165"/>
      <c r="N169" s="501"/>
      <c r="O169" s="156"/>
      <c r="P169" s="501"/>
      <c r="Q169" s="204"/>
      <c r="R169" s="501"/>
      <c r="S169" s="232"/>
      <c r="T169" s="18">
        <f>ROUNDDOWN(S178,2)</f>
        <v>4045.7</v>
      </c>
      <c r="U169" s="2" t="s">
        <v>0</v>
      </c>
      <c r="V169" s="1156"/>
      <c r="W169" s="129"/>
      <c r="X169" s="122"/>
      <c r="Y169" s="122"/>
    </row>
    <row r="170" spans="2:25" s="1" customFormat="1" x14ac:dyDescent="0.3">
      <c r="B170" s="36"/>
      <c r="C170" s="17"/>
      <c r="D170" s="8" t="s">
        <v>95</v>
      </c>
      <c r="E170" s="154" t="s">
        <v>150</v>
      </c>
      <c r="F170" s="493"/>
      <c r="G170" s="154" t="s">
        <v>151</v>
      </c>
      <c r="H170" s="493"/>
      <c r="I170" s="154" t="s">
        <v>152</v>
      </c>
      <c r="J170" s="493"/>
      <c r="K170" s="154" t="s">
        <v>153</v>
      </c>
      <c r="L170" s="494"/>
      <c r="M170" s="163" t="s">
        <v>32</v>
      </c>
      <c r="N170" s="494"/>
      <c r="O170" s="201" t="s">
        <v>163</v>
      </c>
      <c r="P170" s="494"/>
      <c r="Q170" s="202" t="s">
        <v>151</v>
      </c>
      <c r="R170" s="494"/>
      <c r="S170" s="226" t="s">
        <v>143</v>
      </c>
      <c r="T170" s="66"/>
      <c r="U170" s="2"/>
      <c r="V170" s="1156"/>
      <c r="W170" s="122"/>
      <c r="X170" s="122"/>
      <c r="Y170" s="122"/>
    </row>
    <row r="171" spans="2:25" s="1" customFormat="1" x14ac:dyDescent="0.3">
      <c r="B171" s="36"/>
      <c r="C171" s="17"/>
      <c r="D171" s="277" t="s">
        <v>156</v>
      </c>
      <c r="E171" s="328">
        <v>36</v>
      </c>
      <c r="F171" s="509" t="s">
        <v>185</v>
      </c>
      <c r="G171" s="328"/>
      <c r="H171" s="510"/>
      <c r="I171" s="328"/>
      <c r="J171" s="510"/>
      <c r="K171" s="328">
        <v>6</v>
      </c>
      <c r="L171" s="509" t="s">
        <v>185</v>
      </c>
      <c r="M171" s="328">
        <v>4</v>
      </c>
      <c r="N171" s="509" t="s">
        <v>185</v>
      </c>
      <c r="O171" s="328">
        <v>7850</v>
      </c>
      <c r="P171" s="509" t="s">
        <v>185</v>
      </c>
      <c r="Q171" s="607">
        <f>22/7*0.008*0.008</f>
        <v>2.0114285714285715E-4</v>
      </c>
      <c r="R171" s="509" t="s">
        <v>114</v>
      </c>
      <c r="S171" s="596">
        <f t="shared" ref="S171:S176" si="2">E171*K171*M171*O171*Q171</f>
        <v>1364.2313142857142</v>
      </c>
      <c r="T171" s="66"/>
      <c r="U171" s="2"/>
      <c r="V171" s="1156"/>
      <c r="W171" s="122"/>
      <c r="X171" s="122"/>
      <c r="Y171" s="122"/>
    </row>
    <row r="172" spans="2:25" s="32" customFormat="1" x14ac:dyDescent="0.3">
      <c r="B172" s="113"/>
      <c r="C172" s="114"/>
      <c r="D172" s="278" t="s">
        <v>1320</v>
      </c>
      <c r="E172" s="328">
        <f>V172/2+(40*0.016*18)</f>
        <v>13.52</v>
      </c>
      <c r="F172" s="509" t="s">
        <v>185</v>
      </c>
      <c r="G172" s="328"/>
      <c r="H172" s="510"/>
      <c r="I172" s="328"/>
      <c r="J172" s="510"/>
      <c r="K172" s="328">
        <v>3</v>
      </c>
      <c r="L172" s="509" t="s">
        <v>185</v>
      </c>
      <c r="M172" s="328">
        <f>M171</f>
        <v>4</v>
      </c>
      <c r="N172" s="509" t="s">
        <v>185</v>
      </c>
      <c r="O172" s="328">
        <v>7850</v>
      </c>
      <c r="P172" s="509" t="s">
        <v>185</v>
      </c>
      <c r="Q172" s="607">
        <f>Q171</f>
        <v>2.0114285714285715E-4</v>
      </c>
      <c r="R172" s="509" t="s">
        <v>114</v>
      </c>
      <c r="S172" s="596">
        <f t="shared" si="2"/>
        <v>256.17232457142859</v>
      </c>
      <c r="T172" s="53"/>
      <c r="U172" s="50"/>
      <c r="V172" s="51">
        <v>4</v>
      </c>
    </row>
    <row r="173" spans="2:25" s="32" customFormat="1" x14ac:dyDescent="0.3">
      <c r="B173" s="113"/>
      <c r="C173" s="114"/>
      <c r="D173" s="278" t="s">
        <v>1321</v>
      </c>
      <c r="E173" s="328">
        <f>V173/2</f>
        <v>2</v>
      </c>
      <c r="F173" s="509" t="s">
        <v>185</v>
      </c>
      <c r="G173" s="328"/>
      <c r="H173" s="510"/>
      <c r="I173" s="328"/>
      <c r="J173" s="510"/>
      <c r="K173" s="328">
        <v>3</v>
      </c>
      <c r="L173" s="509" t="s">
        <v>185</v>
      </c>
      <c r="M173" s="328">
        <f>M171</f>
        <v>4</v>
      </c>
      <c r="N173" s="509" t="s">
        <v>185</v>
      </c>
      <c r="O173" s="328">
        <v>7850</v>
      </c>
      <c r="P173" s="509" t="s">
        <v>185</v>
      </c>
      <c r="Q173" s="607">
        <f>Q171</f>
        <v>2.0114285714285715E-4</v>
      </c>
      <c r="R173" s="509" t="s">
        <v>114</v>
      </c>
      <c r="S173" s="596">
        <f t="shared" si="2"/>
        <v>37.895314285714285</v>
      </c>
      <c r="T173" s="53"/>
      <c r="U173" s="50"/>
      <c r="V173" s="51">
        <v>4</v>
      </c>
    </row>
    <row r="174" spans="2:25" s="32" customFormat="1" x14ac:dyDescent="0.3">
      <c r="B174" s="113"/>
      <c r="C174" s="114"/>
      <c r="D174" s="281" t="s">
        <v>157</v>
      </c>
      <c r="E174" s="328">
        <v>20</v>
      </c>
      <c r="F174" s="509" t="s">
        <v>185</v>
      </c>
      <c r="G174" s="328"/>
      <c r="H174" s="510"/>
      <c r="I174" s="328"/>
      <c r="J174" s="510"/>
      <c r="K174" s="328">
        <v>6</v>
      </c>
      <c r="L174" s="509" t="s">
        <v>185</v>
      </c>
      <c r="M174" s="328">
        <v>10</v>
      </c>
      <c r="N174" s="509" t="s">
        <v>185</v>
      </c>
      <c r="O174" s="328">
        <v>7850</v>
      </c>
      <c r="P174" s="509" t="s">
        <v>185</v>
      </c>
      <c r="Q174" s="607">
        <f>Q173</f>
        <v>2.0114285714285715E-4</v>
      </c>
      <c r="R174" s="509" t="s">
        <v>114</v>
      </c>
      <c r="S174" s="596">
        <f t="shared" si="2"/>
        <v>1894.7657142857142</v>
      </c>
      <c r="T174" s="53"/>
      <c r="U174" s="50"/>
      <c r="V174" s="51"/>
    </row>
    <row r="175" spans="2:25" s="1" customFormat="1" x14ac:dyDescent="0.3">
      <c r="B175" s="36"/>
      <c r="C175" s="17"/>
      <c r="D175" s="278" t="s">
        <v>1320</v>
      </c>
      <c r="E175" s="328">
        <f>V175/2+(40*0.016*10)</f>
        <v>8.4</v>
      </c>
      <c r="F175" s="509" t="s">
        <v>185</v>
      </c>
      <c r="G175" s="328"/>
      <c r="H175" s="510"/>
      <c r="I175" s="328"/>
      <c r="J175" s="510"/>
      <c r="K175" s="328">
        <v>3</v>
      </c>
      <c r="L175" s="509" t="s">
        <v>185</v>
      </c>
      <c r="M175" s="328">
        <f>M174</f>
        <v>10</v>
      </c>
      <c r="N175" s="509" t="s">
        <v>185</v>
      </c>
      <c r="O175" s="328">
        <v>7850</v>
      </c>
      <c r="P175" s="509" t="s">
        <v>185</v>
      </c>
      <c r="Q175" s="607">
        <f>Q174</f>
        <v>2.0114285714285715E-4</v>
      </c>
      <c r="R175" s="509" t="s">
        <v>114</v>
      </c>
      <c r="S175" s="596">
        <f t="shared" si="2"/>
        <v>397.90080000000006</v>
      </c>
      <c r="T175" s="53"/>
      <c r="U175" s="50"/>
      <c r="V175" s="51">
        <v>4</v>
      </c>
      <c r="W175" s="130"/>
      <c r="X175" s="122"/>
      <c r="Y175" s="131"/>
    </row>
    <row r="176" spans="2:25" s="32" customFormat="1" x14ac:dyDescent="0.3">
      <c r="B176" s="113"/>
      <c r="C176" s="114"/>
      <c r="D176" s="278" t="s">
        <v>1321</v>
      </c>
      <c r="E176" s="328">
        <f>V176/2</f>
        <v>2</v>
      </c>
      <c r="F176" s="509" t="s">
        <v>185</v>
      </c>
      <c r="G176" s="328"/>
      <c r="H176" s="510"/>
      <c r="I176" s="328"/>
      <c r="J176" s="510"/>
      <c r="K176" s="328">
        <v>3</v>
      </c>
      <c r="L176" s="509" t="s">
        <v>185</v>
      </c>
      <c r="M176" s="328">
        <f>M174</f>
        <v>10</v>
      </c>
      <c r="N176" s="509" t="s">
        <v>185</v>
      </c>
      <c r="O176" s="328">
        <v>7850</v>
      </c>
      <c r="P176" s="509" t="s">
        <v>185</v>
      </c>
      <c r="Q176" s="607">
        <f>Q174</f>
        <v>2.0114285714285715E-4</v>
      </c>
      <c r="R176" s="509" t="s">
        <v>114</v>
      </c>
      <c r="S176" s="596">
        <f t="shared" si="2"/>
        <v>94.738285714285709</v>
      </c>
      <c r="T176" s="53"/>
      <c r="U176" s="50"/>
      <c r="V176" s="51">
        <v>4</v>
      </c>
    </row>
    <row r="177" spans="2:24" s="1" customFormat="1" x14ac:dyDescent="0.3">
      <c r="B177" s="36"/>
      <c r="C177" s="17"/>
      <c r="D177" s="282"/>
      <c r="E177" s="330"/>
      <c r="F177" s="512"/>
      <c r="G177" s="330"/>
      <c r="H177" s="512"/>
      <c r="I177" s="330"/>
      <c r="J177" s="512"/>
      <c r="K177" s="330"/>
      <c r="L177" s="512"/>
      <c r="M177" s="330"/>
      <c r="N177" s="512"/>
      <c r="O177" s="330"/>
      <c r="P177" s="512"/>
      <c r="Q177" s="330"/>
      <c r="R177" s="512"/>
      <c r="S177" s="559"/>
      <c r="T177" s="66"/>
      <c r="U177" s="2"/>
      <c r="V177" s="1156"/>
      <c r="W177" s="122"/>
      <c r="X177" s="122"/>
    </row>
    <row r="178" spans="2:24" s="1" customFormat="1" ht="17.25" thickBot="1" x14ac:dyDescent="0.35">
      <c r="B178" s="36"/>
      <c r="C178" s="17"/>
      <c r="D178" s="415" t="s">
        <v>164</v>
      </c>
      <c r="E178" s="214"/>
      <c r="F178" s="560"/>
      <c r="G178" s="214"/>
      <c r="H178" s="560"/>
      <c r="I178" s="215"/>
      <c r="J178" s="524"/>
      <c r="K178" s="178"/>
      <c r="L178" s="500"/>
      <c r="M178" s="175"/>
      <c r="N178" s="500"/>
      <c r="O178" s="178"/>
      <c r="P178" s="500"/>
      <c r="Q178" s="203"/>
      <c r="R178" s="500"/>
      <c r="S178" s="231">
        <f>SUM(S171:S177)</f>
        <v>4045.7037531428568</v>
      </c>
      <c r="T178" s="66"/>
      <c r="U178" s="2"/>
      <c r="V178" s="1156"/>
      <c r="W178" s="122"/>
      <c r="X178" s="122"/>
    </row>
    <row r="179" spans="2:24" s="1" customFormat="1" x14ac:dyDescent="0.3">
      <c r="B179" s="36"/>
      <c r="C179" s="17"/>
      <c r="D179" s="38"/>
      <c r="E179" s="208"/>
      <c r="F179" s="551"/>
      <c r="G179" s="208"/>
      <c r="H179" s="551"/>
      <c r="I179" s="208"/>
      <c r="J179" s="551"/>
      <c r="K179" s="156"/>
      <c r="L179" s="501"/>
      <c r="M179" s="165"/>
      <c r="N179" s="501"/>
      <c r="O179" s="156"/>
      <c r="P179" s="501"/>
      <c r="Q179" s="204"/>
      <c r="R179" s="501"/>
      <c r="S179" s="232"/>
      <c r="T179" s="66"/>
      <c r="U179" s="2"/>
      <c r="V179" s="1156"/>
      <c r="W179" s="122"/>
      <c r="X179" s="122"/>
    </row>
    <row r="180" spans="2:24" s="1" customFormat="1" ht="17.25" thickBot="1" x14ac:dyDescent="0.35">
      <c r="B180" s="36"/>
      <c r="C180" s="17" t="str">
        <f>RAB!D50</f>
        <v>Pembesian sengkang</v>
      </c>
      <c r="D180" s="38"/>
      <c r="E180" s="208"/>
      <c r="F180" s="551"/>
      <c r="G180" s="208"/>
      <c r="H180" s="551"/>
      <c r="I180" s="208"/>
      <c r="J180" s="551"/>
      <c r="K180" s="156"/>
      <c r="L180" s="501"/>
      <c r="M180" s="165"/>
      <c r="N180" s="501"/>
      <c r="O180" s="156"/>
      <c r="P180" s="501"/>
      <c r="Q180" s="204"/>
      <c r="R180" s="501"/>
      <c r="S180" s="232"/>
      <c r="T180" s="18">
        <f>ROUNDDOWN(S185,2)</f>
        <v>2300.8000000000002</v>
      </c>
      <c r="U180" s="2" t="s">
        <v>0</v>
      </c>
      <c r="V180" s="1156"/>
      <c r="W180" s="122"/>
      <c r="X180" s="122"/>
    </row>
    <row r="181" spans="2:24" s="1" customFormat="1" x14ac:dyDescent="0.3">
      <c r="B181" s="36"/>
      <c r="C181" s="17"/>
      <c r="D181" s="8" t="s">
        <v>95</v>
      </c>
      <c r="E181" s="154" t="s">
        <v>150</v>
      </c>
      <c r="F181" s="493"/>
      <c r="G181" s="154" t="s">
        <v>151</v>
      </c>
      <c r="H181" s="493"/>
      <c r="I181" s="154" t="s">
        <v>152</v>
      </c>
      <c r="J181" s="493"/>
      <c r="K181" s="154" t="s">
        <v>153</v>
      </c>
      <c r="L181" s="494"/>
      <c r="M181" s="163" t="s">
        <v>32</v>
      </c>
      <c r="N181" s="494"/>
      <c r="O181" s="201" t="s">
        <v>163</v>
      </c>
      <c r="P181" s="494"/>
      <c r="Q181" s="202" t="s">
        <v>151</v>
      </c>
      <c r="R181" s="494"/>
      <c r="S181" s="226" t="s">
        <v>143</v>
      </c>
      <c r="T181" s="66"/>
      <c r="U181" s="2"/>
      <c r="V181" s="1156"/>
      <c r="W181" s="122"/>
      <c r="X181" s="122"/>
    </row>
    <row r="182" spans="2:24" s="1" customFormat="1" x14ac:dyDescent="0.3">
      <c r="B182" s="36"/>
      <c r="C182" s="17"/>
      <c r="D182" s="275" t="s">
        <v>709</v>
      </c>
      <c r="E182" s="578">
        <f>(0.34+0.14)*2+ (2*6*0.01)</f>
        <v>1.08</v>
      </c>
      <c r="F182" s="565" t="s">
        <v>185</v>
      </c>
      <c r="G182" s="331"/>
      <c r="H182" s="575"/>
      <c r="I182" s="331"/>
      <c r="J182" s="575"/>
      <c r="K182" s="331">
        <f>V182</f>
        <v>361</v>
      </c>
      <c r="L182" s="565" t="s">
        <v>185</v>
      </c>
      <c r="M182" s="331">
        <f>M171</f>
        <v>4</v>
      </c>
      <c r="N182" s="565" t="s">
        <v>185</v>
      </c>
      <c r="O182" s="331">
        <v>7850</v>
      </c>
      <c r="P182" s="565" t="s">
        <v>185</v>
      </c>
      <c r="Q182" s="606">
        <f>22/7*0.005*0.005</f>
        <v>7.857142857142858E-5</v>
      </c>
      <c r="R182" s="1069" t="s">
        <v>114</v>
      </c>
      <c r="S182" s="577">
        <f>E182*K182*M182*O182*Q182</f>
        <v>961.88965714285735</v>
      </c>
      <c r="T182" s="66"/>
      <c r="U182" s="2"/>
      <c r="V182" s="1156">
        <f>(E171/0.1)+1</f>
        <v>361</v>
      </c>
      <c r="W182" s="131"/>
      <c r="X182" s="132"/>
    </row>
    <row r="183" spans="2:24" s="1" customFormat="1" x14ac:dyDescent="0.3">
      <c r="B183" s="36"/>
      <c r="C183" s="17"/>
      <c r="D183" s="278" t="s">
        <v>710</v>
      </c>
      <c r="E183" s="328">
        <f>E182</f>
        <v>1.08</v>
      </c>
      <c r="F183" s="518" t="s">
        <v>185</v>
      </c>
      <c r="G183" s="1044"/>
      <c r="H183" s="517"/>
      <c r="I183" s="1044"/>
      <c r="J183" s="517"/>
      <c r="K183" s="1044">
        <f>V183</f>
        <v>201</v>
      </c>
      <c r="L183" s="518" t="s">
        <v>185</v>
      </c>
      <c r="M183" s="1044">
        <f>M174</f>
        <v>10</v>
      </c>
      <c r="N183" s="518" t="s">
        <v>185</v>
      </c>
      <c r="O183" s="1044">
        <f>O182</f>
        <v>7850</v>
      </c>
      <c r="P183" s="518" t="s">
        <v>185</v>
      </c>
      <c r="Q183" s="608">
        <f>Q182</f>
        <v>7.857142857142858E-5</v>
      </c>
      <c r="R183" s="1070" t="s">
        <v>114</v>
      </c>
      <c r="S183" s="519">
        <f>E183*K183*M183*O183*Q183</f>
        <v>1338.9184285714286</v>
      </c>
      <c r="T183" s="66"/>
      <c r="U183" s="2"/>
      <c r="V183" s="1156">
        <f>(E174/0.1)+1</f>
        <v>201</v>
      </c>
      <c r="W183" s="131"/>
      <c r="X183" s="122"/>
    </row>
    <row r="184" spans="2:24" s="1" customFormat="1" x14ac:dyDescent="0.3">
      <c r="B184" s="36"/>
      <c r="C184" s="17"/>
      <c r="D184" s="282"/>
      <c r="E184" s="199"/>
      <c r="F184" s="561"/>
      <c r="G184" s="160"/>
      <c r="H184" s="523"/>
      <c r="I184" s="160"/>
      <c r="J184" s="523"/>
      <c r="K184" s="160"/>
      <c r="L184" s="561"/>
      <c r="M184" s="195"/>
      <c r="N184" s="561"/>
      <c r="O184" s="160"/>
      <c r="P184" s="561"/>
      <c r="Q184" s="220"/>
      <c r="R184" s="561"/>
      <c r="S184" s="295"/>
      <c r="T184" s="66"/>
      <c r="U184" s="2"/>
      <c r="V184" s="43"/>
    </row>
    <row r="185" spans="2:24" s="1" customFormat="1" ht="17.25" thickBot="1" x14ac:dyDescent="0.35">
      <c r="B185" s="36"/>
      <c r="C185" s="17"/>
      <c r="D185" s="3093" t="s">
        <v>164</v>
      </c>
      <c r="E185" s="3094"/>
      <c r="F185" s="3094"/>
      <c r="G185" s="3094"/>
      <c r="H185" s="3094"/>
      <c r="I185" s="3095"/>
      <c r="J185" s="524"/>
      <c r="K185" s="178"/>
      <c r="L185" s="500"/>
      <c r="M185" s="175"/>
      <c r="N185" s="500"/>
      <c r="O185" s="178"/>
      <c r="P185" s="500"/>
      <c r="Q185" s="203"/>
      <c r="R185" s="500"/>
      <c r="S185" s="231">
        <f>SUM(S182:S184)</f>
        <v>2300.8080857142859</v>
      </c>
      <c r="T185" s="66"/>
      <c r="U185" s="2"/>
      <c r="V185" s="43"/>
    </row>
    <row r="186" spans="2:24" x14ac:dyDescent="0.3">
      <c r="B186" s="464"/>
      <c r="C186" s="465"/>
      <c r="D186" s="453"/>
      <c r="E186" s="455"/>
      <c r="F186" s="485"/>
      <c r="G186" s="455"/>
      <c r="H186" s="485"/>
      <c r="I186" s="455"/>
      <c r="J186" s="485"/>
      <c r="K186" s="438"/>
      <c r="L186" s="482"/>
      <c r="M186" s="439"/>
      <c r="N186" s="482"/>
      <c r="O186" s="438"/>
      <c r="P186" s="482"/>
      <c r="Q186" s="440"/>
      <c r="R186" s="482"/>
      <c r="S186" s="454"/>
    </row>
    <row r="187" spans="2:24" s="1" customFormat="1" ht="17.25" thickBot="1" x14ac:dyDescent="0.35">
      <c r="B187" s="36"/>
      <c r="C187" s="17" t="str">
        <f>RAB!D51</f>
        <v>Bekisting Sloof</v>
      </c>
      <c r="D187" s="38"/>
      <c r="E187" s="208"/>
      <c r="F187" s="551"/>
      <c r="G187" s="208"/>
      <c r="H187" s="551"/>
      <c r="I187" s="208"/>
      <c r="J187" s="551"/>
      <c r="K187" s="156"/>
      <c r="L187" s="501"/>
      <c r="M187" s="165"/>
      <c r="N187" s="501"/>
      <c r="O187" s="156"/>
      <c r="P187" s="501"/>
      <c r="Q187" s="204"/>
      <c r="R187" s="501"/>
      <c r="S187" s="232"/>
      <c r="T187" s="18">
        <f>ROUNDDOWN(Q192,2)</f>
        <v>80.64</v>
      </c>
      <c r="U187" s="2" t="s">
        <v>2</v>
      </c>
      <c r="V187" s="43"/>
    </row>
    <row r="188" spans="2:24" s="1" customFormat="1" x14ac:dyDescent="0.3">
      <c r="B188" s="36"/>
      <c r="C188" s="17"/>
      <c r="D188" s="8" t="s">
        <v>95</v>
      </c>
      <c r="E188" s="154" t="s">
        <v>150</v>
      </c>
      <c r="F188" s="493"/>
      <c r="G188" s="154" t="s">
        <v>151</v>
      </c>
      <c r="H188" s="493"/>
      <c r="I188" s="154" t="s">
        <v>152</v>
      </c>
      <c r="J188" s="493"/>
      <c r="K188" s="154" t="s">
        <v>153</v>
      </c>
      <c r="L188" s="494"/>
      <c r="M188" s="163" t="s">
        <v>32</v>
      </c>
      <c r="N188" s="494"/>
      <c r="O188" s="201" t="s">
        <v>163</v>
      </c>
      <c r="P188" s="494"/>
      <c r="Q188" s="202" t="s">
        <v>151</v>
      </c>
      <c r="R188" s="494"/>
      <c r="S188" s="226" t="s">
        <v>143</v>
      </c>
      <c r="T188" s="99"/>
      <c r="U188" s="2"/>
      <c r="V188" s="43"/>
    </row>
    <row r="189" spans="2:24" s="1" customFormat="1" x14ac:dyDescent="0.3">
      <c r="B189" s="36"/>
      <c r="C189" s="17"/>
      <c r="D189" s="149" t="s">
        <v>156</v>
      </c>
      <c r="E189" s="331">
        <f>E161</f>
        <v>32.4</v>
      </c>
      <c r="F189" s="565" t="s">
        <v>185</v>
      </c>
      <c r="G189" s="331"/>
      <c r="H189" s="575"/>
      <c r="I189" s="331">
        <f>I161</f>
        <v>0.4</v>
      </c>
      <c r="J189" s="565" t="s">
        <v>185</v>
      </c>
      <c r="K189" s="331">
        <v>2</v>
      </c>
      <c r="L189" s="565" t="s">
        <v>185</v>
      </c>
      <c r="M189" s="331">
        <v>2</v>
      </c>
      <c r="N189" s="565"/>
      <c r="O189" s="331"/>
      <c r="P189" s="565" t="s">
        <v>114</v>
      </c>
      <c r="Q189" s="331">
        <f>E189*I189*K189*M189</f>
        <v>51.84</v>
      </c>
      <c r="R189" s="575"/>
      <c r="S189" s="1068"/>
      <c r="T189" s="99"/>
      <c r="U189" s="2"/>
      <c r="V189" s="43"/>
    </row>
    <row r="190" spans="2:24" s="1" customFormat="1" x14ac:dyDescent="0.3">
      <c r="B190" s="36"/>
      <c r="C190" s="17"/>
      <c r="D190" s="288" t="s">
        <v>157</v>
      </c>
      <c r="E190" s="1144">
        <f>E162</f>
        <v>18</v>
      </c>
      <c r="F190" s="518" t="s">
        <v>185</v>
      </c>
      <c r="G190" s="1144"/>
      <c r="H190" s="517"/>
      <c r="I190" s="1144">
        <f>I162</f>
        <v>0.4</v>
      </c>
      <c r="J190" s="518" t="s">
        <v>185</v>
      </c>
      <c r="K190" s="1144">
        <v>2</v>
      </c>
      <c r="L190" s="518" t="s">
        <v>185</v>
      </c>
      <c r="M190" s="1144">
        <v>2</v>
      </c>
      <c r="N190" s="518"/>
      <c r="O190" s="1144"/>
      <c r="P190" s="518" t="s">
        <v>114</v>
      </c>
      <c r="Q190" s="1144">
        <f>E190*I190*K190*M190</f>
        <v>28.8</v>
      </c>
      <c r="R190" s="517"/>
      <c r="S190" s="519"/>
      <c r="T190" s="99"/>
      <c r="U190" s="2"/>
      <c r="V190" s="43"/>
    </row>
    <row r="191" spans="2:24" s="1" customFormat="1" ht="17.25" thickBot="1" x14ac:dyDescent="0.35">
      <c r="B191" s="36"/>
      <c r="C191" s="17"/>
      <c r="D191" s="289"/>
      <c r="E191" s="1071"/>
      <c r="F191" s="1072"/>
      <c r="G191" s="1071"/>
      <c r="H191" s="1072"/>
      <c r="I191" s="1071"/>
      <c r="J191" s="1072"/>
      <c r="K191" s="1071"/>
      <c r="L191" s="1072"/>
      <c r="M191" s="1071"/>
      <c r="N191" s="1072"/>
      <c r="O191" s="1071"/>
      <c r="P191" s="1072"/>
      <c r="Q191" s="1071"/>
      <c r="R191" s="1072"/>
      <c r="S191" s="1073"/>
      <c r="T191" s="99"/>
      <c r="U191" s="2"/>
      <c r="V191" s="43"/>
    </row>
    <row r="192" spans="2:24" s="1" customFormat="1" ht="17.25" thickBot="1" x14ac:dyDescent="0.35">
      <c r="B192" s="36"/>
      <c r="C192" s="17"/>
      <c r="D192" s="3106" t="s">
        <v>164</v>
      </c>
      <c r="E192" s="3107"/>
      <c r="F192" s="3107"/>
      <c r="G192" s="3107"/>
      <c r="H192" s="3107"/>
      <c r="I192" s="3108"/>
      <c r="J192" s="562"/>
      <c r="K192" s="185"/>
      <c r="L192" s="563"/>
      <c r="M192" s="186"/>
      <c r="N192" s="563"/>
      <c r="O192" s="185"/>
      <c r="P192" s="563"/>
      <c r="Q192" s="564">
        <f>SUM(Q189:Q191)</f>
        <v>80.64</v>
      </c>
      <c r="R192" s="563"/>
      <c r="S192" s="238"/>
      <c r="T192" s="66"/>
      <c r="U192" s="2"/>
      <c r="V192" s="43"/>
    </row>
    <row r="193" spans="2:22" x14ac:dyDescent="0.3">
      <c r="B193" s="464"/>
      <c r="C193" s="465"/>
      <c r="D193" s="453"/>
      <c r="E193" s="455"/>
      <c r="F193" s="485"/>
      <c r="G193" s="455"/>
      <c r="H193" s="485"/>
      <c r="I193" s="455"/>
      <c r="J193" s="485"/>
      <c r="K193" s="438"/>
      <c r="L193" s="482"/>
      <c r="M193" s="439"/>
      <c r="N193" s="482"/>
      <c r="O193" s="438"/>
      <c r="P193" s="482"/>
      <c r="Q193" s="440"/>
      <c r="R193" s="482"/>
      <c r="S193" s="454"/>
    </row>
    <row r="194" spans="2:22" s="1" customFormat="1" x14ac:dyDescent="0.3">
      <c r="B194" s="1149">
        <f>RAB!B52</f>
        <v>5</v>
      </c>
      <c r="C194" s="17" t="str">
        <f>RAB!C52</f>
        <v>Kolom 40x40 Cm (K1)</v>
      </c>
      <c r="D194" s="38"/>
      <c r="E194" s="208"/>
      <c r="F194" s="551"/>
      <c r="G194" s="208"/>
      <c r="H194" s="551"/>
      <c r="I194" s="208"/>
      <c r="J194" s="551"/>
      <c r="K194" s="156"/>
      <c r="L194" s="501"/>
      <c r="M194" s="165"/>
      <c r="N194" s="501"/>
      <c r="O194" s="156"/>
      <c r="P194" s="501"/>
      <c r="Q194" s="204"/>
      <c r="R194" s="501"/>
      <c r="S194" s="232"/>
      <c r="T194" s="66"/>
      <c r="U194" s="2"/>
      <c r="V194" s="43"/>
    </row>
    <row r="195" spans="2:22" s="1" customFormat="1" ht="17.25" thickBot="1" x14ac:dyDescent="0.35">
      <c r="B195" s="36"/>
      <c r="C195" s="17" t="str">
        <f>RAB!D53</f>
        <v xml:space="preserve">Beton mutu f'c=26,4 Mpa </v>
      </c>
      <c r="D195" s="38"/>
      <c r="E195" s="208"/>
      <c r="F195" s="551"/>
      <c r="G195" s="208"/>
      <c r="H195" s="551"/>
      <c r="I195" s="208"/>
      <c r="J195" s="551"/>
      <c r="K195" s="156"/>
      <c r="L195" s="501"/>
      <c r="M195" s="165"/>
      <c r="N195" s="501"/>
      <c r="O195" s="156"/>
      <c r="P195" s="501"/>
      <c r="Q195" s="204"/>
      <c r="R195" s="501"/>
      <c r="S195" s="232"/>
      <c r="T195" s="18">
        <f>ROUNDDOWN(S202,2)</f>
        <v>46.37</v>
      </c>
      <c r="U195" s="2" t="s">
        <v>3</v>
      </c>
      <c r="V195" s="43"/>
    </row>
    <row r="196" spans="2:22" s="1" customFormat="1" x14ac:dyDescent="0.3">
      <c r="B196" s="36"/>
      <c r="C196" s="17"/>
      <c r="D196" s="8" t="s">
        <v>95</v>
      </c>
      <c r="E196" s="154" t="s">
        <v>150</v>
      </c>
      <c r="F196" s="493"/>
      <c r="G196" s="154" t="s">
        <v>151</v>
      </c>
      <c r="H196" s="493"/>
      <c r="I196" s="154" t="s">
        <v>152</v>
      </c>
      <c r="J196" s="493"/>
      <c r="K196" s="154" t="s">
        <v>153</v>
      </c>
      <c r="L196" s="494"/>
      <c r="M196" s="163" t="s">
        <v>32</v>
      </c>
      <c r="N196" s="494"/>
      <c r="O196" s="201" t="s">
        <v>163</v>
      </c>
      <c r="P196" s="494"/>
      <c r="Q196" s="202" t="s">
        <v>151</v>
      </c>
      <c r="R196" s="494"/>
      <c r="S196" s="226" t="s">
        <v>143</v>
      </c>
      <c r="T196" s="66"/>
      <c r="U196" s="2"/>
      <c r="V196" s="43"/>
    </row>
    <row r="197" spans="2:22" s="1" customFormat="1" x14ac:dyDescent="0.3">
      <c r="B197" s="36"/>
      <c r="C197" s="17"/>
      <c r="D197" s="149" t="str">
        <f>C194</f>
        <v>Kolom 40x40 Cm (K1)</v>
      </c>
      <c r="E197" s="331">
        <v>0.4</v>
      </c>
      <c r="F197" s="565" t="s">
        <v>185</v>
      </c>
      <c r="G197" s="331">
        <v>0.4</v>
      </c>
      <c r="H197" s="565" t="s">
        <v>185</v>
      </c>
      <c r="I197" s="331">
        <f>4.5-0.12</f>
        <v>4.38</v>
      </c>
      <c r="J197" s="565" t="s">
        <v>185</v>
      </c>
      <c r="K197" s="331">
        <f>17*4</f>
        <v>68</v>
      </c>
      <c r="L197" s="575"/>
      <c r="M197" s="331"/>
      <c r="N197" s="575"/>
      <c r="O197" s="331"/>
      <c r="P197" s="575"/>
      <c r="Q197" s="331"/>
      <c r="R197" s="576" t="s">
        <v>114</v>
      </c>
      <c r="S197" s="577">
        <f>K197*I197*G197*E197</f>
        <v>47.654400000000003</v>
      </c>
      <c r="T197" s="66"/>
      <c r="U197" s="2"/>
      <c r="V197" s="43"/>
    </row>
    <row r="198" spans="2:22" s="1" customFormat="1" x14ac:dyDescent="0.3">
      <c r="B198" s="36"/>
      <c r="C198" s="17"/>
      <c r="D198" s="261" t="s">
        <v>256</v>
      </c>
      <c r="E198" s="329"/>
      <c r="F198" s="518"/>
      <c r="G198" s="329"/>
      <c r="H198" s="518"/>
      <c r="I198" s="329"/>
      <c r="J198" s="518"/>
      <c r="K198" s="329"/>
      <c r="L198" s="517"/>
      <c r="M198" s="329"/>
      <c r="N198" s="517"/>
      <c r="O198" s="329"/>
      <c r="P198" s="517"/>
      <c r="Q198" s="329"/>
      <c r="R198" s="518"/>
      <c r="S198" s="519"/>
      <c r="T198" s="66"/>
      <c r="U198" s="2"/>
      <c r="V198" s="43"/>
    </row>
    <row r="199" spans="2:22" s="1" customFormat="1" x14ac:dyDescent="0.3">
      <c r="B199" s="36"/>
      <c r="C199" s="17"/>
      <c r="D199" s="140" t="s">
        <v>733</v>
      </c>
      <c r="E199" s="329"/>
      <c r="F199" s="518"/>
      <c r="G199" s="329"/>
      <c r="H199" s="518"/>
      <c r="I199" s="329"/>
      <c r="J199" s="518"/>
      <c r="K199" s="329">
        <f>S208</f>
        <v>7331.2275017142856</v>
      </c>
      <c r="L199" s="509" t="s">
        <v>253</v>
      </c>
      <c r="M199" s="328"/>
      <c r="N199" s="510"/>
      <c r="O199" s="328">
        <f>O206</f>
        <v>7850</v>
      </c>
      <c r="P199" s="510"/>
      <c r="Q199" s="328"/>
      <c r="R199" s="518" t="s">
        <v>149</v>
      </c>
      <c r="S199" s="511">
        <f>K199/O199</f>
        <v>0.93391433142857139</v>
      </c>
      <c r="T199" s="66"/>
      <c r="U199" s="2"/>
      <c r="V199" s="43"/>
    </row>
    <row r="200" spans="2:22" s="1" customFormat="1" x14ac:dyDescent="0.3">
      <c r="B200" s="36"/>
      <c r="C200" s="17"/>
      <c r="D200" s="140" t="s">
        <v>734</v>
      </c>
      <c r="E200" s="329"/>
      <c r="F200" s="518"/>
      <c r="G200" s="329"/>
      <c r="H200" s="518"/>
      <c r="I200" s="329"/>
      <c r="J200" s="518"/>
      <c r="K200" s="329">
        <f>S215</f>
        <v>2680.0572857142861</v>
      </c>
      <c r="L200" s="509" t="s">
        <v>253</v>
      </c>
      <c r="M200" s="328"/>
      <c r="N200" s="510"/>
      <c r="O200" s="328">
        <f>O199</f>
        <v>7850</v>
      </c>
      <c r="P200" s="510"/>
      <c r="Q200" s="328"/>
      <c r="R200" s="518" t="s">
        <v>149</v>
      </c>
      <c r="S200" s="511">
        <f>K200/O200</f>
        <v>0.34140857142857145</v>
      </c>
      <c r="T200" s="66"/>
      <c r="U200" s="2"/>
      <c r="V200" s="43"/>
    </row>
    <row r="201" spans="2:22" s="1" customFormat="1" x14ac:dyDescent="0.3">
      <c r="B201" s="36"/>
      <c r="C201" s="17"/>
      <c r="D201" s="150"/>
      <c r="E201" s="160"/>
      <c r="F201" s="523"/>
      <c r="G201" s="160"/>
      <c r="H201" s="523"/>
      <c r="I201" s="160"/>
      <c r="J201" s="523"/>
      <c r="K201" s="160"/>
      <c r="L201" s="523"/>
      <c r="M201" s="195"/>
      <c r="N201" s="523"/>
      <c r="O201" s="160"/>
      <c r="P201" s="523"/>
      <c r="Q201" s="220"/>
      <c r="R201" s="523"/>
      <c r="S201" s="251"/>
      <c r="T201" s="66"/>
      <c r="U201" s="2"/>
      <c r="V201" s="43"/>
    </row>
    <row r="202" spans="2:22" s="1" customFormat="1" ht="17.25" thickBot="1" x14ac:dyDescent="0.35">
      <c r="B202" s="36"/>
      <c r="C202" s="17"/>
      <c r="D202" s="3093" t="s">
        <v>164</v>
      </c>
      <c r="E202" s="3094"/>
      <c r="F202" s="3094"/>
      <c r="G202" s="3094"/>
      <c r="H202" s="3094"/>
      <c r="I202" s="3095"/>
      <c r="J202" s="524"/>
      <c r="K202" s="178"/>
      <c r="L202" s="500"/>
      <c r="M202" s="175"/>
      <c r="N202" s="500"/>
      <c r="O202" s="178"/>
      <c r="P202" s="500"/>
      <c r="Q202" s="203"/>
      <c r="R202" s="500"/>
      <c r="S202" s="231">
        <f>SUM(S197:S197)-SUM(S199:S200)</f>
        <v>46.379077097142861</v>
      </c>
      <c r="T202" s="66"/>
      <c r="U202" s="2"/>
      <c r="V202" s="43"/>
    </row>
    <row r="203" spans="2:22" x14ac:dyDescent="0.3">
      <c r="B203" s="464"/>
      <c r="C203" s="465"/>
      <c r="D203" s="453"/>
      <c r="E203" s="455"/>
      <c r="F203" s="485"/>
      <c r="G203" s="455"/>
      <c r="H203" s="485"/>
      <c r="I203" s="455"/>
      <c r="J203" s="485"/>
      <c r="K203" s="438"/>
      <c r="L203" s="482"/>
      <c r="M203" s="439"/>
      <c r="N203" s="482"/>
      <c r="O203" s="438"/>
      <c r="P203" s="482"/>
      <c r="Q203" s="440"/>
      <c r="R203" s="482"/>
      <c r="S203" s="454"/>
    </row>
    <row r="204" spans="2:22" s="1" customFormat="1" ht="17.25" thickBot="1" x14ac:dyDescent="0.35">
      <c r="B204" s="36"/>
      <c r="C204" s="17" t="str">
        <f>RAB!D54</f>
        <v>Pembesian Ulir</v>
      </c>
      <c r="D204" s="38"/>
      <c r="E204" s="208"/>
      <c r="F204" s="551"/>
      <c r="G204" s="208"/>
      <c r="H204" s="551"/>
      <c r="I204" s="208"/>
      <c r="J204" s="551"/>
      <c r="K204" s="156"/>
      <c r="L204" s="501"/>
      <c r="M204" s="165"/>
      <c r="N204" s="501"/>
      <c r="O204" s="156"/>
      <c r="P204" s="501"/>
      <c r="Q204" s="204"/>
      <c r="R204" s="501"/>
      <c r="S204" s="232"/>
      <c r="T204" s="18">
        <f>ROUNDDOWN(S208,2)</f>
        <v>7331.22</v>
      </c>
      <c r="U204" s="2" t="s">
        <v>0</v>
      </c>
      <c r="V204" s="43"/>
    </row>
    <row r="205" spans="2:22" s="1" customFormat="1" x14ac:dyDescent="0.3">
      <c r="B205" s="36"/>
      <c r="C205" s="17"/>
      <c r="D205" s="8" t="s">
        <v>95</v>
      </c>
      <c r="E205" s="154" t="s">
        <v>150</v>
      </c>
      <c r="F205" s="493"/>
      <c r="G205" s="154" t="s">
        <v>151</v>
      </c>
      <c r="H205" s="493"/>
      <c r="I205" s="154" t="s">
        <v>152</v>
      </c>
      <c r="J205" s="493"/>
      <c r="K205" s="154" t="s">
        <v>153</v>
      </c>
      <c r="L205" s="494"/>
      <c r="M205" s="163" t="s">
        <v>32</v>
      </c>
      <c r="N205" s="494"/>
      <c r="O205" s="201" t="s">
        <v>163</v>
      </c>
      <c r="P205" s="494"/>
      <c r="Q205" s="202" t="s">
        <v>151</v>
      </c>
      <c r="R205" s="494"/>
      <c r="S205" s="226" t="s">
        <v>143</v>
      </c>
      <c r="T205" s="66"/>
      <c r="U205" s="2"/>
      <c r="V205" s="43"/>
    </row>
    <row r="206" spans="2:22" s="1" customFormat="1" x14ac:dyDescent="0.3">
      <c r="B206" s="36"/>
      <c r="C206" s="17"/>
      <c r="D206" s="149" t="s">
        <v>1322</v>
      </c>
      <c r="E206" s="152">
        <f>4+0.5+0.55+(40*0.016)</f>
        <v>5.6899999999999995</v>
      </c>
      <c r="F206" s="516" t="s">
        <v>185</v>
      </c>
      <c r="G206" s="152"/>
      <c r="H206" s="496"/>
      <c r="I206" s="152"/>
      <c r="J206" s="496"/>
      <c r="K206" s="152">
        <v>12</v>
      </c>
      <c r="L206" s="516" t="s">
        <v>185</v>
      </c>
      <c r="M206" s="173">
        <f>K197</f>
        <v>68</v>
      </c>
      <c r="N206" s="516" t="s">
        <v>185</v>
      </c>
      <c r="O206" s="152">
        <v>7850</v>
      </c>
      <c r="P206" s="516" t="s">
        <v>185</v>
      </c>
      <c r="Q206" s="262">
        <f>22/7*0.008*0.008</f>
        <v>2.0114285714285715E-4</v>
      </c>
      <c r="R206" s="516" t="s">
        <v>114</v>
      </c>
      <c r="S206" s="248">
        <f>E206*K206*M206*O206*Q206</f>
        <v>7331.2275017142856</v>
      </c>
      <c r="T206" s="66"/>
      <c r="U206" s="2"/>
      <c r="V206" s="43"/>
    </row>
    <row r="207" spans="2:22" s="1" customFormat="1" x14ac:dyDescent="0.3">
      <c r="B207" s="36"/>
      <c r="C207" s="17"/>
      <c r="D207" s="150"/>
      <c r="E207" s="160"/>
      <c r="F207" s="523"/>
      <c r="G207" s="160"/>
      <c r="H207" s="523"/>
      <c r="I207" s="160"/>
      <c r="J207" s="523"/>
      <c r="K207" s="160"/>
      <c r="L207" s="523"/>
      <c r="M207" s="195"/>
      <c r="N207" s="523"/>
      <c r="O207" s="160"/>
      <c r="P207" s="523"/>
      <c r="Q207" s="263"/>
      <c r="R207" s="523"/>
      <c r="S207" s="251"/>
      <c r="T207" s="66"/>
      <c r="U207" s="2"/>
      <c r="V207" s="43"/>
    </row>
    <row r="208" spans="2:22" s="1" customFormat="1" ht="17.25" thickBot="1" x14ac:dyDescent="0.35">
      <c r="B208" s="36"/>
      <c r="C208" s="17"/>
      <c r="D208" s="3093" t="s">
        <v>164</v>
      </c>
      <c r="E208" s="3093"/>
      <c r="F208" s="3093"/>
      <c r="G208" s="3093"/>
      <c r="H208" s="3093"/>
      <c r="I208" s="3093"/>
      <c r="J208" s="524"/>
      <c r="K208" s="178"/>
      <c r="L208" s="500"/>
      <c r="M208" s="175"/>
      <c r="N208" s="500"/>
      <c r="O208" s="178"/>
      <c r="P208" s="500"/>
      <c r="Q208" s="264"/>
      <c r="R208" s="500"/>
      <c r="S208" s="231">
        <f>SUM(S206:S206)</f>
        <v>7331.2275017142856</v>
      </c>
      <c r="T208" s="66"/>
      <c r="U208" s="2"/>
      <c r="V208" s="43"/>
    </row>
    <row r="209" spans="2:24" x14ac:dyDescent="0.3">
      <c r="B209" s="464"/>
      <c r="C209" s="465"/>
      <c r="D209" s="453"/>
      <c r="E209" s="455"/>
      <c r="F209" s="485"/>
      <c r="G209" s="455"/>
      <c r="H209" s="485"/>
      <c r="I209" s="455"/>
      <c r="J209" s="485"/>
      <c r="K209" s="438"/>
      <c r="L209" s="482"/>
      <c r="M209" s="439"/>
      <c r="N209" s="482"/>
      <c r="O209" s="438"/>
      <c r="P209" s="482"/>
      <c r="Q209" s="469"/>
      <c r="R209" s="482"/>
      <c r="S209" s="454"/>
    </row>
    <row r="210" spans="2:24" s="1" customFormat="1" ht="17.25" thickBot="1" x14ac:dyDescent="0.35">
      <c r="B210" s="1149"/>
      <c r="C210" s="17" t="str">
        <f>RAB!D55</f>
        <v>Pembesian sengkang</v>
      </c>
      <c r="D210" s="38"/>
      <c r="E210" s="208"/>
      <c r="F210" s="551"/>
      <c r="G210" s="208"/>
      <c r="H210" s="551"/>
      <c r="I210" s="208"/>
      <c r="J210" s="551"/>
      <c r="K210" s="156"/>
      <c r="L210" s="501"/>
      <c r="M210" s="165"/>
      <c r="N210" s="501"/>
      <c r="O210" s="156"/>
      <c r="P210" s="501"/>
      <c r="Q210" s="286"/>
      <c r="R210" s="501"/>
      <c r="S210" s="232"/>
      <c r="T210" s="18">
        <f>ROUNDDOWN(S215,2)</f>
        <v>2680.05</v>
      </c>
      <c r="U210" s="2" t="s">
        <v>0</v>
      </c>
      <c r="V210" s="43"/>
    </row>
    <row r="211" spans="2:24" s="1" customFormat="1" x14ac:dyDescent="0.3">
      <c r="B211" s="36"/>
      <c r="C211" s="17"/>
      <c r="D211" s="8" t="s">
        <v>95</v>
      </c>
      <c r="E211" s="154" t="s">
        <v>150</v>
      </c>
      <c r="F211" s="493"/>
      <c r="G211" s="154" t="s">
        <v>151</v>
      </c>
      <c r="H211" s="493"/>
      <c r="I211" s="154" t="s">
        <v>152</v>
      </c>
      <c r="J211" s="493"/>
      <c r="K211" s="154" t="s">
        <v>153</v>
      </c>
      <c r="L211" s="494"/>
      <c r="M211" s="163" t="s">
        <v>32</v>
      </c>
      <c r="N211" s="494"/>
      <c r="O211" s="201" t="s">
        <v>163</v>
      </c>
      <c r="P211" s="494"/>
      <c r="Q211" s="287" t="s">
        <v>151</v>
      </c>
      <c r="R211" s="494"/>
      <c r="S211" s="226" t="s">
        <v>143</v>
      </c>
      <c r="T211" s="66"/>
      <c r="U211" s="2"/>
      <c r="V211" s="43"/>
      <c r="X211" s="37"/>
    </row>
    <row r="212" spans="2:24" s="1" customFormat="1" x14ac:dyDescent="0.3">
      <c r="B212" s="36"/>
      <c r="C212" s="17"/>
      <c r="D212" s="149" t="s">
        <v>711</v>
      </c>
      <c r="E212" s="217">
        <f>((0.34)*4)+(6*0.01)</f>
        <v>1.4200000000000002</v>
      </c>
      <c r="F212" s="516" t="s">
        <v>185</v>
      </c>
      <c r="G212" s="152"/>
      <c r="H212" s="496"/>
      <c r="I212" s="152"/>
      <c r="J212" s="496"/>
      <c r="K212" s="265">
        <f>W212</f>
        <v>31</v>
      </c>
      <c r="L212" s="516" t="s">
        <v>185</v>
      </c>
      <c r="M212" s="173">
        <f>M206</f>
        <v>68</v>
      </c>
      <c r="N212" s="516" t="s">
        <v>185</v>
      </c>
      <c r="O212" s="152">
        <v>7850</v>
      </c>
      <c r="P212" s="516" t="s">
        <v>185</v>
      </c>
      <c r="Q212" s="262">
        <f>22/7*0.005*0.005</f>
        <v>7.857142857142858E-5</v>
      </c>
      <c r="R212" s="516" t="s">
        <v>1323</v>
      </c>
      <c r="S212" s="248">
        <f>E212*K212*M212*O212*Q212</f>
        <v>1846.2616857142859</v>
      </c>
      <c r="T212" s="66"/>
      <c r="U212" s="2"/>
      <c r="V212" s="43">
        <f>2+0.5+0.5</f>
        <v>3</v>
      </c>
      <c r="W212" s="1">
        <f>(V212/0.1)+1</f>
        <v>31</v>
      </c>
    </row>
    <row r="213" spans="2:24" s="1" customFormat="1" x14ac:dyDescent="0.3">
      <c r="B213" s="36"/>
      <c r="C213" s="17"/>
      <c r="D213" s="139" t="s">
        <v>711</v>
      </c>
      <c r="E213" s="172">
        <f>((0.34)*4)+(6*0.01)</f>
        <v>1.4200000000000002</v>
      </c>
      <c r="F213" s="521" t="s">
        <v>185</v>
      </c>
      <c r="G213" s="187"/>
      <c r="H213" s="498"/>
      <c r="I213" s="187"/>
      <c r="J213" s="498"/>
      <c r="K213" s="696">
        <v>14</v>
      </c>
      <c r="L213" s="521" t="s">
        <v>185</v>
      </c>
      <c r="M213" s="188">
        <f>M212</f>
        <v>68</v>
      </c>
      <c r="N213" s="521" t="s">
        <v>185</v>
      </c>
      <c r="O213" s="187">
        <v>7850</v>
      </c>
      <c r="P213" s="521" t="s">
        <v>185</v>
      </c>
      <c r="Q213" s="291">
        <f>22/7*0.005*0.005</f>
        <v>7.857142857142858E-5</v>
      </c>
      <c r="R213" s="521" t="s">
        <v>1323</v>
      </c>
      <c r="S213" s="244">
        <f>E213*K213*M213*O213*Q213</f>
        <v>833.79560000000026</v>
      </c>
      <c r="T213" s="66"/>
      <c r="U213" s="2"/>
      <c r="V213" s="43">
        <f>2</f>
        <v>2</v>
      </c>
      <c r="W213" s="1">
        <f>(V213/0.15)+1</f>
        <v>14.333333333333334</v>
      </c>
    </row>
    <row r="214" spans="2:24" s="1" customFormat="1" x14ac:dyDescent="0.3">
      <c r="B214" s="36"/>
      <c r="C214" s="17"/>
      <c r="D214" s="150"/>
      <c r="E214" s="199"/>
      <c r="F214" s="546"/>
      <c r="G214" s="160"/>
      <c r="H214" s="523"/>
      <c r="I214" s="160"/>
      <c r="J214" s="523"/>
      <c r="K214" s="160"/>
      <c r="L214" s="523"/>
      <c r="M214" s="195"/>
      <c r="N214" s="523"/>
      <c r="O214" s="160"/>
      <c r="P214" s="523"/>
      <c r="Q214" s="220"/>
      <c r="R214" s="523"/>
      <c r="S214" s="251"/>
      <c r="T214" s="66"/>
      <c r="U214" s="2"/>
      <c r="V214" s="43"/>
    </row>
    <row r="215" spans="2:24" s="1" customFormat="1" ht="17.25" thickBot="1" x14ac:dyDescent="0.35">
      <c r="B215" s="36"/>
      <c r="C215" s="17"/>
      <c r="D215" s="3093" t="s">
        <v>164</v>
      </c>
      <c r="E215" s="3094"/>
      <c r="F215" s="3094"/>
      <c r="G215" s="3094"/>
      <c r="H215" s="3094"/>
      <c r="I215" s="3095"/>
      <c r="J215" s="524"/>
      <c r="K215" s="178"/>
      <c r="L215" s="500"/>
      <c r="M215" s="175"/>
      <c r="N215" s="500"/>
      <c r="O215" s="178"/>
      <c r="P215" s="500"/>
      <c r="Q215" s="203"/>
      <c r="R215" s="500"/>
      <c r="S215" s="231">
        <f>SUM(S212:S213)</f>
        <v>2680.0572857142861</v>
      </c>
      <c r="T215" s="66"/>
      <c r="U215" s="2"/>
      <c r="V215" s="43"/>
    </row>
    <row r="216" spans="2:24" x14ac:dyDescent="0.3">
      <c r="B216" s="464"/>
      <c r="C216" s="465"/>
      <c r="D216" s="453"/>
      <c r="E216" s="455"/>
      <c r="F216" s="485"/>
      <c r="G216" s="455"/>
      <c r="H216" s="485"/>
      <c r="I216" s="455"/>
      <c r="J216" s="485"/>
      <c r="K216" s="438"/>
      <c r="L216" s="482"/>
      <c r="M216" s="439"/>
      <c r="N216" s="482"/>
      <c r="O216" s="438"/>
      <c r="P216" s="482"/>
      <c r="Q216" s="440"/>
      <c r="R216" s="482"/>
      <c r="S216" s="454"/>
    </row>
    <row r="217" spans="2:24" s="1" customFormat="1" ht="17.25" thickBot="1" x14ac:dyDescent="0.35">
      <c r="B217" s="36"/>
      <c r="C217" s="17" t="str">
        <f>RAB!D56</f>
        <v>Bekisting Kolom</v>
      </c>
      <c r="D217" s="38"/>
      <c r="E217" s="208"/>
      <c r="F217" s="551"/>
      <c r="G217" s="208"/>
      <c r="H217" s="551"/>
      <c r="I217" s="208"/>
      <c r="J217" s="551"/>
      <c r="K217" s="156"/>
      <c r="L217" s="501"/>
      <c r="M217" s="165"/>
      <c r="N217" s="501"/>
      <c r="O217" s="156"/>
      <c r="P217" s="501"/>
      <c r="Q217" s="204"/>
      <c r="R217" s="501"/>
      <c r="S217" s="232"/>
      <c r="T217" s="18">
        <f>ROUNDDOWN(Q221,2)</f>
        <v>433.02</v>
      </c>
      <c r="U217" s="2" t="s">
        <v>2</v>
      </c>
      <c r="V217" s="43"/>
    </row>
    <row r="218" spans="2:24" s="1" customFormat="1" x14ac:dyDescent="0.3">
      <c r="B218" s="36"/>
      <c r="C218" s="17"/>
      <c r="D218" s="8" t="s">
        <v>95</v>
      </c>
      <c r="E218" s="154" t="s">
        <v>150</v>
      </c>
      <c r="F218" s="493"/>
      <c r="G218" s="154" t="s">
        <v>151</v>
      </c>
      <c r="H218" s="493"/>
      <c r="I218" s="154" t="s">
        <v>152</v>
      </c>
      <c r="J218" s="493"/>
      <c r="K218" s="154" t="s">
        <v>153</v>
      </c>
      <c r="L218" s="494"/>
      <c r="M218" s="163" t="s">
        <v>32</v>
      </c>
      <c r="N218" s="494"/>
      <c r="O218" s="201" t="s">
        <v>163</v>
      </c>
      <c r="P218" s="494"/>
      <c r="Q218" s="202" t="s">
        <v>151</v>
      </c>
      <c r="R218" s="494"/>
      <c r="S218" s="226" t="s">
        <v>143</v>
      </c>
      <c r="T218" s="66"/>
      <c r="U218" s="2"/>
      <c r="V218" s="43"/>
    </row>
    <row r="219" spans="2:24" s="1" customFormat="1" x14ac:dyDescent="0.3">
      <c r="B219" s="36"/>
      <c r="C219" s="17"/>
      <c r="D219" s="149" t="s">
        <v>191</v>
      </c>
      <c r="E219" s="217"/>
      <c r="F219" s="516"/>
      <c r="G219" s="331">
        <f>(E197+G197)*2</f>
        <v>1.6</v>
      </c>
      <c r="H219" s="565" t="s">
        <v>185</v>
      </c>
      <c r="I219" s="578">
        <f>I197-0.4</f>
        <v>3.98</v>
      </c>
      <c r="J219" s="565" t="s">
        <v>185</v>
      </c>
      <c r="K219" s="331">
        <v>1</v>
      </c>
      <c r="L219" s="565" t="s">
        <v>185</v>
      </c>
      <c r="M219" s="331">
        <f>M212</f>
        <v>68</v>
      </c>
      <c r="N219" s="565"/>
      <c r="O219" s="331"/>
      <c r="P219" s="565" t="s">
        <v>114</v>
      </c>
      <c r="Q219" s="331">
        <f>M219*K219*I219*G219</f>
        <v>433.024</v>
      </c>
      <c r="R219" s="516"/>
      <c r="S219" s="248"/>
      <c r="T219" s="66"/>
      <c r="U219" s="2"/>
      <c r="V219" s="43"/>
    </row>
    <row r="220" spans="2:24" s="1" customFormat="1" x14ac:dyDescent="0.3">
      <c r="B220" s="36"/>
      <c r="C220" s="17"/>
      <c r="D220" s="150"/>
      <c r="E220" s="199"/>
      <c r="F220" s="546"/>
      <c r="G220" s="160"/>
      <c r="H220" s="523"/>
      <c r="I220" s="160"/>
      <c r="J220" s="523"/>
      <c r="K220" s="160"/>
      <c r="L220" s="523"/>
      <c r="M220" s="195"/>
      <c r="N220" s="523"/>
      <c r="O220" s="160"/>
      <c r="P220" s="523"/>
      <c r="Q220" s="220"/>
      <c r="R220" s="523"/>
      <c r="S220" s="251"/>
      <c r="T220" s="66"/>
      <c r="U220" s="2"/>
      <c r="V220" s="43"/>
    </row>
    <row r="221" spans="2:24" s="1" customFormat="1" ht="17.25" thickBot="1" x14ac:dyDescent="0.35">
      <c r="B221" s="36"/>
      <c r="C221" s="17"/>
      <c r="D221" s="3093" t="s">
        <v>164</v>
      </c>
      <c r="E221" s="3094"/>
      <c r="F221" s="3094"/>
      <c r="G221" s="3094"/>
      <c r="H221" s="3094"/>
      <c r="I221" s="3095"/>
      <c r="J221" s="524"/>
      <c r="K221" s="178"/>
      <c r="L221" s="500"/>
      <c r="M221" s="175"/>
      <c r="N221" s="500"/>
      <c r="O221" s="178"/>
      <c r="P221" s="500"/>
      <c r="Q221" s="579">
        <f>Q219</f>
        <v>433.024</v>
      </c>
      <c r="R221" s="500"/>
      <c r="S221" s="231"/>
      <c r="T221" s="66"/>
      <c r="U221" s="2"/>
      <c r="V221" s="43"/>
    </row>
    <row r="222" spans="2:24" x14ac:dyDescent="0.3">
      <c r="B222" s="464"/>
      <c r="C222" s="465"/>
      <c r="D222" s="453"/>
      <c r="E222" s="455"/>
      <c r="F222" s="485"/>
      <c r="G222" s="455"/>
      <c r="H222" s="485"/>
      <c r="I222" s="455"/>
      <c r="J222" s="485"/>
      <c r="K222" s="438"/>
      <c r="L222" s="482"/>
      <c r="M222" s="439"/>
      <c r="N222" s="482"/>
      <c r="O222" s="438"/>
      <c r="P222" s="482"/>
      <c r="Q222" s="440"/>
      <c r="R222" s="482"/>
      <c r="S222" s="454"/>
    </row>
    <row r="223" spans="2:24" s="1" customFormat="1" ht="17.25" thickBot="1" x14ac:dyDescent="0.35">
      <c r="B223" s="36">
        <f>RAB!B57</f>
        <v>6</v>
      </c>
      <c r="C223" s="17" t="str">
        <f>RAB!C57</f>
        <v>Kolom Praktis</v>
      </c>
      <c r="E223" s="153"/>
      <c r="F223" s="480"/>
      <c r="G223" s="153"/>
      <c r="H223" s="480"/>
      <c r="I223" s="153"/>
      <c r="J223" s="480"/>
      <c r="K223" s="153"/>
      <c r="L223" s="480"/>
      <c r="M223" s="162"/>
      <c r="N223" s="480"/>
      <c r="O223" s="153"/>
      <c r="P223" s="480"/>
      <c r="Q223" s="200"/>
      <c r="R223" s="480"/>
      <c r="S223" s="224"/>
      <c r="T223" s="18">
        <f>ROUNDDOWN(S225,2)</f>
        <v>28.8</v>
      </c>
      <c r="U223" s="2" t="s">
        <v>27</v>
      </c>
      <c r="V223" s="43"/>
    </row>
    <row r="224" spans="2:24" s="1" customFormat="1" x14ac:dyDescent="0.3">
      <c r="B224" s="36"/>
      <c r="C224" s="17"/>
      <c r="D224" s="8" t="s">
        <v>95</v>
      </c>
      <c r="E224" s="154" t="s">
        <v>150</v>
      </c>
      <c r="F224" s="493"/>
      <c r="G224" s="154" t="s">
        <v>151</v>
      </c>
      <c r="H224" s="493"/>
      <c r="I224" s="154" t="s">
        <v>152</v>
      </c>
      <c r="J224" s="493"/>
      <c r="K224" s="154" t="s">
        <v>153</v>
      </c>
      <c r="L224" s="494"/>
      <c r="M224" s="163" t="s">
        <v>32</v>
      </c>
      <c r="N224" s="494"/>
      <c r="O224" s="201" t="s">
        <v>163</v>
      </c>
      <c r="P224" s="494"/>
      <c r="Q224" s="202" t="s">
        <v>151</v>
      </c>
      <c r="R224" s="494"/>
      <c r="S224" s="226" t="s">
        <v>143</v>
      </c>
      <c r="T224" s="66"/>
      <c r="U224" s="2"/>
      <c r="V224" s="43"/>
    </row>
    <row r="225" spans="2:22" s="1" customFormat="1" x14ac:dyDescent="0.3">
      <c r="B225" s="36"/>
      <c r="C225" s="17"/>
      <c r="D225" s="149" t="s">
        <v>192</v>
      </c>
      <c r="E225" s="578"/>
      <c r="F225" s="565"/>
      <c r="G225" s="331"/>
      <c r="H225" s="565"/>
      <c r="I225" s="331">
        <f>4-0.4</f>
        <v>3.6</v>
      </c>
      <c r="J225" s="565" t="s">
        <v>185</v>
      </c>
      <c r="K225" s="331">
        <v>8</v>
      </c>
      <c r="L225" s="565"/>
      <c r="M225" s="331"/>
      <c r="N225" s="565"/>
      <c r="O225" s="331"/>
      <c r="P225" s="565"/>
      <c r="Q225" s="331"/>
      <c r="R225" s="565" t="s">
        <v>114</v>
      </c>
      <c r="S225" s="577">
        <f>K225*I225</f>
        <v>28.8</v>
      </c>
      <c r="T225" s="66"/>
      <c r="U225" s="2"/>
      <c r="V225" s="43"/>
    </row>
    <row r="226" spans="2:22" s="1" customFormat="1" x14ac:dyDescent="0.3">
      <c r="B226" s="36"/>
      <c r="C226" s="17"/>
      <c r="D226" s="139"/>
      <c r="E226" s="328"/>
      <c r="F226" s="518"/>
      <c r="G226" s="1044"/>
      <c r="H226" s="518"/>
      <c r="I226" s="1044"/>
      <c r="J226" s="518"/>
      <c r="K226" s="1044"/>
      <c r="L226" s="518"/>
      <c r="M226" s="1044"/>
      <c r="N226" s="518"/>
      <c r="O226" s="1044"/>
      <c r="P226" s="518"/>
      <c r="Q226" s="1044"/>
      <c r="R226" s="518"/>
      <c r="S226" s="519"/>
      <c r="T226" s="66"/>
      <c r="U226" s="2"/>
      <c r="V226" s="43"/>
    </row>
    <row r="227" spans="2:22" s="1" customFormat="1" x14ac:dyDescent="0.3">
      <c r="B227" s="36"/>
      <c r="C227" s="17"/>
      <c r="D227" s="139" t="s">
        <v>1236</v>
      </c>
      <c r="E227" s="328">
        <v>1</v>
      </c>
      <c r="F227" s="518" t="s">
        <v>185</v>
      </c>
      <c r="G227" s="1044"/>
      <c r="H227" s="518"/>
      <c r="I227" s="1044"/>
      <c r="J227" s="518"/>
      <c r="K227" s="1044">
        <f>K225</f>
        <v>8</v>
      </c>
      <c r="L227" s="518" t="s">
        <v>185</v>
      </c>
      <c r="M227" s="1044">
        <v>4</v>
      </c>
      <c r="N227" s="518" t="s">
        <v>185</v>
      </c>
      <c r="O227" s="1044">
        <v>7850</v>
      </c>
      <c r="P227" s="518" t="s">
        <v>185</v>
      </c>
      <c r="Q227" s="608">
        <f>22/7*0.005*0.005</f>
        <v>7.857142857142858E-5</v>
      </c>
      <c r="R227" s="518" t="s">
        <v>114</v>
      </c>
      <c r="S227" s="519">
        <f>Q227*O227*M227*K227*E227</f>
        <v>19.73714285714286</v>
      </c>
      <c r="T227" s="18">
        <f>ROUNDDOWN(S227,2)</f>
        <v>19.73</v>
      </c>
      <c r="U227" s="2" t="s">
        <v>0</v>
      </c>
      <c r="V227" s="43"/>
    </row>
    <row r="228" spans="2:22" s="1" customFormat="1" x14ac:dyDescent="0.3">
      <c r="B228" s="36"/>
      <c r="C228" s="17"/>
      <c r="D228" s="150"/>
      <c r="E228" s="592"/>
      <c r="F228" s="593"/>
      <c r="G228" s="330"/>
      <c r="H228" s="512"/>
      <c r="I228" s="330"/>
      <c r="J228" s="512"/>
      <c r="K228" s="330"/>
      <c r="L228" s="512"/>
      <c r="M228" s="330"/>
      <c r="N228" s="512"/>
      <c r="O228" s="330"/>
      <c r="P228" s="512"/>
      <c r="Q228" s="330"/>
      <c r="R228" s="512"/>
      <c r="S228" s="559"/>
      <c r="T228" s="66"/>
      <c r="U228" s="2"/>
      <c r="V228" s="43"/>
    </row>
    <row r="229" spans="2:22" s="1" customFormat="1" ht="17.25" thickBot="1" x14ac:dyDescent="0.35">
      <c r="B229" s="36"/>
      <c r="C229" s="17"/>
      <c r="D229" s="415" t="s">
        <v>164</v>
      </c>
      <c r="E229" s="214"/>
      <c r="F229" s="560"/>
      <c r="G229" s="214"/>
      <c r="H229" s="560"/>
      <c r="I229" s="214"/>
      <c r="J229" s="560"/>
      <c r="K229" s="178"/>
      <c r="L229" s="500"/>
      <c r="M229" s="175"/>
      <c r="N229" s="500"/>
      <c r="O229" s="178"/>
      <c r="P229" s="500"/>
      <c r="Q229" s="178"/>
      <c r="R229" s="500"/>
      <c r="S229" s="231"/>
      <c r="T229" s="66"/>
      <c r="U229" s="2"/>
      <c r="V229" s="43"/>
    </row>
    <row r="230" spans="2:22" x14ac:dyDescent="0.3">
      <c r="B230" s="464"/>
      <c r="C230" s="465"/>
      <c r="D230" s="453"/>
      <c r="E230" s="455"/>
      <c r="F230" s="485"/>
      <c r="G230" s="455"/>
      <c r="H230" s="485"/>
      <c r="I230" s="455"/>
      <c r="J230" s="485"/>
      <c r="K230" s="438"/>
      <c r="L230" s="482"/>
      <c r="M230" s="439"/>
      <c r="N230" s="482"/>
      <c r="O230" s="438"/>
      <c r="P230" s="482"/>
      <c r="Q230" s="440"/>
      <c r="R230" s="482"/>
      <c r="S230" s="454"/>
    </row>
    <row r="231" spans="2:22" s="1" customFormat="1" ht="17.25" thickBot="1" x14ac:dyDescent="0.35">
      <c r="B231" s="1149">
        <f>RAB!B58</f>
        <v>7</v>
      </c>
      <c r="C231" s="17" t="str">
        <f>RAB!C58</f>
        <v>Balok Latai</v>
      </c>
      <c r="D231" s="38"/>
      <c r="E231" s="208"/>
      <c r="F231" s="551"/>
      <c r="G231" s="208"/>
      <c r="H231" s="551"/>
      <c r="I231" s="208"/>
      <c r="J231" s="551"/>
      <c r="K231" s="156"/>
      <c r="L231" s="501"/>
      <c r="M231" s="165"/>
      <c r="N231" s="501"/>
      <c r="O231" s="156"/>
      <c r="P231" s="501"/>
      <c r="Q231" s="204"/>
      <c r="R231" s="501"/>
      <c r="S231" s="232"/>
      <c r="T231" s="18">
        <f>ROUNDDOWN(S238,2)</f>
        <v>122.4</v>
      </c>
      <c r="U231" s="2" t="s">
        <v>27</v>
      </c>
      <c r="V231" s="43"/>
    </row>
    <row r="232" spans="2:22" s="1" customFormat="1" x14ac:dyDescent="0.3">
      <c r="B232" s="36"/>
      <c r="C232" s="17"/>
      <c r="D232" s="8" t="s">
        <v>95</v>
      </c>
      <c r="E232" s="154" t="s">
        <v>150</v>
      </c>
      <c r="F232" s="493"/>
      <c r="G232" s="154" t="s">
        <v>151</v>
      </c>
      <c r="H232" s="493"/>
      <c r="I232" s="154" t="s">
        <v>152</v>
      </c>
      <c r="J232" s="493"/>
      <c r="K232" s="154" t="s">
        <v>153</v>
      </c>
      <c r="L232" s="494"/>
      <c r="M232" s="163" t="s">
        <v>32</v>
      </c>
      <c r="N232" s="494"/>
      <c r="O232" s="201" t="s">
        <v>163</v>
      </c>
      <c r="P232" s="494"/>
      <c r="Q232" s="202" t="s">
        <v>151</v>
      </c>
      <c r="R232" s="494"/>
      <c r="S232" s="226" t="s">
        <v>143</v>
      </c>
      <c r="T232" s="66"/>
      <c r="U232" s="2"/>
      <c r="V232" s="43"/>
    </row>
    <row r="233" spans="2:22" s="1" customFormat="1" x14ac:dyDescent="0.3">
      <c r="B233" s="36"/>
      <c r="C233" s="17"/>
      <c r="D233" s="318" t="s">
        <v>156</v>
      </c>
      <c r="E233" s="159"/>
      <c r="F233" s="582"/>
      <c r="G233" s="159"/>
      <c r="H233" s="582"/>
      <c r="I233" s="159"/>
      <c r="J233" s="582"/>
      <c r="K233" s="159"/>
      <c r="L233" s="583"/>
      <c r="M233" s="584"/>
      <c r="N233" s="583"/>
      <c r="O233" s="585"/>
      <c r="P233" s="583"/>
      <c r="Q233" s="586"/>
      <c r="R233" s="583"/>
      <c r="S233" s="243"/>
      <c r="T233" s="66"/>
      <c r="U233" s="2"/>
      <c r="V233" s="43"/>
    </row>
    <row r="234" spans="2:22" s="1" customFormat="1" x14ac:dyDescent="0.3">
      <c r="B234" s="36"/>
      <c r="C234" s="17"/>
      <c r="D234" s="267" t="s">
        <v>1324</v>
      </c>
      <c r="E234" s="587">
        <v>3.6</v>
      </c>
      <c r="F234" s="588" t="s">
        <v>185</v>
      </c>
      <c r="G234" s="589"/>
      <c r="H234" s="588"/>
      <c r="I234" s="589"/>
      <c r="J234" s="588"/>
      <c r="K234" s="589">
        <v>24</v>
      </c>
      <c r="L234" s="588"/>
      <c r="M234" s="589"/>
      <c r="N234" s="588"/>
      <c r="O234" s="589"/>
      <c r="P234" s="588"/>
      <c r="Q234" s="589"/>
      <c r="R234" s="588" t="s">
        <v>114</v>
      </c>
      <c r="S234" s="590">
        <f>K234*E234</f>
        <v>86.4</v>
      </c>
      <c r="T234" s="66"/>
      <c r="U234" s="2"/>
      <c r="V234" s="43"/>
    </row>
    <row r="235" spans="2:22" s="1" customFormat="1" x14ac:dyDescent="0.3">
      <c r="B235" s="36"/>
      <c r="C235" s="17"/>
      <c r="D235" s="151" t="s">
        <v>157</v>
      </c>
      <c r="E235" s="329"/>
      <c r="F235" s="518"/>
      <c r="G235" s="329"/>
      <c r="H235" s="518"/>
      <c r="I235" s="329"/>
      <c r="J235" s="518"/>
      <c r="K235" s="329"/>
      <c r="L235" s="517"/>
      <c r="M235" s="329"/>
      <c r="N235" s="517"/>
      <c r="O235" s="329"/>
      <c r="P235" s="517"/>
      <c r="Q235" s="329"/>
      <c r="R235" s="518"/>
      <c r="S235" s="519"/>
      <c r="T235" s="66"/>
      <c r="U235" s="2"/>
      <c r="V235" s="43"/>
    </row>
    <row r="236" spans="2:22" s="1" customFormat="1" x14ac:dyDescent="0.3">
      <c r="B236" s="36"/>
      <c r="C236" s="17"/>
      <c r="D236" s="267" t="s">
        <v>1324</v>
      </c>
      <c r="E236" s="328">
        <v>3.6</v>
      </c>
      <c r="F236" s="518" t="s">
        <v>185</v>
      </c>
      <c r="G236" s="329"/>
      <c r="H236" s="518"/>
      <c r="I236" s="329"/>
      <c r="J236" s="518"/>
      <c r="K236" s="329">
        <v>10</v>
      </c>
      <c r="L236" s="518"/>
      <c r="M236" s="329"/>
      <c r="N236" s="518"/>
      <c r="O236" s="329"/>
      <c r="P236" s="518"/>
      <c r="Q236" s="329"/>
      <c r="R236" s="518" t="s">
        <v>114</v>
      </c>
      <c r="S236" s="519">
        <f>E236*K236</f>
        <v>36</v>
      </c>
      <c r="T236" s="66"/>
      <c r="U236" s="2"/>
      <c r="V236" s="43"/>
    </row>
    <row r="237" spans="2:22" s="1" customFormat="1" x14ac:dyDescent="0.3">
      <c r="B237" s="36"/>
      <c r="C237" s="17"/>
      <c r="D237" s="150"/>
      <c r="E237" s="592"/>
      <c r="F237" s="593"/>
      <c r="G237" s="330"/>
      <c r="H237" s="512"/>
      <c r="I237" s="330"/>
      <c r="J237" s="512"/>
      <c r="K237" s="330"/>
      <c r="L237" s="512"/>
      <c r="M237" s="330"/>
      <c r="N237" s="512"/>
      <c r="O237" s="330"/>
      <c r="P237" s="512"/>
      <c r="Q237" s="330"/>
      <c r="R237" s="512"/>
      <c r="S237" s="559"/>
      <c r="T237" s="66"/>
      <c r="U237" s="2"/>
      <c r="V237" s="43"/>
    </row>
    <row r="238" spans="2:22" s="1" customFormat="1" x14ac:dyDescent="0.3">
      <c r="B238" s="36"/>
      <c r="C238" s="17"/>
      <c r="D238" s="1119" t="s">
        <v>164</v>
      </c>
      <c r="E238" s="1120"/>
      <c r="F238" s="1121"/>
      <c r="G238" s="1120"/>
      <c r="H238" s="1121"/>
      <c r="I238" s="1122"/>
      <c r="J238" s="1123"/>
      <c r="K238" s="1120"/>
      <c r="L238" s="1121"/>
      <c r="M238" s="1120"/>
      <c r="N238" s="1121"/>
      <c r="O238" s="1120"/>
      <c r="P238" s="1121"/>
      <c r="Q238" s="1120"/>
      <c r="R238" s="1121"/>
      <c r="S238" s="1124">
        <f>SUM(S233:S237)</f>
        <v>122.4</v>
      </c>
      <c r="T238" s="66"/>
      <c r="U238" s="2"/>
      <c r="V238" s="43"/>
    </row>
    <row r="239" spans="2:22" s="1" customFormat="1" x14ac:dyDescent="0.3">
      <c r="B239" s="36"/>
      <c r="C239" s="17"/>
      <c r="D239" s="318"/>
      <c r="E239" s="331"/>
      <c r="F239" s="575"/>
      <c r="G239" s="331"/>
      <c r="H239" s="575"/>
      <c r="I239" s="331"/>
      <c r="J239" s="575"/>
      <c r="K239" s="331"/>
      <c r="L239" s="575"/>
      <c r="M239" s="331"/>
      <c r="N239" s="575"/>
      <c r="O239" s="331"/>
      <c r="P239" s="575"/>
      <c r="Q239" s="331"/>
      <c r="R239" s="575"/>
      <c r="S239" s="1125"/>
      <c r="T239" s="66"/>
      <c r="U239" s="2"/>
      <c r="V239" s="43"/>
    </row>
    <row r="240" spans="2:22" s="1" customFormat="1" ht="17.25" thickBot="1" x14ac:dyDescent="0.35">
      <c r="B240" s="36"/>
      <c r="C240" s="17"/>
      <c r="D240" s="1126" t="s">
        <v>1236</v>
      </c>
      <c r="E240" s="1127">
        <v>1</v>
      </c>
      <c r="F240" s="1128" t="s">
        <v>185</v>
      </c>
      <c r="G240" s="1071"/>
      <c r="H240" s="1128"/>
      <c r="I240" s="1071"/>
      <c r="J240" s="1128"/>
      <c r="K240" s="1071">
        <f>SUM(K234:K236)</f>
        <v>34</v>
      </c>
      <c r="L240" s="1128" t="s">
        <v>185</v>
      </c>
      <c r="M240" s="1071">
        <v>4</v>
      </c>
      <c r="N240" s="1128" t="s">
        <v>185</v>
      </c>
      <c r="O240" s="1071">
        <v>7850</v>
      </c>
      <c r="P240" s="1128" t="s">
        <v>185</v>
      </c>
      <c r="Q240" s="1129">
        <f>22/7*0.005*0.005</f>
        <v>7.857142857142858E-5</v>
      </c>
      <c r="R240" s="1128" t="s">
        <v>114</v>
      </c>
      <c r="S240" s="1073">
        <f>Q240*O240*M240*K240*E240</f>
        <v>83.882857142857162</v>
      </c>
      <c r="T240" s="18">
        <f>ROUNDDOWN(S240,2)</f>
        <v>83.88</v>
      </c>
      <c r="U240" s="2" t="s">
        <v>0</v>
      </c>
      <c r="V240" s="43"/>
    </row>
    <row r="241" spans="2:24" x14ac:dyDescent="0.3">
      <c r="B241" s="464"/>
      <c r="C241" s="465"/>
      <c r="D241" s="453"/>
      <c r="E241" s="455"/>
      <c r="F241" s="485"/>
      <c r="G241" s="455"/>
      <c r="H241" s="485"/>
      <c r="I241" s="455"/>
      <c r="J241" s="485"/>
      <c r="K241" s="438"/>
      <c r="L241" s="482"/>
      <c r="M241" s="439"/>
      <c r="N241" s="482"/>
      <c r="O241" s="438"/>
      <c r="P241" s="482"/>
      <c r="Q241" s="440"/>
      <c r="R241" s="482"/>
      <c r="S241" s="454"/>
    </row>
    <row r="242" spans="2:24" s="32" customFormat="1" x14ac:dyDescent="0.3">
      <c r="B242" s="1149">
        <f>RAB!B59</f>
        <v>8</v>
      </c>
      <c r="C242" s="114" t="str">
        <f>RAB!C59</f>
        <v>Balok 25x50 Cm (B1)</v>
      </c>
      <c r="D242" s="56"/>
      <c r="E242" s="213"/>
      <c r="F242" s="549"/>
      <c r="G242" s="213"/>
      <c r="H242" s="549"/>
      <c r="I242" s="213"/>
      <c r="J242" s="549"/>
      <c r="K242" s="181"/>
      <c r="L242" s="529"/>
      <c r="M242" s="182"/>
      <c r="N242" s="529"/>
      <c r="O242" s="181"/>
      <c r="P242" s="529"/>
      <c r="Q242" s="211"/>
      <c r="R242" s="529"/>
      <c r="S242" s="239"/>
      <c r="T242" s="53"/>
      <c r="U242" s="50"/>
      <c r="V242" s="51"/>
    </row>
    <row r="243" spans="2:24" s="32" customFormat="1" ht="17.25" thickBot="1" x14ac:dyDescent="0.35">
      <c r="B243" s="113"/>
      <c r="C243" s="114" t="str">
        <f>RAB!D60</f>
        <v xml:space="preserve">Beton mutu f'c=26,4 Mpa </v>
      </c>
      <c r="D243" s="56"/>
      <c r="E243" s="213"/>
      <c r="F243" s="549"/>
      <c r="G243" s="213"/>
      <c r="H243" s="549"/>
      <c r="I243" s="213"/>
      <c r="J243" s="549"/>
      <c r="K243" s="181"/>
      <c r="L243" s="529"/>
      <c r="M243" s="182"/>
      <c r="N243" s="529"/>
      <c r="O243" s="181"/>
      <c r="P243" s="529"/>
      <c r="Q243" s="211"/>
      <c r="R243" s="529"/>
      <c r="S243" s="239"/>
      <c r="T243" s="54">
        <f>ROUNDDOWN(S251,2)</f>
        <v>1.31</v>
      </c>
      <c r="U243" s="50" t="s">
        <v>3</v>
      </c>
      <c r="V243" s="51"/>
    </row>
    <row r="244" spans="2:24" s="32" customFormat="1" x14ac:dyDescent="0.3">
      <c r="B244" s="113"/>
      <c r="C244" s="114"/>
      <c r="D244" s="52" t="s">
        <v>95</v>
      </c>
      <c r="E244" s="155" t="s">
        <v>150</v>
      </c>
      <c r="F244" s="505"/>
      <c r="G244" s="155" t="s">
        <v>151</v>
      </c>
      <c r="H244" s="505"/>
      <c r="I244" s="155" t="s">
        <v>152</v>
      </c>
      <c r="J244" s="505"/>
      <c r="K244" s="155" t="s">
        <v>153</v>
      </c>
      <c r="L244" s="506"/>
      <c r="M244" s="164" t="s">
        <v>32</v>
      </c>
      <c r="N244" s="506"/>
      <c r="O244" s="206" t="s">
        <v>163</v>
      </c>
      <c r="P244" s="506"/>
      <c r="Q244" s="207" t="s">
        <v>151</v>
      </c>
      <c r="R244" s="506"/>
      <c r="S244" s="230" t="s">
        <v>143</v>
      </c>
      <c r="T244" s="53"/>
      <c r="U244" s="50"/>
      <c r="V244" s="51"/>
    </row>
    <row r="245" spans="2:24" s="32" customFormat="1" x14ac:dyDescent="0.3">
      <c r="B245" s="113"/>
      <c r="C245" s="114"/>
      <c r="D245" s="284" t="s">
        <v>156</v>
      </c>
      <c r="E245" s="552">
        <f>4-0.4</f>
        <v>3.6</v>
      </c>
      <c r="F245" s="594" t="s">
        <v>185</v>
      </c>
      <c r="G245" s="578">
        <v>0.25</v>
      </c>
      <c r="H245" s="594" t="s">
        <v>185</v>
      </c>
      <c r="I245" s="578">
        <f>0.5-0.12</f>
        <v>0.38</v>
      </c>
      <c r="J245" s="594" t="s">
        <v>185</v>
      </c>
      <c r="K245" s="578">
        <v>4</v>
      </c>
      <c r="L245" s="594"/>
      <c r="M245" s="578"/>
      <c r="N245" s="594"/>
      <c r="O245" s="578"/>
      <c r="P245" s="594"/>
      <c r="Q245" s="578"/>
      <c r="R245" s="594" t="s">
        <v>114</v>
      </c>
      <c r="S245" s="595">
        <f>E245*G245*I245*K245</f>
        <v>1.3680000000000001</v>
      </c>
      <c r="T245" s="53"/>
      <c r="U245" s="50"/>
      <c r="V245" s="51"/>
    </row>
    <row r="246" spans="2:24" s="32" customFormat="1" x14ac:dyDescent="0.3">
      <c r="B246" s="113"/>
      <c r="C246" s="114"/>
      <c r="D246" s="285" t="s">
        <v>244</v>
      </c>
      <c r="E246" s="328"/>
      <c r="F246" s="509"/>
      <c r="G246" s="328"/>
      <c r="H246" s="509"/>
      <c r="I246" s="328"/>
      <c r="J246" s="509"/>
      <c r="K246" s="328"/>
      <c r="L246" s="509"/>
      <c r="M246" s="328"/>
      <c r="N246" s="509"/>
      <c r="O246" s="328"/>
      <c r="P246" s="509"/>
      <c r="Q246" s="328"/>
      <c r="R246" s="509"/>
      <c r="S246" s="596"/>
      <c r="T246" s="53"/>
      <c r="U246" s="50"/>
      <c r="V246" s="51"/>
    </row>
    <row r="247" spans="2:24" s="32" customFormat="1" x14ac:dyDescent="0.3">
      <c r="B247" s="113"/>
      <c r="C247" s="114"/>
      <c r="D247" s="140" t="s">
        <v>733</v>
      </c>
      <c r="E247" s="328"/>
      <c r="F247" s="509"/>
      <c r="G247" s="328"/>
      <c r="H247" s="509"/>
      <c r="I247" s="328"/>
      <c r="J247" s="509"/>
      <c r="K247" s="328">
        <f>S259</f>
        <v>361.24300457142857</v>
      </c>
      <c r="L247" s="509" t="s">
        <v>253</v>
      </c>
      <c r="M247" s="328"/>
      <c r="N247" s="510"/>
      <c r="O247" s="328">
        <v>7850</v>
      </c>
      <c r="P247" s="510"/>
      <c r="Q247" s="328"/>
      <c r="R247" s="509" t="s">
        <v>149</v>
      </c>
      <c r="S247" s="1171">
        <f>K247/O247</f>
        <v>4.6018217142857143E-2</v>
      </c>
      <c r="T247" s="53"/>
      <c r="U247" s="50"/>
      <c r="V247" s="51"/>
    </row>
    <row r="248" spans="2:24" s="32" customFormat="1" x14ac:dyDescent="0.3">
      <c r="B248" s="113"/>
      <c r="C248" s="114"/>
      <c r="D248" s="140" t="s">
        <v>734</v>
      </c>
      <c r="E248" s="328"/>
      <c r="F248" s="509"/>
      <c r="G248" s="328"/>
      <c r="H248" s="509"/>
      <c r="I248" s="328"/>
      <c r="J248" s="509"/>
      <c r="K248" s="328">
        <f>S266</f>
        <v>27.237257142857143</v>
      </c>
      <c r="L248" s="509" t="s">
        <v>253</v>
      </c>
      <c r="M248" s="328"/>
      <c r="N248" s="510"/>
      <c r="O248" s="328">
        <f>O247</f>
        <v>7850</v>
      </c>
      <c r="P248" s="510"/>
      <c r="Q248" s="328"/>
      <c r="R248" s="509" t="s">
        <v>149</v>
      </c>
      <c r="S248" s="1171">
        <f>K248/O248</f>
        <v>3.4697142857142856E-3</v>
      </c>
      <c r="T248" s="53"/>
      <c r="U248" s="50"/>
      <c r="V248" s="51"/>
    </row>
    <row r="249" spans="2:24" s="32" customFormat="1" x14ac:dyDescent="0.3">
      <c r="B249" s="113"/>
      <c r="C249" s="114"/>
      <c r="D249" s="555"/>
      <c r="E249" s="554"/>
      <c r="F249" s="556"/>
      <c r="G249" s="554"/>
      <c r="H249" s="556"/>
      <c r="I249" s="554"/>
      <c r="J249" s="556"/>
      <c r="K249" s="554"/>
      <c r="L249" s="556"/>
      <c r="M249" s="554"/>
      <c r="N249" s="557"/>
      <c r="O249" s="554"/>
      <c r="P249" s="557"/>
      <c r="Q249" s="554"/>
      <c r="R249" s="556"/>
      <c r="S249" s="1172">
        <f>SUM(S247:S248)</f>
        <v>4.9487931428571427E-2</v>
      </c>
      <c r="T249" s="53"/>
      <c r="U249" s="50"/>
      <c r="V249" s="51"/>
    </row>
    <row r="250" spans="2:24" s="32" customFormat="1" x14ac:dyDescent="0.3">
      <c r="B250" s="113"/>
      <c r="C250" s="114"/>
      <c r="D250" s="282"/>
      <c r="E250" s="592"/>
      <c r="F250" s="593"/>
      <c r="G250" s="592"/>
      <c r="H250" s="593"/>
      <c r="I250" s="592"/>
      <c r="J250" s="593"/>
      <c r="K250" s="592"/>
      <c r="L250" s="593"/>
      <c r="M250" s="592"/>
      <c r="N250" s="593"/>
      <c r="O250" s="592"/>
      <c r="P250" s="593"/>
      <c r="Q250" s="592"/>
      <c r="R250" s="593"/>
      <c r="S250" s="599"/>
      <c r="T250" s="53"/>
      <c r="U250" s="50"/>
      <c r="V250" s="51"/>
    </row>
    <row r="251" spans="2:24" s="32" customFormat="1" ht="17.25" thickBot="1" x14ac:dyDescent="0.35">
      <c r="B251" s="113"/>
      <c r="C251" s="114"/>
      <c r="D251" s="3103" t="s">
        <v>164</v>
      </c>
      <c r="E251" s="3104"/>
      <c r="F251" s="3104"/>
      <c r="G251" s="3104"/>
      <c r="H251" s="3104"/>
      <c r="I251" s="3105"/>
      <c r="J251" s="548"/>
      <c r="K251" s="183"/>
      <c r="L251" s="532"/>
      <c r="M251" s="180"/>
      <c r="N251" s="532"/>
      <c r="O251" s="183"/>
      <c r="P251" s="532"/>
      <c r="Q251" s="210"/>
      <c r="R251" s="532"/>
      <c r="S251" s="600">
        <f>S245-S249</f>
        <v>1.3185120685714287</v>
      </c>
      <c r="T251" s="53"/>
      <c r="U251" s="50"/>
      <c r="V251" s="51"/>
    </row>
    <row r="252" spans="2:24" s="444" customFormat="1" x14ac:dyDescent="0.3">
      <c r="B252" s="468"/>
      <c r="C252" s="428"/>
      <c r="D252" s="462"/>
      <c r="E252" s="463"/>
      <c r="F252" s="488"/>
      <c r="G252" s="463"/>
      <c r="H252" s="488"/>
      <c r="I252" s="463"/>
      <c r="J252" s="488"/>
      <c r="K252" s="458"/>
      <c r="L252" s="487"/>
      <c r="M252" s="459"/>
      <c r="N252" s="487"/>
      <c r="O252" s="458"/>
      <c r="P252" s="487"/>
      <c r="Q252" s="460"/>
      <c r="R252" s="487"/>
      <c r="S252" s="470"/>
      <c r="T252" s="449"/>
      <c r="U252" s="443"/>
      <c r="V252" s="674"/>
    </row>
    <row r="253" spans="2:24" s="32" customFormat="1" ht="17.25" thickBot="1" x14ac:dyDescent="0.35">
      <c r="B253" s="113"/>
      <c r="C253" s="114" t="str">
        <f>RAB!D61</f>
        <v>Pembesian Ulir</v>
      </c>
      <c r="D253" s="56"/>
      <c r="E253" s="213"/>
      <c r="F253" s="549"/>
      <c r="G253" s="213"/>
      <c r="H253" s="549"/>
      <c r="I253" s="213"/>
      <c r="J253" s="549"/>
      <c r="K253" s="181"/>
      <c r="L253" s="529"/>
      <c r="M253" s="182"/>
      <c r="N253" s="529"/>
      <c r="O253" s="181"/>
      <c r="P253" s="529"/>
      <c r="Q253" s="211"/>
      <c r="R253" s="529"/>
      <c r="S253" s="239"/>
      <c r="T253" s="54">
        <f>ROUNDDOWN(S259,2)</f>
        <v>361.24</v>
      </c>
      <c r="U253" s="50" t="s">
        <v>0</v>
      </c>
      <c r="V253" s="51"/>
      <c r="X253" s="120"/>
    </row>
    <row r="254" spans="2:24" s="32" customFormat="1" x14ac:dyDescent="0.3">
      <c r="B254" s="113"/>
      <c r="C254" s="114"/>
      <c r="D254" s="52" t="s">
        <v>95</v>
      </c>
      <c r="E254" s="155" t="s">
        <v>150</v>
      </c>
      <c r="F254" s="505"/>
      <c r="G254" s="155" t="s">
        <v>151</v>
      </c>
      <c r="H254" s="505"/>
      <c r="I254" s="155" t="s">
        <v>152</v>
      </c>
      <c r="J254" s="505"/>
      <c r="K254" s="155" t="s">
        <v>153</v>
      </c>
      <c r="L254" s="506"/>
      <c r="M254" s="164" t="s">
        <v>32</v>
      </c>
      <c r="N254" s="506"/>
      <c r="O254" s="206" t="s">
        <v>163</v>
      </c>
      <c r="P254" s="506"/>
      <c r="Q254" s="207" t="s">
        <v>151</v>
      </c>
      <c r="R254" s="506"/>
      <c r="S254" s="230" t="s">
        <v>143</v>
      </c>
      <c r="T254" s="53"/>
      <c r="U254" s="50"/>
      <c r="V254" s="51"/>
      <c r="W254" s="123"/>
    </row>
    <row r="255" spans="2:24" s="32" customFormat="1" x14ac:dyDescent="0.3">
      <c r="B255" s="113"/>
      <c r="C255" s="114"/>
      <c r="D255" s="277" t="s">
        <v>236</v>
      </c>
      <c r="E255" s="328">
        <v>4</v>
      </c>
      <c r="F255" s="509" t="s">
        <v>185</v>
      </c>
      <c r="G255" s="328"/>
      <c r="H255" s="510"/>
      <c r="I255" s="328"/>
      <c r="J255" s="510"/>
      <c r="K255" s="328">
        <v>6</v>
      </c>
      <c r="L255" s="509" t="s">
        <v>185</v>
      </c>
      <c r="M255" s="328">
        <f>K245</f>
        <v>4</v>
      </c>
      <c r="N255" s="509" t="s">
        <v>185</v>
      </c>
      <c r="O255" s="328">
        <v>7850</v>
      </c>
      <c r="P255" s="509" t="s">
        <v>185</v>
      </c>
      <c r="Q255" s="1162">
        <f>22/7*0.0095*0.0095</f>
        <v>2.8364285714285714E-4</v>
      </c>
      <c r="R255" s="509" t="s">
        <v>114</v>
      </c>
      <c r="S255" s="596">
        <f>E255*K255*M255*O255*Q255</f>
        <v>213.75325714285714</v>
      </c>
      <c r="T255" s="53"/>
      <c r="U255" s="50"/>
      <c r="V255" s="51"/>
    </row>
    <row r="256" spans="2:24" s="32" customFormat="1" x14ac:dyDescent="0.3">
      <c r="B256" s="113"/>
      <c r="C256" s="114"/>
      <c r="D256" s="278" t="s">
        <v>290</v>
      </c>
      <c r="E256" s="534">
        <f>V256/2+(40*0.019*2)</f>
        <v>3.52</v>
      </c>
      <c r="F256" s="514" t="s">
        <v>185</v>
      </c>
      <c r="G256" s="172"/>
      <c r="H256" s="543"/>
      <c r="I256" s="172"/>
      <c r="J256" s="543"/>
      <c r="K256" s="328">
        <v>3</v>
      </c>
      <c r="L256" s="514" t="s">
        <v>185</v>
      </c>
      <c r="M256" s="534">
        <f>M255</f>
        <v>4</v>
      </c>
      <c r="N256" s="514" t="s">
        <v>185</v>
      </c>
      <c r="O256" s="328">
        <v>7850</v>
      </c>
      <c r="P256" s="509" t="s">
        <v>185</v>
      </c>
      <c r="Q256" s="607">
        <f>22/7*0.0095*0.0095</f>
        <v>2.8364285714285714E-4</v>
      </c>
      <c r="R256" s="514" t="s">
        <v>114</v>
      </c>
      <c r="S256" s="596">
        <f>E256*K256*M256*O256*Q256</f>
        <v>94.05143314285715</v>
      </c>
      <c r="T256" s="53"/>
      <c r="U256" s="50"/>
      <c r="V256" s="51">
        <v>4</v>
      </c>
    </row>
    <row r="257" spans="2:25" s="32" customFormat="1" x14ac:dyDescent="0.3">
      <c r="B257" s="113"/>
      <c r="C257" s="114"/>
      <c r="D257" s="278" t="s">
        <v>288</v>
      </c>
      <c r="E257" s="534">
        <f>V257/2</f>
        <v>2</v>
      </c>
      <c r="F257" s="514" t="s">
        <v>185</v>
      </c>
      <c r="G257" s="172"/>
      <c r="H257" s="543"/>
      <c r="I257" s="172"/>
      <c r="J257" s="543"/>
      <c r="K257" s="328">
        <v>3</v>
      </c>
      <c r="L257" s="514" t="s">
        <v>185</v>
      </c>
      <c r="M257" s="534">
        <f>M256</f>
        <v>4</v>
      </c>
      <c r="N257" s="514" t="s">
        <v>185</v>
      </c>
      <c r="O257" s="328">
        <v>7850</v>
      </c>
      <c r="P257" s="509" t="s">
        <v>185</v>
      </c>
      <c r="Q257" s="607">
        <f>22/7*0.0095*0.0095</f>
        <v>2.8364285714285714E-4</v>
      </c>
      <c r="R257" s="514" t="s">
        <v>114</v>
      </c>
      <c r="S257" s="596">
        <f>E257*K257*M257*O257*Q257</f>
        <v>53.438314285714284</v>
      </c>
      <c r="T257" s="53"/>
      <c r="U257" s="50"/>
      <c r="V257" s="51">
        <v>4</v>
      </c>
    </row>
    <row r="258" spans="2:25" s="32" customFormat="1" x14ac:dyDescent="0.3">
      <c r="B258" s="113"/>
      <c r="C258" s="114"/>
      <c r="D258" s="282"/>
      <c r="E258" s="199"/>
      <c r="F258" s="545"/>
      <c r="G258" s="199"/>
      <c r="H258" s="546"/>
      <c r="I258" s="199"/>
      <c r="J258" s="546"/>
      <c r="K258" s="199"/>
      <c r="L258" s="545"/>
      <c r="M258" s="219"/>
      <c r="N258" s="545"/>
      <c r="O258" s="199"/>
      <c r="P258" s="545"/>
      <c r="Q258" s="283"/>
      <c r="R258" s="545"/>
      <c r="S258" s="272"/>
      <c r="T258" s="53"/>
      <c r="U258" s="50"/>
      <c r="V258" s="51"/>
    </row>
    <row r="259" spans="2:25" s="32" customFormat="1" ht="17.25" thickBot="1" x14ac:dyDescent="0.35">
      <c r="B259" s="113"/>
      <c r="C259" s="114"/>
      <c r="D259" s="3103" t="s">
        <v>164</v>
      </c>
      <c r="E259" s="3104"/>
      <c r="F259" s="3104"/>
      <c r="G259" s="3104"/>
      <c r="H259" s="3104"/>
      <c r="I259" s="3105"/>
      <c r="J259" s="548"/>
      <c r="K259" s="183"/>
      <c r="L259" s="532"/>
      <c r="M259" s="180"/>
      <c r="N259" s="532"/>
      <c r="O259" s="183"/>
      <c r="P259" s="532"/>
      <c r="Q259" s="210"/>
      <c r="R259" s="532"/>
      <c r="S259" s="240">
        <f>SUM(S255:S258)</f>
        <v>361.24300457142857</v>
      </c>
      <c r="T259" s="53"/>
      <c r="U259" s="50"/>
      <c r="V259" s="51"/>
    </row>
    <row r="260" spans="2:25" s="444" customFormat="1" x14ac:dyDescent="0.3">
      <c r="B260" s="468"/>
      <c r="C260" s="428"/>
      <c r="D260" s="462"/>
      <c r="E260" s="463"/>
      <c r="F260" s="488"/>
      <c r="G260" s="463"/>
      <c r="H260" s="488"/>
      <c r="I260" s="463"/>
      <c r="J260" s="488"/>
      <c r="K260" s="458"/>
      <c r="L260" s="487"/>
      <c r="M260" s="459"/>
      <c r="N260" s="487"/>
      <c r="O260" s="458"/>
      <c r="P260" s="487"/>
      <c r="Q260" s="460"/>
      <c r="R260" s="487"/>
      <c r="S260" s="470"/>
      <c r="T260" s="449"/>
      <c r="U260" s="443"/>
      <c r="V260" s="674"/>
    </row>
    <row r="261" spans="2:25" s="32" customFormat="1" ht="17.25" thickBot="1" x14ac:dyDescent="0.35">
      <c r="B261" s="113"/>
      <c r="C261" s="114" t="str">
        <f>RAB!D62</f>
        <v>Pembesian sengkang</v>
      </c>
      <c r="D261" s="56"/>
      <c r="E261" s="213"/>
      <c r="F261" s="549"/>
      <c r="G261" s="213"/>
      <c r="H261" s="549"/>
      <c r="I261" s="213"/>
      <c r="J261" s="549"/>
      <c r="K261" s="181"/>
      <c r="L261" s="529"/>
      <c r="M261" s="182"/>
      <c r="N261" s="529"/>
      <c r="O261" s="181"/>
      <c r="P261" s="529"/>
      <c r="Q261" s="211"/>
      <c r="R261" s="529"/>
      <c r="S261" s="239"/>
      <c r="T261" s="54">
        <f>ROUNDDOWN(S266,2)</f>
        <v>27.23</v>
      </c>
      <c r="U261" s="50" t="s">
        <v>0</v>
      </c>
      <c r="V261" s="51"/>
    </row>
    <row r="262" spans="2:25" s="32" customFormat="1" x14ac:dyDescent="0.3">
      <c r="B262" s="113"/>
      <c r="C262" s="114"/>
      <c r="D262" s="52" t="s">
        <v>95</v>
      </c>
      <c r="E262" s="155" t="s">
        <v>150</v>
      </c>
      <c r="F262" s="505"/>
      <c r="G262" s="155" t="s">
        <v>151</v>
      </c>
      <c r="H262" s="505"/>
      <c r="I262" s="155" t="s">
        <v>152</v>
      </c>
      <c r="J262" s="505"/>
      <c r="K262" s="155" t="s">
        <v>153</v>
      </c>
      <c r="L262" s="506"/>
      <c r="M262" s="164" t="s">
        <v>32</v>
      </c>
      <c r="N262" s="506"/>
      <c r="O262" s="206" t="s">
        <v>163</v>
      </c>
      <c r="P262" s="506"/>
      <c r="Q262" s="207" t="s">
        <v>151</v>
      </c>
      <c r="R262" s="506"/>
      <c r="S262" s="230" t="s">
        <v>143</v>
      </c>
      <c r="T262" s="53"/>
      <c r="U262" s="50"/>
      <c r="V262" s="51"/>
      <c r="W262" s="120"/>
      <c r="Y262" s="120"/>
    </row>
    <row r="263" spans="2:25" s="32" customFormat="1" x14ac:dyDescent="0.3">
      <c r="B263" s="113"/>
      <c r="C263" s="114"/>
      <c r="D263" s="275" t="s">
        <v>237</v>
      </c>
      <c r="E263" s="578">
        <f>(0.44+0.19)*2+(2*6*0.01)</f>
        <v>1.38</v>
      </c>
      <c r="F263" s="594" t="s">
        <v>185</v>
      </c>
      <c r="G263" s="578"/>
      <c r="H263" s="604"/>
      <c r="I263" s="578"/>
      <c r="J263" s="604"/>
      <c r="K263" s="578">
        <f>ROUNDDOWN(W263,0.3)+1</f>
        <v>19</v>
      </c>
      <c r="L263" s="594" t="s">
        <v>185</v>
      </c>
      <c r="M263" s="578">
        <v>1</v>
      </c>
      <c r="N263" s="594" t="s">
        <v>185</v>
      </c>
      <c r="O263" s="578">
        <v>7850</v>
      </c>
      <c r="P263" s="594" t="s">
        <v>185</v>
      </c>
      <c r="Q263" s="1163">
        <f>22/7*0.005*0.005</f>
        <v>7.857142857142858E-5</v>
      </c>
      <c r="R263" s="594" t="s">
        <v>114</v>
      </c>
      <c r="S263" s="595">
        <f>E263*K263*M263*O263*Q263</f>
        <v>16.17212142857143</v>
      </c>
      <c r="T263" s="53"/>
      <c r="U263" s="50"/>
      <c r="V263" s="51"/>
      <c r="W263" s="120">
        <f>(E245/2)/0.1</f>
        <v>18</v>
      </c>
      <c r="X263" s="120"/>
      <c r="Y263" s="120"/>
    </row>
    <row r="264" spans="2:25" s="32" customFormat="1" x14ac:dyDescent="0.3">
      <c r="B264" s="113"/>
      <c r="C264" s="114"/>
      <c r="D264" s="1164" t="s">
        <v>237</v>
      </c>
      <c r="E264" s="1165">
        <f>(0.44+0.19)*2+(2*6*0.01)</f>
        <v>1.38</v>
      </c>
      <c r="F264" s="1166" t="s">
        <v>185</v>
      </c>
      <c r="G264" s="1165"/>
      <c r="H264" s="1167"/>
      <c r="I264" s="1165"/>
      <c r="J264" s="1167"/>
      <c r="K264" s="1165">
        <f>ROUNDDOWN(W264,0.3)+1</f>
        <v>13</v>
      </c>
      <c r="L264" s="1166" t="s">
        <v>185</v>
      </c>
      <c r="M264" s="1165">
        <v>1</v>
      </c>
      <c r="N264" s="1166" t="s">
        <v>185</v>
      </c>
      <c r="O264" s="1165">
        <v>7850</v>
      </c>
      <c r="P264" s="1166" t="s">
        <v>185</v>
      </c>
      <c r="Q264" s="1168">
        <f>22/7*0.005*0.005</f>
        <v>7.857142857142858E-5</v>
      </c>
      <c r="R264" s="1166" t="s">
        <v>114</v>
      </c>
      <c r="S264" s="1169">
        <f>E264*K264*M264*O264*Q264</f>
        <v>11.065135714285713</v>
      </c>
      <c r="T264" s="53"/>
      <c r="U264" s="50"/>
      <c r="V264" s="51"/>
      <c r="W264" s="120">
        <f>(E245/2)/0.15</f>
        <v>12</v>
      </c>
      <c r="X264" s="120"/>
      <c r="Y264" s="120"/>
    </row>
    <row r="265" spans="2:25" s="32" customFormat="1" x14ac:dyDescent="0.3">
      <c r="B265" s="113"/>
      <c r="C265" s="114"/>
      <c r="D265" s="49"/>
      <c r="E265" s="157"/>
      <c r="F265" s="598"/>
      <c r="G265" s="157"/>
      <c r="H265" s="598"/>
      <c r="I265" s="157"/>
      <c r="J265" s="598"/>
      <c r="K265" s="157"/>
      <c r="L265" s="598"/>
      <c r="M265" s="184"/>
      <c r="N265" s="598"/>
      <c r="O265" s="157"/>
      <c r="P265" s="598"/>
      <c r="Q265" s="209"/>
      <c r="R265" s="598"/>
      <c r="S265" s="237"/>
      <c r="T265" s="53"/>
      <c r="U265" s="50"/>
      <c r="V265" s="51"/>
    </row>
    <row r="266" spans="2:25" s="32" customFormat="1" ht="17.25" thickBot="1" x14ac:dyDescent="0.35">
      <c r="B266" s="113"/>
      <c r="C266" s="114"/>
      <c r="D266" s="3103" t="s">
        <v>164</v>
      </c>
      <c r="E266" s="3104"/>
      <c r="F266" s="3104"/>
      <c r="G266" s="3104"/>
      <c r="H266" s="3104"/>
      <c r="I266" s="3105"/>
      <c r="J266" s="548"/>
      <c r="K266" s="183"/>
      <c r="L266" s="532"/>
      <c r="M266" s="180"/>
      <c r="N266" s="532"/>
      <c r="O266" s="183"/>
      <c r="P266" s="532"/>
      <c r="Q266" s="210"/>
      <c r="R266" s="532"/>
      <c r="S266" s="240">
        <f>SUM(S263:S265)</f>
        <v>27.237257142857143</v>
      </c>
      <c r="T266" s="53"/>
      <c r="U266" s="50"/>
      <c r="V266" s="51"/>
    </row>
    <row r="267" spans="2:25" s="444" customFormat="1" x14ac:dyDescent="0.3">
      <c r="B267" s="468"/>
      <c r="C267" s="428"/>
      <c r="D267" s="462"/>
      <c r="E267" s="463"/>
      <c r="F267" s="488"/>
      <c r="G267" s="463"/>
      <c r="H267" s="488"/>
      <c r="I267" s="463"/>
      <c r="J267" s="488"/>
      <c r="K267" s="458"/>
      <c r="L267" s="487"/>
      <c r="M267" s="459"/>
      <c r="N267" s="487"/>
      <c r="O267" s="458"/>
      <c r="P267" s="487"/>
      <c r="Q267" s="460"/>
      <c r="R267" s="487"/>
      <c r="S267" s="470"/>
      <c r="T267" s="449"/>
      <c r="U267" s="443"/>
      <c r="V267" s="674"/>
    </row>
    <row r="268" spans="2:25" s="32" customFormat="1" ht="17.25" thickBot="1" x14ac:dyDescent="0.35">
      <c r="B268" s="113"/>
      <c r="C268" s="114" t="str">
        <f>RAB!D63</f>
        <v>Bekisting Balok</v>
      </c>
      <c r="D268" s="56"/>
      <c r="E268" s="213"/>
      <c r="F268" s="549"/>
      <c r="G268" s="213"/>
      <c r="H268" s="549"/>
      <c r="I268" s="213"/>
      <c r="J268" s="549"/>
      <c r="K268" s="181"/>
      <c r="L268" s="529"/>
      <c r="M268" s="182"/>
      <c r="N268" s="529"/>
      <c r="O268" s="181"/>
      <c r="P268" s="529"/>
      <c r="Q268" s="211"/>
      <c r="R268" s="529"/>
      <c r="S268" s="239"/>
      <c r="T268" s="54">
        <f>ROUNDDOWN(Q272,2)</f>
        <v>14.54</v>
      </c>
      <c r="U268" s="50" t="s">
        <v>2</v>
      </c>
      <c r="V268" s="51"/>
    </row>
    <row r="269" spans="2:25" s="32" customFormat="1" x14ac:dyDescent="0.3">
      <c r="B269" s="113"/>
      <c r="C269" s="114"/>
      <c r="D269" s="52" t="s">
        <v>95</v>
      </c>
      <c r="E269" s="155" t="s">
        <v>150</v>
      </c>
      <c r="F269" s="505"/>
      <c r="G269" s="155" t="s">
        <v>151</v>
      </c>
      <c r="H269" s="505"/>
      <c r="I269" s="155" t="s">
        <v>152</v>
      </c>
      <c r="J269" s="505"/>
      <c r="K269" s="155" t="s">
        <v>153</v>
      </c>
      <c r="L269" s="506"/>
      <c r="M269" s="164" t="s">
        <v>32</v>
      </c>
      <c r="N269" s="506"/>
      <c r="O269" s="206" t="s">
        <v>163</v>
      </c>
      <c r="P269" s="506"/>
      <c r="Q269" s="207" t="s">
        <v>151</v>
      </c>
      <c r="R269" s="506"/>
      <c r="S269" s="230" t="s">
        <v>143</v>
      </c>
      <c r="T269" s="53"/>
      <c r="U269" s="50"/>
      <c r="V269" s="51"/>
    </row>
    <row r="270" spans="2:25" s="32" customFormat="1" x14ac:dyDescent="0.3">
      <c r="B270" s="113"/>
      <c r="C270" s="114"/>
      <c r="D270" s="275" t="s">
        <v>156</v>
      </c>
      <c r="E270" s="578">
        <f>E245</f>
        <v>3.6</v>
      </c>
      <c r="F270" s="594" t="s">
        <v>185</v>
      </c>
      <c r="G270" s="578">
        <f>(2*I245)+G245</f>
        <v>1.01</v>
      </c>
      <c r="H270" s="594" t="s">
        <v>185</v>
      </c>
      <c r="I270" s="578"/>
      <c r="J270" s="594"/>
      <c r="K270" s="578">
        <f>K245</f>
        <v>4</v>
      </c>
      <c r="L270" s="594"/>
      <c r="M270" s="578"/>
      <c r="N270" s="594"/>
      <c r="O270" s="578"/>
      <c r="P270" s="594" t="s">
        <v>114</v>
      </c>
      <c r="Q270" s="578">
        <f>E270*G270*K270</f>
        <v>14.544</v>
      </c>
      <c r="R270" s="594"/>
      <c r="S270" s="595"/>
      <c r="T270" s="53"/>
      <c r="U270" s="50"/>
      <c r="V270" s="51"/>
    </row>
    <row r="271" spans="2:25" s="32" customFormat="1" x14ac:dyDescent="0.3">
      <c r="B271" s="113"/>
      <c r="C271" s="114"/>
      <c r="D271" s="282"/>
      <c r="E271" s="592"/>
      <c r="F271" s="593"/>
      <c r="G271" s="592"/>
      <c r="H271" s="593"/>
      <c r="I271" s="592"/>
      <c r="J271" s="593"/>
      <c r="K271" s="592"/>
      <c r="L271" s="593"/>
      <c r="M271" s="592"/>
      <c r="N271" s="593"/>
      <c r="O271" s="592"/>
      <c r="P271" s="593"/>
      <c r="Q271" s="592"/>
      <c r="R271" s="593"/>
      <c r="S271" s="599"/>
      <c r="T271" s="53"/>
      <c r="U271" s="50"/>
      <c r="V271" s="51"/>
    </row>
    <row r="272" spans="2:25" s="32" customFormat="1" ht="17.25" thickBot="1" x14ac:dyDescent="0.35">
      <c r="B272" s="113"/>
      <c r="C272" s="114"/>
      <c r="D272" s="3103" t="s">
        <v>164</v>
      </c>
      <c r="E272" s="3104"/>
      <c r="F272" s="3104"/>
      <c r="G272" s="3104"/>
      <c r="H272" s="3104"/>
      <c r="I272" s="3105"/>
      <c r="J272" s="548"/>
      <c r="K272" s="183"/>
      <c r="L272" s="532"/>
      <c r="M272" s="180"/>
      <c r="N272" s="532"/>
      <c r="O272" s="183"/>
      <c r="P272" s="532"/>
      <c r="Q272" s="601">
        <f>SUM(Q270:Q271)</f>
        <v>14.544</v>
      </c>
      <c r="R272" s="532"/>
      <c r="S272" s="240"/>
      <c r="T272" s="53"/>
      <c r="U272" s="50"/>
      <c r="V272" s="51"/>
    </row>
    <row r="273" spans="2:24" x14ac:dyDescent="0.3">
      <c r="B273" s="464"/>
      <c r="C273" s="465"/>
      <c r="D273" s="453"/>
      <c r="E273" s="455"/>
      <c r="F273" s="485"/>
      <c r="G273" s="455"/>
      <c r="H273" s="485"/>
      <c r="I273" s="455"/>
      <c r="J273" s="485"/>
      <c r="K273" s="438"/>
      <c r="L273" s="482"/>
      <c r="M273" s="439"/>
      <c r="N273" s="482"/>
      <c r="O273" s="438"/>
      <c r="P273" s="482"/>
      <c r="Q273" s="440"/>
      <c r="R273" s="482"/>
      <c r="S273" s="454"/>
    </row>
    <row r="274" spans="2:24" s="1" customFormat="1" x14ac:dyDescent="0.3">
      <c r="B274" s="1170">
        <f>RAB!B64</f>
        <v>9</v>
      </c>
      <c r="C274" s="60" t="str">
        <f>RAB!C64</f>
        <v>Balok 20x40 Cm (B2)</v>
      </c>
      <c r="D274" s="16"/>
      <c r="E274" s="216"/>
      <c r="F274" s="602"/>
      <c r="G274" s="216"/>
      <c r="H274" s="602"/>
      <c r="I274" s="216"/>
      <c r="J274" s="602"/>
      <c r="K274" s="181"/>
      <c r="L274" s="529"/>
      <c r="M274" s="182"/>
      <c r="N274" s="529"/>
      <c r="O274" s="181"/>
      <c r="P274" s="529"/>
      <c r="Q274" s="181"/>
      <c r="R274" s="529"/>
      <c r="S274" s="239"/>
      <c r="T274" s="66"/>
      <c r="U274" s="2"/>
      <c r="V274" s="43"/>
    </row>
    <row r="275" spans="2:24" s="1" customFormat="1" ht="17.25" thickBot="1" x14ac:dyDescent="0.35">
      <c r="B275" s="59"/>
      <c r="C275" s="60" t="str">
        <f>RAB!D65</f>
        <v xml:space="preserve">Beton mutu f'c=26,4 Mpa </v>
      </c>
      <c r="D275" s="16"/>
      <c r="E275" s="216"/>
      <c r="F275" s="602"/>
      <c r="G275" s="216"/>
      <c r="H275" s="602"/>
      <c r="I275" s="216"/>
      <c r="J275" s="602"/>
      <c r="K275" s="181"/>
      <c r="L275" s="529"/>
      <c r="M275" s="182"/>
      <c r="N275" s="529"/>
      <c r="O275" s="181"/>
      <c r="P275" s="529"/>
      <c r="Q275" s="181"/>
      <c r="R275" s="529"/>
      <c r="S275" s="239"/>
      <c r="T275" s="18">
        <f>ROUNDDOWN(S289,2)</f>
        <v>17.96</v>
      </c>
      <c r="U275" s="2" t="s">
        <v>3</v>
      </c>
      <c r="V275" s="43"/>
    </row>
    <row r="276" spans="2:24" s="1" customFormat="1" x14ac:dyDescent="0.3">
      <c r="B276" s="59"/>
      <c r="C276" s="60"/>
      <c r="D276" s="8" t="s">
        <v>95</v>
      </c>
      <c r="E276" s="155" t="s">
        <v>150</v>
      </c>
      <c r="F276" s="505"/>
      <c r="G276" s="155" t="s">
        <v>151</v>
      </c>
      <c r="H276" s="505"/>
      <c r="I276" s="155" t="s">
        <v>152</v>
      </c>
      <c r="J276" s="505"/>
      <c r="K276" s="155" t="s">
        <v>153</v>
      </c>
      <c r="L276" s="506"/>
      <c r="M276" s="164" t="s">
        <v>32</v>
      </c>
      <c r="N276" s="506"/>
      <c r="O276" s="206" t="s">
        <v>163</v>
      </c>
      <c r="P276" s="506"/>
      <c r="Q276" s="206" t="s">
        <v>151</v>
      </c>
      <c r="R276" s="506"/>
      <c r="S276" s="230" t="s">
        <v>143</v>
      </c>
      <c r="T276" s="66"/>
      <c r="U276" s="2"/>
      <c r="V276" s="43"/>
    </row>
    <row r="277" spans="2:24" s="1" customFormat="1" x14ac:dyDescent="0.3">
      <c r="B277" s="59"/>
      <c r="C277" s="60"/>
      <c r="D277" s="1173" t="s">
        <v>156</v>
      </c>
      <c r="E277" s="331">
        <f>4-0.4</f>
        <v>3.6</v>
      </c>
      <c r="F277" s="594" t="s">
        <v>185</v>
      </c>
      <c r="G277" s="578">
        <v>0.2</v>
      </c>
      <c r="H277" s="604" t="s">
        <v>185</v>
      </c>
      <c r="I277" s="578">
        <f>0.4-0.12</f>
        <v>0.28000000000000003</v>
      </c>
      <c r="J277" s="594"/>
      <c r="K277" s="578">
        <v>9</v>
      </c>
      <c r="L277" s="517" t="s">
        <v>185</v>
      </c>
      <c r="M277" s="578">
        <v>2</v>
      </c>
      <c r="N277" s="594"/>
      <c r="O277" s="578"/>
      <c r="P277" s="594"/>
      <c r="Q277" s="578"/>
      <c r="R277" s="594" t="s">
        <v>114</v>
      </c>
      <c r="S277" s="595">
        <f t="shared" ref="S277:S282" si="3">E277*G277*I277*K277*M277</f>
        <v>3.6288000000000005</v>
      </c>
      <c r="T277" s="66"/>
      <c r="U277" s="2"/>
      <c r="V277" s="43"/>
    </row>
    <row r="278" spans="2:24" s="1" customFormat="1" x14ac:dyDescent="0.3">
      <c r="B278" s="59"/>
      <c r="C278" s="60"/>
      <c r="D278" s="288"/>
      <c r="E278" s="1145">
        <f>4-0.4</f>
        <v>3.6</v>
      </c>
      <c r="F278" s="509" t="s">
        <v>185</v>
      </c>
      <c r="G278" s="328">
        <v>0.2</v>
      </c>
      <c r="H278" s="510" t="s">
        <v>185</v>
      </c>
      <c r="I278" s="328">
        <f>I277</f>
        <v>0.28000000000000003</v>
      </c>
      <c r="J278" s="509"/>
      <c r="K278" s="328">
        <v>6</v>
      </c>
      <c r="L278" s="517" t="s">
        <v>185</v>
      </c>
      <c r="M278" s="328">
        <v>2</v>
      </c>
      <c r="N278" s="509"/>
      <c r="O278" s="328"/>
      <c r="P278" s="509"/>
      <c r="Q278" s="328"/>
      <c r="R278" s="509" t="s">
        <v>114</v>
      </c>
      <c r="S278" s="596">
        <f t="shared" si="3"/>
        <v>2.4192000000000005</v>
      </c>
      <c r="T278" s="66"/>
      <c r="U278" s="2"/>
      <c r="V278" s="43"/>
      <c r="X278" s="325"/>
    </row>
    <row r="279" spans="2:24" s="1" customFormat="1" x14ac:dyDescent="0.3">
      <c r="B279" s="59"/>
      <c r="C279" s="60"/>
      <c r="D279" s="288"/>
      <c r="E279" s="1145">
        <f>4-0.4</f>
        <v>3.6</v>
      </c>
      <c r="F279" s="509" t="s">
        <v>185</v>
      </c>
      <c r="G279" s="328">
        <v>0.2</v>
      </c>
      <c r="H279" s="510" t="s">
        <v>185</v>
      </c>
      <c r="I279" s="328">
        <f>I278</f>
        <v>0.28000000000000003</v>
      </c>
      <c r="J279" s="509"/>
      <c r="K279" s="328">
        <v>8</v>
      </c>
      <c r="L279" s="517" t="s">
        <v>185</v>
      </c>
      <c r="M279" s="328">
        <v>2</v>
      </c>
      <c r="N279" s="509"/>
      <c r="O279" s="328"/>
      <c r="P279" s="509"/>
      <c r="Q279" s="328"/>
      <c r="R279" s="509" t="s">
        <v>114</v>
      </c>
      <c r="S279" s="596">
        <f t="shared" si="3"/>
        <v>3.2256000000000005</v>
      </c>
      <c r="T279" s="66"/>
      <c r="U279" s="2"/>
      <c r="V279" s="43"/>
    </row>
    <row r="280" spans="2:24" s="1" customFormat="1" x14ac:dyDescent="0.3">
      <c r="B280" s="59"/>
      <c r="C280" s="60"/>
      <c r="D280" s="138" t="s">
        <v>157</v>
      </c>
      <c r="E280" s="1145">
        <f>4-0.4</f>
        <v>3.6</v>
      </c>
      <c r="F280" s="509" t="s">
        <v>185</v>
      </c>
      <c r="G280" s="328">
        <v>0.2</v>
      </c>
      <c r="H280" s="510" t="s">
        <v>185</v>
      </c>
      <c r="I280" s="328">
        <f>I279</f>
        <v>0.28000000000000003</v>
      </c>
      <c r="J280" s="509"/>
      <c r="K280" s="328">
        <v>5</v>
      </c>
      <c r="L280" s="517" t="s">
        <v>185</v>
      </c>
      <c r="M280" s="328">
        <v>2</v>
      </c>
      <c r="N280" s="509"/>
      <c r="O280" s="328"/>
      <c r="P280" s="509"/>
      <c r="Q280" s="328"/>
      <c r="R280" s="509" t="s">
        <v>114</v>
      </c>
      <c r="S280" s="596">
        <f t="shared" si="3"/>
        <v>2.0160000000000005</v>
      </c>
      <c r="T280" s="66"/>
      <c r="U280" s="2"/>
      <c r="V280" s="43"/>
    </row>
    <row r="281" spans="2:24" s="1" customFormat="1" x14ac:dyDescent="0.3">
      <c r="B281" s="59"/>
      <c r="C281" s="60"/>
      <c r="D281" s="288"/>
      <c r="E281" s="1145">
        <f>4-0.4</f>
        <v>3.6</v>
      </c>
      <c r="F281" s="509" t="s">
        <v>185</v>
      </c>
      <c r="G281" s="328">
        <v>0.2</v>
      </c>
      <c r="H281" s="510" t="s">
        <v>185</v>
      </c>
      <c r="I281" s="328">
        <f>I280</f>
        <v>0.28000000000000003</v>
      </c>
      <c r="J281" s="509"/>
      <c r="K281" s="328">
        <v>8</v>
      </c>
      <c r="L281" s="517" t="s">
        <v>185</v>
      </c>
      <c r="M281" s="328">
        <v>4</v>
      </c>
      <c r="N281" s="509"/>
      <c r="O281" s="328"/>
      <c r="P281" s="509"/>
      <c r="Q281" s="328"/>
      <c r="R281" s="509" t="s">
        <v>1323</v>
      </c>
      <c r="S281" s="596">
        <f t="shared" si="3"/>
        <v>6.4512000000000009</v>
      </c>
      <c r="T281" s="66"/>
      <c r="U281" s="2"/>
      <c r="V281" s="43"/>
      <c r="X281" s="325"/>
    </row>
    <row r="282" spans="2:24" s="1" customFormat="1" x14ac:dyDescent="0.3">
      <c r="B282" s="59"/>
      <c r="C282" s="60"/>
      <c r="D282" s="288"/>
      <c r="E282" s="1174">
        <f>1.5-0.125</f>
        <v>1.375</v>
      </c>
      <c r="F282" s="509" t="s">
        <v>185</v>
      </c>
      <c r="G282" s="328">
        <v>0.2</v>
      </c>
      <c r="H282" s="510" t="s">
        <v>185</v>
      </c>
      <c r="I282" s="328">
        <f>I281</f>
        <v>0.28000000000000003</v>
      </c>
      <c r="J282" s="509"/>
      <c r="K282" s="328">
        <v>4</v>
      </c>
      <c r="L282" s="517" t="s">
        <v>185</v>
      </c>
      <c r="M282" s="328">
        <v>4</v>
      </c>
      <c r="N282" s="509"/>
      <c r="O282" s="328"/>
      <c r="P282" s="509"/>
      <c r="Q282" s="328"/>
      <c r="R282" s="509" t="s">
        <v>1323</v>
      </c>
      <c r="S282" s="596">
        <f t="shared" si="3"/>
        <v>1.2320000000000002</v>
      </c>
      <c r="T282" s="66"/>
      <c r="U282" s="2"/>
      <c r="V282" s="43"/>
      <c r="X282" s="325"/>
    </row>
    <row r="283" spans="2:24" s="1" customFormat="1" x14ac:dyDescent="0.3">
      <c r="B283" s="59"/>
      <c r="C283" s="60"/>
      <c r="D283" s="288"/>
      <c r="E283" s="1174"/>
      <c r="F283" s="509"/>
      <c r="G283" s="328"/>
      <c r="H283" s="510"/>
      <c r="I283" s="328"/>
      <c r="J283" s="509"/>
      <c r="K283" s="328"/>
      <c r="L283" s="517"/>
      <c r="M283" s="328"/>
      <c r="N283" s="509"/>
      <c r="O283" s="328"/>
      <c r="P283" s="509"/>
      <c r="Q283" s="328"/>
      <c r="R283" s="509"/>
      <c r="S283" s="1176">
        <f>SUM(S277:S282)</f>
        <v>18.972800000000003</v>
      </c>
      <c r="T283" s="66"/>
      <c r="U283" s="2"/>
      <c r="V283" s="43"/>
      <c r="X283" s="325"/>
    </row>
    <row r="284" spans="2:24" x14ac:dyDescent="0.3">
      <c r="B284" s="341"/>
      <c r="C284" s="342"/>
      <c r="D284" s="138" t="s">
        <v>244</v>
      </c>
      <c r="E284" s="328"/>
      <c r="F284" s="509"/>
      <c r="G284" s="328"/>
      <c r="H284" s="509"/>
      <c r="I284" s="328"/>
      <c r="J284" s="509"/>
      <c r="K284" s="328"/>
      <c r="L284" s="509"/>
      <c r="M284" s="328"/>
      <c r="N284" s="509"/>
      <c r="O284" s="328"/>
      <c r="P284" s="517"/>
      <c r="Q284" s="328"/>
      <c r="R284" s="517"/>
      <c r="S284" s="519"/>
    </row>
    <row r="285" spans="2:24" x14ac:dyDescent="0.3">
      <c r="B285" s="341"/>
      <c r="C285" s="342"/>
      <c r="D285" s="140" t="s">
        <v>733</v>
      </c>
      <c r="E285" s="328"/>
      <c r="F285" s="509"/>
      <c r="G285" s="328"/>
      <c r="H285" s="509"/>
      <c r="I285" s="328"/>
      <c r="J285" s="509"/>
      <c r="K285" s="328">
        <f>S311</f>
        <v>5848.3838537142856</v>
      </c>
      <c r="L285" s="517" t="s">
        <v>253</v>
      </c>
      <c r="M285" s="328"/>
      <c r="N285" s="517"/>
      <c r="O285" s="328">
        <v>7850</v>
      </c>
      <c r="P285" s="517"/>
      <c r="Q285" s="328"/>
      <c r="R285" s="509" t="s">
        <v>1323</v>
      </c>
      <c r="S285" s="519">
        <f>K285/O285</f>
        <v>0.74501705142857144</v>
      </c>
    </row>
    <row r="286" spans="2:24" s="1" customFormat="1" x14ac:dyDescent="0.3">
      <c r="B286" s="59"/>
      <c r="C286" s="60"/>
      <c r="D286" s="140" t="s">
        <v>734</v>
      </c>
      <c r="E286" s="328"/>
      <c r="F286" s="509"/>
      <c r="G286" s="328"/>
      <c r="H286" s="509"/>
      <c r="I286" s="328"/>
      <c r="J286" s="509"/>
      <c r="K286" s="328">
        <f>S322</f>
        <v>2083.6501714285719</v>
      </c>
      <c r="L286" s="517" t="s">
        <v>253</v>
      </c>
      <c r="M286" s="328"/>
      <c r="N286" s="517"/>
      <c r="O286" s="328">
        <f>O285</f>
        <v>7850</v>
      </c>
      <c r="P286" s="517"/>
      <c r="Q286" s="328"/>
      <c r="R286" s="509" t="s">
        <v>1323</v>
      </c>
      <c r="S286" s="519">
        <f>K286/O286</f>
        <v>0.26543314285714292</v>
      </c>
      <c r="T286" s="66"/>
      <c r="U286" s="2"/>
      <c r="V286" s="43"/>
    </row>
    <row r="287" spans="2:24" s="1" customFormat="1" x14ac:dyDescent="0.3">
      <c r="B287" s="59"/>
      <c r="C287" s="60"/>
      <c r="D287" s="555"/>
      <c r="E287" s="554"/>
      <c r="F287" s="556"/>
      <c r="G287" s="554"/>
      <c r="H287" s="556"/>
      <c r="I287" s="554"/>
      <c r="J287" s="556"/>
      <c r="K287" s="554"/>
      <c r="L287" s="526"/>
      <c r="M287" s="554"/>
      <c r="N287" s="526"/>
      <c r="O287" s="554"/>
      <c r="P287" s="526"/>
      <c r="Q287" s="554"/>
      <c r="R287" s="526"/>
      <c r="S287" s="1177">
        <f>SUM(S285:S286)</f>
        <v>1.0104501942857143</v>
      </c>
      <c r="T287" s="66"/>
      <c r="U287" s="2"/>
      <c r="V287" s="43"/>
    </row>
    <row r="288" spans="2:24" x14ac:dyDescent="0.3">
      <c r="B288" s="341"/>
      <c r="C288" s="342"/>
      <c r="D288" s="466"/>
      <c r="E288" s="580"/>
      <c r="F288" s="581"/>
      <c r="G288" s="580"/>
      <c r="H288" s="581"/>
      <c r="I288" s="580"/>
      <c r="J288" s="581"/>
      <c r="K288" s="580"/>
      <c r="L288" s="581"/>
      <c r="M288" s="503"/>
      <c r="N288" s="581"/>
      <c r="O288" s="580"/>
      <c r="P288" s="581"/>
      <c r="Q288" s="580"/>
      <c r="R288" s="581"/>
      <c r="S288" s="550"/>
    </row>
    <row r="289" spans="2:24" s="1" customFormat="1" ht="17.25" thickBot="1" x14ac:dyDescent="0.35">
      <c r="B289" s="59"/>
      <c r="C289" s="60"/>
      <c r="D289" s="3093" t="s">
        <v>164</v>
      </c>
      <c r="E289" s="3093"/>
      <c r="F289" s="3093"/>
      <c r="G289" s="3093"/>
      <c r="H289" s="3093"/>
      <c r="I289" s="3093"/>
      <c r="J289" s="524"/>
      <c r="K289" s="183"/>
      <c r="L289" s="532"/>
      <c r="M289" s="180"/>
      <c r="N289" s="532"/>
      <c r="O289" s="183"/>
      <c r="P289" s="532"/>
      <c r="Q289" s="183"/>
      <c r="R289" s="532"/>
      <c r="S289" s="240">
        <f>S283-S287</f>
        <v>17.96234980571429</v>
      </c>
      <c r="T289" s="66"/>
      <c r="U289" s="2"/>
      <c r="V289" s="43"/>
    </row>
    <row r="290" spans="2:24" x14ac:dyDescent="0.3">
      <c r="B290" s="341"/>
      <c r="C290" s="342"/>
      <c r="D290" s="343"/>
      <c r="E290" s="471"/>
      <c r="F290" s="489"/>
      <c r="G290" s="471"/>
      <c r="H290" s="489"/>
      <c r="I290" s="471"/>
      <c r="J290" s="489"/>
      <c r="K290" s="458"/>
      <c r="L290" s="487"/>
      <c r="M290" s="459"/>
      <c r="N290" s="487"/>
      <c r="O290" s="458"/>
      <c r="P290" s="487"/>
      <c r="Q290" s="458"/>
      <c r="R290" s="487"/>
      <c r="S290" s="470"/>
    </row>
    <row r="291" spans="2:24" s="1" customFormat="1" ht="17.25" thickBot="1" x14ac:dyDescent="0.35">
      <c r="B291" s="59"/>
      <c r="C291" s="60" t="str">
        <f>RAB!D66</f>
        <v>Pembesian Ulir</v>
      </c>
      <c r="D291" s="16"/>
      <c r="E291" s="216"/>
      <c r="F291" s="602"/>
      <c r="G291" s="216"/>
      <c r="H291" s="602"/>
      <c r="I291" s="216"/>
      <c r="J291" s="602"/>
      <c r="K291" s="181"/>
      <c r="L291" s="529"/>
      <c r="M291" s="182"/>
      <c r="N291" s="529"/>
      <c r="O291" s="181"/>
      <c r="P291" s="529"/>
      <c r="Q291" s="181"/>
      <c r="R291" s="529"/>
      <c r="S291" s="239"/>
      <c r="T291" s="18">
        <f>ROUNDDOWN(S311,2)</f>
        <v>5848.38</v>
      </c>
      <c r="U291" s="2" t="s">
        <v>0</v>
      </c>
      <c r="V291" s="43"/>
      <c r="X291" s="37"/>
    </row>
    <row r="292" spans="2:24" s="1" customFormat="1" x14ac:dyDescent="0.3">
      <c r="B292" s="59"/>
      <c r="C292" s="60"/>
      <c r="D292" s="8" t="s">
        <v>95</v>
      </c>
      <c r="E292" s="155" t="s">
        <v>150</v>
      </c>
      <c r="F292" s="505"/>
      <c r="G292" s="155" t="s">
        <v>151</v>
      </c>
      <c r="H292" s="505"/>
      <c r="I292" s="155" t="s">
        <v>152</v>
      </c>
      <c r="J292" s="505"/>
      <c r="K292" s="155" t="s">
        <v>153</v>
      </c>
      <c r="L292" s="506"/>
      <c r="M292" s="164" t="s">
        <v>32</v>
      </c>
      <c r="N292" s="506"/>
      <c r="O292" s="206" t="s">
        <v>163</v>
      </c>
      <c r="P292" s="506"/>
      <c r="Q292" s="206" t="s">
        <v>151</v>
      </c>
      <c r="R292" s="506"/>
      <c r="S292" s="230" t="s">
        <v>143</v>
      </c>
      <c r="T292" s="66"/>
      <c r="U292" s="2"/>
      <c r="V292" s="43"/>
      <c r="W292" s="325"/>
    </row>
    <row r="293" spans="2:24" x14ac:dyDescent="0.3">
      <c r="B293" s="341"/>
      <c r="C293" s="342"/>
      <c r="D293" s="277" t="s">
        <v>1327</v>
      </c>
      <c r="E293" s="328">
        <v>4</v>
      </c>
      <c r="F293" s="509" t="s">
        <v>185</v>
      </c>
      <c r="G293" s="328"/>
      <c r="H293" s="510"/>
      <c r="I293" s="328"/>
      <c r="J293" s="510"/>
      <c r="K293" s="328">
        <v>6</v>
      </c>
      <c r="L293" s="509" t="s">
        <v>185</v>
      </c>
      <c r="M293" s="328">
        <f>K277*M277</f>
        <v>18</v>
      </c>
      <c r="N293" s="509" t="s">
        <v>185</v>
      </c>
      <c r="O293" s="328">
        <v>7850</v>
      </c>
      <c r="P293" s="509" t="s">
        <v>185</v>
      </c>
      <c r="Q293" s="1162">
        <f>22/7*0.008*0.008</f>
        <v>2.0114285714285715E-4</v>
      </c>
      <c r="R293" s="509" t="s">
        <v>114</v>
      </c>
      <c r="S293" s="596">
        <f t="shared" ref="S293:S301" si="4">E293*K293*M293*O293*Q293</f>
        <v>682.11565714285712</v>
      </c>
      <c r="T293" s="53"/>
      <c r="U293" s="50"/>
      <c r="V293" s="51"/>
    </row>
    <row r="294" spans="2:24" x14ac:dyDescent="0.3">
      <c r="B294" s="341"/>
      <c r="C294" s="342"/>
      <c r="D294" s="279" t="s">
        <v>1320</v>
      </c>
      <c r="E294" s="534">
        <f>V294/2+(40*0.016*2)</f>
        <v>3.2800000000000002</v>
      </c>
      <c r="F294" s="514" t="s">
        <v>185</v>
      </c>
      <c r="G294" s="172"/>
      <c r="H294" s="543"/>
      <c r="I294" s="172"/>
      <c r="J294" s="543"/>
      <c r="K294" s="328">
        <v>3</v>
      </c>
      <c r="L294" s="514" t="s">
        <v>185</v>
      </c>
      <c r="M294" s="534">
        <f>M293</f>
        <v>18</v>
      </c>
      <c r="N294" s="514" t="s">
        <v>185</v>
      </c>
      <c r="O294" s="328">
        <v>7850</v>
      </c>
      <c r="P294" s="509" t="s">
        <v>185</v>
      </c>
      <c r="Q294" s="607">
        <f>Q293</f>
        <v>2.0114285714285715E-4</v>
      </c>
      <c r="R294" s="514" t="s">
        <v>114</v>
      </c>
      <c r="S294" s="596">
        <f t="shared" si="4"/>
        <v>279.66741942857141</v>
      </c>
      <c r="T294" s="53"/>
      <c r="U294" s="50"/>
      <c r="V294" s="51">
        <v>4</v>
      </c>
    </row>
    <row r="295" spans="2:24" x14ac:dyDescent="0.3">
      <c r="B295" s="341"/>
      <c r="C295" s="342"/>
      <c r="D295" s="279" t="s">
        <v>1321</v>
      </c>
      <c r="E295" s="534">
        <f>V295/2</f>
        <v>2</v>
      </c>
      <c r="F295" s="514" t="s">
        <v>185</v>
      </c>
      <c r="G295" s="172"/>
      <c r="H295" s="543"/>
      <c r="I295" s="172"/>
      <c r="J295" s="543"/>
      <c r="K295" s="328">
        <v>3</v>
      </c>
      <c r="L295" s="514" t="s">
        <v>185</v>
      </c>
      <c r="M295" s="534">
        <f>M294</f>
        <v>18</v>
      </c>
      <c r="N295" s="514" t="s">
        <v>185</v>
      </c>
      <c r="O295" s="328">
        <v>7850</v>
      </c>
      <c r="P295" s="509" t="s">
        <v>185</v>
      </c>
      <c r="Q295" s="607">
        <f>Q294</f>
        <v>2.0114285714285715E-4</v>
      </c>
      <c r="R295" s="514" t="s">
        <v>114</v>
      </c>
      <c r="S295" s="596">
        <f t="shared" si="4"/>
        <v>170.52891428571428</v>
      </c>
      <c r="T295" s="1175">
        <f>SUM(S293:S295)</f>
        <v>1132.3119908571427</v>
      </c>
      <c r="U295" s="50"/>
      <c r="V295" s="51">
        <v>4</v>
      </c>
    </row>
    <row r="296" spans="2:24" x14ac:dyDescent="0.3">
      <c r="B296" s="341"/>
      <c r="C296" s="342"/>
      <c r="D296" s="281" t="s">
        <v>1327</v>
      </c>
      <c r="E296" s="328">
        <v>4</v>
      </c>
      <c r="F296" s="509" t="s">
        <v>185</v>
      </c>
      <c r="G296" s="328"/>
      <c r="H296" s="510"/>
      <c r="I296" s="328"/>
      <c r="J296" s="510"/>
      <c r="K296" s="328">
        <v>6</v>
      </c>
      <c r="L296" s="509" t="s">
        <v>185</v>
      </c>
      <c r="M296" s="328">
        <f>K278*M278</f>
        <v>12</v>
      </c>
      <c r="N296" s="509" t="s">
        <v>185</v>
      </c>
      <c r="O296" s="328">
        <v>7850</v>
      </c>
      <c r="P296" s="509" t="s">
        <v>185</v>
      </c>
      <c r="Q296" s="1162">
        <f>22/7*0.008*0.008</f>
        <v>2.0114285714285715E-4</v>
      </c>
      <c r="R296" s="509" t="s">
        <v>114</v>
      </c>
      <c r="S296" s="596">
        <f t="shared" si="4"/>
        <v>454.74377142857145</v>
      </c>
      <c r="T296" s="53"/>
      <c r="U296" s="50"/>
      <c r="V296" s="51"/>
    </row>
    <row r="297" spans="2:24" x14ac:dyDescent="0.3">
      <c r="B297" s="341"/>
      <c r="C297" s="342"/>
      <c r="D297" s="279" t="s">
        <v>1320</v>
      </c>
      <c r="E297" s="534">
        <f>V297/2+(40*0.016*2)</f>
        <v>3.2800000000000002</v>
      </c>
      <c r="F297" s="514" t="s">
        <v>185</v>
      </c>
      <c r="G297" s="172"/>
      <c r="H297" s="543"/>
      <c r="I297" s="172"/>
      <c r="J297" s="543"/>
      <c r="K297" s="328">
        <v>3</v>
      </c>
      <c r="L297" s="514" t="s">
        <v>185</v>
      </c>
      <c r="M297" s="534">
        <f>M296</f>
        <v>12</v>
      </c>
      <c r="N297" s="514" t="s">
        <v>185</v>
      </c>
      <c r="O297" s="328">
        <v>7850</v>
      </c>
      <c r="P297" s="509" t="s">
        <v>185</v>
      </c>
      <c r="Q297" s="607">
        <f>Q296</f>
        <v>2.0114285714285715E-4</v>
      </c>
      <c r="R297" s="514" t="s">
        <v>114</v>
      </c>
      <c r="S297" s="596">
        <f t="shared" si="4"/>
        <v>186.44494628571428</v>
      </c>
      <c r="T297" s="53"/>
      <c r="U297" s="50"/>
      <c r="V297" s="51">
        <v>4</v>
      </c>
    </row>
    <row r="298" spans="2:24" x14ac:dyDescent="0.3">
      <c r="B298" s="341"/>
      <c r="C298" s="342"/>
      <c r="D298" s="279" t="s">
        <v>1321</v>
      </c>
      <c r="E298" s="534">
        <f>V298/2</f>
        <v>2</v>
      </c>
      <c r="F298" s="514" t="s">
        <v>185</v>
      </c>
      <c r="G298" s="172"/>
      <c r="H298" s="543"/>
      <c r="I298" s="172"/>
      <c r="J298" s="543"/>
      <c r="K298" s="328">
        <v>3</v>
      </c>
      <c r="L298" s="514" t="s">
        <v>185</v>
      </c>
      <c r="M298" s="534">
        <f>M297</f>
        <v>12</v>
      </c>
      <c r="N298" s="514" t="s">
        <v>185</v>
      </c>
      <c r="O298" s="328">
        <v>7850</v>
      </c>
      <c r="P298" s="509" t="s">
        <v>185</v>
      </c>
      <c r="Q298" s="607">
        <f>Q297</f>
        <v>2.0114285714285715E-4</v>
      </c>
      <c r="R298" s="514" t="s">
        <v>114</v>
      </c>
      <c r="S298" s="596">
        <f t="shared" si="4"/>
        <v>113.68594285714286</v>
      </c>
      <c r="T298" s="53"/>
      <c r="U298" s="50"/>
      <c r="V298" s="51">
        <v>4</v>
      </c>
    </row>
    <row r="299" spans="2:24" x14ac:dyDescent="0.3">
      <c r="B299" s="341"/>
      <c r="C299" s="342"/>
      <c r="D299" s="281" t="s">
        <v>1327</v>
      </c>
      <c r="E299" s="328">
        <v>4</v>
      </c>
      <c r="F299" s="509" t="s">
        <v>185</v>
      </c>
      <c r="G299" s="328"/>
      <c r="H299" s="510"/>
      <c r="I299" s="328"/>
      <c r="J299" s="510"/>
      <c r="K299" s="328">
        <v>6</v>
      </c>
      <c r="L299" s="509" t="s">
        <v>185</v>
      </c>
      <c r="M299" s="328">
        <f>K279*M279</f>
        <v>16</v>
      </c>
      <c r="N299" s="509" t="s">
        <v>185</v>
      </c>
      <c r="O299" s="328">
        <v>7850</v>
      </c>
      <c r="P299" s="509" t="s">
        <v>185</v>
      </c>
      <c r="Q299" s="1162">
        <f>22/7*0.008*0.008</f>
        <v>2.0114285714285715E-4</v>
      </c>
      <c r="R299" s="509" t="s">
        <v>114</v>
      </c>
      <c r="S299" s="596">
        <f t="shared" si="4"/>
        <v>606.32502857142856</v>
      </c>
      <c r="T299" s="53"/>
      <c r="U299" s="50"/>
      <c r="V299" s="51"/>
    </row>
    <row r="300" spans="2:24" x14ac:dyDescent="0.3">
      <c r="B300" s="341"/>
      <c r="C300" s="342"/>
      <c r="D300" s="279" t="s">
        <v>1320</v>
      </c>
      <c r="E300" s="534">
        <f>V300/2+(40*0.016*2)</f>
        <v>3.2800000000000002</v>
      </c>
      <c r="F300" s="514" t="s">
        <v>185</v>
      </c>
      <c r="G300" s="172"/>
      <c r="H300" s="543"/>
      <c r="I300" s="172"/>
      <c r="J300" s="543"/>
      <c r="K300" s="328">
        <v>3</v>
      </c>
      <c r="L300" s="514" t="s">
        <v>185</v>
      </c>
      <c r="M300" s="534">
        <f>M299</f>
        <v>16</v>
      </c>
      <c r="N300" s="514" t="s">
        <v>185</v>
      </c>
      <c r="O300" s="328">
        <v>7850</v>
      </c>
      <c r="P300" s="509" t="s">
        <v>185</v>
      </c>
      <c r="Q300" s="607">
        <f>Q299</f>
        <v>2.0114285714285715E-4</v>
      </c>
      <c r="R300" s="514" t="s">
        <v>114</v>
      </c>
      <c r="S300" s="596">
        <f t="shared" si="4"/>
        <v>248.59326171428572</v>
      </c>
      <c r="T300" s="53"/>
      <c r="U300" s="50"/>
      <c r="V300" s="51">
        <v>4</v>
      </c>
    </row>
    <row r="301" spans="2:24" x14ac:dyDescent="0.3">
      <c r="B301" s="341"/>
      <c r="C301" s="342"/>
      <c r="D301" s="279" t="s">
        <v>1321</v>
      </c>
      <c r="E301" s="534">
        <f>V301/2</f>
        <v>2</v>
      </c>
      <c r="F301" s="514" t="s">
        <v>185</v>
      </c>
      <c r="G301" s="172"/>
      <c r="H301" s="543"/>
      <c r="I301" s="172"/>
      <c r="J301" s="543"/>
      <c r="K301" s="328">
        <v>3</v>
      </c>
      <c r="L301" s="514" t="s">
        <v>185</v>
      </c>
      <c r="M301" s="534">
        <f>M300</f>
        <v>16</v>
      </c>
      <c r="N301" s="514" t="s">
        <v>185</v>
      </c>
      <c r="O301" s="328">
        <v>7850</v>
      </c>
      <c r="P301" s="509" t="s">
        <v>185</v>
      </c>
      <c r="Q301" s="607">
        <f>Q300</f>
        <v>2.0114285714285715E-4</v>
      </c>
      <c r="R301" s="514" t="s">
        <v>114</v>
      </c>
      <c r="S301" s="596">
        <f t="shared" si="4"/>
        <v>151.58125714285714</v>
      </c>
      <c r="T301" s="53"/>
      <c r="U301" s="50"/>
      <c r="V301" s="51">
        <v>4</v>
      </c>
    </row>
    <row r="302" spans="2:24" x14ac:dyDescent="0.3">
      <c r="B302" s="341"/>
      <c r="C302" s="342"/>
      <c r="D302" s="279"/>
      <c r="E302" s="534"/>
      <c r="F302" s="514"/>
      <c r="G302" s="172"/>
      <c r="H302" s="543"/>
      <c r="I302" s="172"/>
      <c r="J302" s="543"/>
      <c r="K302" s="328"/>
      <c r="L302" s="514"/>
      <c r="M302" s="534"/>
      <c r="N302" s="514"/>
      <c r="O302" s="328"/>
      <c r="P302" s="509"/>
      <c r="Q302" s="607"/>
      <c r="R302" s="514"/>
      <c r="S302" s="596"/>
      <c r="T302" s="53"/>
      <c r="U302" s="50"/>
      <c r="V302" s="51"/>
    </row>
    <row r="303" spans="2:24" x14ac:dyDescent="0.3">
      <c r="B303" s="341"/>
      <c r="C303" s="342"/>
      <c r="D303" s="281" t="s">
        <v>1328</v>
      </c>
      <c r="E303" s="328">
        <v>4</v>
      </c>
      <c r="F303" s="509" t="s">
        <v>185</v>
      </c>
      <c r="G303" s="328"/>
      <c r="H303" s="510"/>
      <c r="I303" s="328"/>
      <c r="J303" s="510"/>
      <c r="K303" s="328">
        <v>6</v>
      </c>
      <c r="L303" s="509" t="s">
        <v>185</v>
      </c>
      <c r="M303" s="328">
        <f>K280*M280</f>
        <v>10</v>
      </c>
      <c r="N303" s="509" t="s">
        <v>185</v>
      </c>
      <c r="O303" s="328">
        <v>7850</v>
      </c>
      <c r="P303" s="509" t="s">
        <v>185</v>
      </c>
      <c r="Q303" s="1162">
        <f>22/7*0.008*0.008</f>
        <v>2.0114285714285715E-4</v>
      </c>
      <c r="R303" s="509" t="s">
        <v>114</v>
      </c>
      <c r="S303" s="596">
        <f t="shared" ref="S303:S309" si="5">E303*K303*M303*O303*Q303</f>
        <v>378.95314285714284</v>
      </c>
      <c r="T303" s="53"/>
      <c r="U303" s="50"/>
      <c r="V303" s="51"/>
    </row>
    <row r="304" spans="2:24" x14ac:dyDescent="0.3">
      <c r="B304" s="341"/>
      <c r="C304" s="342"/>
      <c r="D304" s="279" t="s">
        <v>1320</v>
      </c>
      <c r="E304" s="534">
        <f>V304/2+(40*0.016*2)</f>
        <v>3.2800000000000002</v>
      </c>
      <c r="F304" s="514" t="s">
        <v>185</v>
      </c>
      <c r="G304" s="172"/>
      <c r="H304" s="543"/>
      <c r="I304" s="172"/>
      <c r="J304" s="543"/>
      <c r="K304" s="328">
        <v>3</v>
      </c>
      <c r="L304" s="514" t="s">
        <v>185</v>
      </c>
      <c r="M304" s="534">
        <f>M303</f>
        <v>10</v>
      </c>
      <c r="N304" s="514" t="s">
        <v>185</v>
      </c>
      <c r="O304" s="328">
        <v>7850</v>
      </c>
      <c r="P304" s="509" t="s">
        <v>185</v>
      </c>
      <c r="Q304" s="607">
        <f>Q303</f>
        <v>2.0114285714285715E-4</v>
      </c>
      <c r="R304" s="514" t="s">
        <v>114</v>
      </c>
      <c r="S304" s="596">
        <f t="shared" si="5"/>
        <v>155.37078857142856</v>
      </c>
      <c r="T304" s="53"/>
      <c r="U304" s="50"/>
      <c r="V304" s="51">
        <v>4</v>
      </c>
    </row>
    <row r="305" spans="2:25" x14ac:dyDescent="0.3">
      <c r="B305" s="341"/>
      <c r="C305" s="342"/>
      <c r="D305" s="279" t="s">
        <v>1321</v>
      </c>
      <c r="E305" s="534">
        <f>V305/2</f>
        <v>2</v>
      </c>
      <c r="F305" s="514" t="s">
        <v>185</v>
      </c>
      <c r="G305" s="172"/>
      <c r="H305" s="543"/>
      <c r="I305" s="172"/>
      <c r="J305" s="543"/>
      <c r="K305" s="328">
        <v>3</v>
      </c>
      <c r="L305" s="514" t="s">
        <v>185</v>
      </c>
      <c r="M305" s="534">
        <f>M304</f>
        <v>10</v>
      </c>
      <c r="N305" s="514" t="s">
        <v>185</v>
      </c>
      <c r="O305" s="328">
        <v>7850</v>
      </c>
      <c r="P305" s="509" t="s">
        <v>185</v>
      </c>
      <c r="Q305" s="607">
        <f>Q304</f>
        <v>2.0114285714285715E-4</v>
      </c>
      <c r="R305" s="514" t="s">
        <v>114</v>
      </c>
      <c r="S305" s="596">
        <f t="shared" si="5"/>
        <v>94.738285714285709</v>
      </c>
      <c r="T305" s="53"/>
      <c r="U305" s="50"/>
      <c r="V305" s="51">
        <v>4</v>
      </c>
    </row>
    <row r="306" spans="2:25" x14ac:dyDescent="0.3">
      <c r="B306" s="341"/>
      <c r="C306" s="342"/>
      <c r="D306" s="281" t="s">
        <v>1328</v>
      </c>
      <c r="E306" s="328">
        <v>4</v>
      </c>
      <c r="F306" s="509" t="s">
        <v>185</v>
      </c>
      <c r="G306" s="328"/>
      <c r="H306" s="510"/>
      <c r="I306" s="328"/>
      <c r="J306" s="510"/>
      <c r="K306" s="328">
        <v>6</v>
      </c>
      <c r="L306" s="509" t="s">
        <v>185</v>
      </c>
      <c r="M306" s="328">
        <f>K281*M281</f>
        <v>32</v>
      </c>
      <c r="N306" s="509" t="s">
        <v>185</v>
      </c>
      <c r="O306" s="328">
        <v>7850</v>
      </c>
      <c r="P306" s="509" t="s">
        <v>185</v>
      </c>
      <c r="Q306" s="1162">
        <f>22/7*0.008*0.008</f>
        <v>2.0114285714285715E-4</v>
      </c>
      <c r="R306" s="509" t="s">
        <v>114</v>
      </c>
      <c r="S306" s="596">
        <f t="shared" si="5"/>
        <v>1212.6500571428571</v>
      </c>
      <c r="T306" s="53"/>
      <c r="U306" s="50"/>
      <c r="V306" s="51"/>
    </row>
    <row r="307" spans="2:25" x14ac:dyDescent="0.3">
      <c r="B307" s="341"/>
      <c r="C307" s="342"/>
      <c r="D307" s="279" t="s">
        <v>1320</v>
      </c>
      <c r="E307" s="534">
        <f>V307/2+(40*0.016*2)</f>
        <v>3.2800000000000002</v>
      </c>
      <c r="F307" s="514" t="s">
        <v>185</v>
      </c>
      <c r="G307" s="172"/>
      <c r="H307" s="543"/>
      <c r="I307" s="172"/>
      <c r="J307" s="543"/>
      <c r="K307" s="328">
        <v>3</v>
      </c>
      <c r="L307" s="514" t="s">
        <v>185</v>
      </c>
      <c r="M307" s="534">
        <f>M306</f>
        <v>32</v>
      </c>
      <c r="N307" s="514" t="s">
        <v>185</v>
      </c>
      <c r="O307" s="328">
        <v>7850</v>
      </c>
      <c r="P307" s="509" t="s">
        <v>185</v>
      </c>
      <c r="Q307" s="607">
        <f>Q306</f>
        <v>2.0114285714285715E-4</v>
      </c>
      <c r="R307" s="514" t="s">
        <v>114</v>
      </c>
      <c r="S307" s="596">
        <f t="shared" si="5"/>
        <v>497.18652342857143</v>
      </c>
      <c r="T307" s="53"/>
      <c r="U307" s="50"/>
      <c r="V307" s="51">
        <v>4</v>
      </c>
    </row>
    <row r="308" spans="2:25" x14ac:dyDescent="0.3">
      <c r="B308" s="341"/>
      <c r="C308" s="342"/>
      <c r="D308" s="279" t="s">
        <v>1321</v>
      </c>
      <c r="E308" s="534">
        <f>V308/2</f>
        <v>2</v>
      </c>
      <c r="F308" s="514" t="s">
        <v>185</v>
      </c>
      <c r="G308" s="172"/>
      <c r="H308" s="543"/>
      <c r="I308" s="172"/>
      <c r="J308" s="543"/>
      <c r="K308" s="328">
        <v>3</v>
      </c>
      <c r="L308" s="514" t="s">
        <v>185</v>
      </c>
      <c r="M308" s="534">
        <f>M307</f>
        <v>32</v>
      </c>
      <c r="N308" s="514" t="s">
        <v>185</v>
      </c>
      <c r="O308" s="328">
        <v>7850</v>
      </c>
      <c r="P308" s="509" t="s">
        <v>185</v>
      </c>
      <c r="Q308" s="607">
        <f>Q307</f>
        <v>2.0114285714285715E-4</v>
      </c>
      <c r="R308" s="514" t="s">
        <v>114</v>
      </c>
      <c r="S308" s="596">
        <f t="shared" si="5"/>
        <v>303.16251428571428</v>
      </c>
      <c r="T308" s="53"/>
      <c r="U308" s="50"/>
      <c r="V308" s="51">
        <v>4</v>
      </c>
    </row>
    <row r="309" spans="2:25" x14ac:dyDescent="0.3">
      <c r="B309" s="341"/>
      <c r="C309" s="342"/>
      <c r="D309" s="281" t="s">
        <v>1328</v>
      </c>
      <c r="E309" s="328">
        <f>E282</f>
        <v>1.375</v>
      </c>
      <c r="F309" s="509" t="s">
        <v>185</v>
      </c>
      <c r="G309" s="328"/>
      <c r="H309" s="510"/>
      <c r="I309" s="328"/>
      <c r="J309" s="510"/>
      <c r="K309" s="328">
        <v>9</v>
      </c>
      <c r="L309" s="509" t="s">
        <v>185</v>
      </c>
      <c r="M309" s="328">
        <f>K282*M282</f>
        <v>16</v>
      </c>
      <c r="N309" s="509" t="s">
        <v>185</v>
      </c>
      <c r="O309" s="328">
        <v>7850</v>
      </c>
      <c r="P309" s="509" t="s">
        <v>185</v>
      </c>
      <c r="Q309" s="1162">
        <f>22/7*0.008*0.008</f>
        <v>2.0114285714285715E-4</v>
      </c>
      <c r="R309" s="509" t="s">
        <v>114</v>
      </c>
      <c r="S309" s="596">
        <f t="shared" si="5"/>
        <v>312.63634285714284</v>
      </c>
      <c r="T309" s="53"/>
      <c r="U309" s="50"/>
      <c r="V309" s="51"/>
    </row>
    <row r="310" spans="2:25" x14ac:dyDescent="0.3">
      <c r="B310" s="341"/>
      <c r="C310" s="342"/>
      <c r="D310" s="466"/>
      <c r="E310" s="580"/>
      <c r="F310" s="605"/>
      <c r="G310" s="580"/>
      <c r="H310" s="581"/>
      <c r="I310" s="580"/>
      <c r="J310" s="581"/>
      <c r="K310" s="580"/>
      <c r="L310" s="605"/>
      <c r="M310" s="580"/>
      <c r="N310" s="605"/>
      <c r="O310" s="580"/>
      <c r="P310" s="605"/>
      <c r="Q310" s="503"/>
      <c r="R310" s="605"/>
      <c r="S310" s="597"/>
    </row>
    <row r="311" spans="2:25" s="1" customFormat="1" ht="17.25" thickBot="1" x14ac:dyDescent="0.35">
      <c r="B311" s="59"/>
      <c r="C311" s="60"/>
      <c r="D311" s="3093" t="s">
        <v>164</v>
      </c>
      <c r="E311" s="3093"/>
      <c r="F311" s="3093"/>
      <c r="G311" s="3093"/>
      <c r="H311" s="3093"/>
      <c r="I311" s="3093"/>
      <c r="J311" s="524"/>
      <c r="K311" s="183"/>
      <c r="L311" s="532"/>
      <c r="M311" s="180"/>
      <c r="N311" s="532"/>
      <c r="O311" s="183"/>
      <c r="P311" s="532"/>
      <c r="Q311" s="183"/>
      <c r="R311" s="532"/>
      <c r="S311" s="240">
        <f>SUM(S293:S310)</f>
        <v>5848.3838537142856</v>
      </c>
      <c r="T311" s="66"/>
      <c r="U311" s="2"/>
      <c r="V311" s="43"/>
    </row>
    <row r="312" spans="2:25" x14ac:dyDescent="0.3">
      <c r="B312" s="341"/>
      <c r="C312" s="342"/>
      <c r="D312" s="343"/>
      <c r="E312" s="471"/>
      <c r="F312" s="489"/>
      <c r="G312" s="471"/>
      <c r="H312" s="489"/>
      <c r="I312" s="471"/>
      <c r="J312" s="489"/>
      <c r="K312" s="458"/>
      <c r="L312" s="487"/>
      <c r="M312" s="459"/>
      <c r="N312" s="487"/>
      <c r="O312" s="458"/>
      <c r="P312" s="487"/>
      <c r="Q312" s="458"/>
      <c r="R312" s="487"/>
      <c r="S312" s="470"/>
    </row>
    <row r="313" spans="2:25" x14ac:dyDescent="0.3">
      <c r="B313" s="341"/>
      <c r="C313" s="342"/>
      <c r="D313" s="343"/>
      <c r="E313" s="534">
        <f>36+(40*0.016*18)</f>
        <v>47.519999999999996</v>
      </c>
      <c r="F313" s="514" t="s">
        <v>185</v>
      </c>
      <c r="G313" s="172"/>
      <c r="H313" s="543"/>
      <c r="I313" s="172"/>
      <c r="J313" s="543"/>
      <c r="K313" s="328">
        <v>3</v>
      </c>
      <c r="L313" s="514" t="s">
        <v>185</v>
      </c>
      <c r="M313" s="534">
        <v>2</v>
      </c>
      <c r="N313" s="514" t="s">
        <v>185</v>
      </c>
      <c r="O313" s="328">
        <v>7850</v>
      </c>
      <c r="P313" s="509" t="s">
        <v>185</v>
      </c>
      <c r="Q313" s="607">
        <f>Q294</f>
        <v>2.0114285714285715E-4</v>
      </c>
      <c r="R313" s="514" t="s">
        <v>114</v>
      </c>
      <c r="S313" s="596">
        <f>E313*K313*M313*O313*Q313</f>
        <v>450.19633371428574</v>
      </c>
    </row>
    <row r="314" spans="2:25" x14ac:dyDescent="0.3">
      <c r="B314" s="341"/>
      <c r="C314" s="342"/>
      <c r="D314" s="343"/>
      <c r="E314" s="534">
        <f>36</f>
        <v>36</v>
      </c>
      <c r="F314" s="514" t="s">
        <v>185</v>
      </c>
      <c r="G314" s="172"/>
      <c r="H314" s="543"/>
      <c r="I314" s="172"/>
      <c r="J314" s="543"/>
      <c r="K314" s="328">
        <v>6</v>
      </c>
      <c r="L314" s="514" t="s">
        <v>185</v>
      </c>
      <c r="M314" s="534">
        <f>M313</f>
        <v>2</v>
      </c>
      <c r="N314" s="514" t="s">
        <v>185</v>
      </c>
      <c r="O314" s="328">
        <v>7850</v>
      </c>
      <c r="P314" s="509" t="s">
        <v>185</v>
      </c>
      <c r="Q314" s="607">
        <f>Q313</f>
        <v>2.0114285714285715E-4</v>
      </c>
      <c r="R314" s="514" t="s">
        <v>114</v>
      </c>
      <c r="S314" s="596">
        <f>E314*K314*M314*O314*Q314</f>
        <v>682.11565714285712</v>
      </c>
    </row>
    <row r="315" spans="2:25" x14ac:dyDescent="0.3">
      <c r="B315" s="341"/>
      <c r="C315" s="342"/>
      <c r="D315" s="343"/>
      <c r="E315" s="471"/>
      <c r="F315" s="489"/>
      <c r="G315" s="471"/>
      <c r="H315" s="489"/>
      <c r="I315" s="471"/>
      <c r="J315" s="489"/>
      <c r="K315" s="458"/>
      <c r="L315" s="487"/>
      <c r="M315" s="459"/>
      <c r="N315" s="487"/>
      <c r="O315" s="458"/>
      <c r="P315" s="487"/>
      <c r="Q315" s="458"/>
      <c r="R315" s="487"/>
      <c r="S315" s="470">
        <f>SUM(S313:S314)</f>
        <v>1132.311990857143</v>
      </c>
    </row>
    <row r="316" spans="2:25" s="1" customFormat="1" ht="17.25" thickBot="1" x14ac:dyDescent="0.35">
      <c r="B316" s="59"/>
      <c r="C316" s="60" t="str">
        <f>RAB!D67</f>
        <v>Pembesian sengkang</v>
      </c>
      <c r="D316" s="16"/>
      <c r="E316" s="216"/>
      <c r="F316" s="602"/>
      <c r="G316" s="216"/>
      <c r="H316" s="602"/>
      <c r="I316" s="216"/>
      <c r="J316" s="602"/>
      <c r="K316" s="181"/>
      <c r="L316" s="529"/>
      <c r="M316" s="182"/>
      <c r="N316" s="529"/>
      <c r="O316" s="181"/>
      <c r="P316" s="529"/>
      <c r="Q316" s="181"/>
      <c r="R316" s="529"/>
      <c r="S316" s="239"/>
      <c r="T316" s="18">
        <f>ROUNDDOWN(S322,2)</f>
        <v>2083.65</v>
      </c>
      <c r="U316" s="2" t="s">
        <v>0</v>
      </c>
      <c r="V316" s="43"/>
    </row>
    <row r="317" spans="2:25" s="1" customFormat="1" x14ac:dyDescent="0.3">
      <c r="B317" s="59"/>
      <c r="C317" s="60"/>
      <c r="D317" s="8" t="s">
        <v>95</v>
      </c>
      <c r="E317" s="155" t="s">
        <v>150</v>
      </c>
      <c r="F317" s="505"/>
      <c r="G317" s="155" t="s">
        <v>151</v>
      </c>
      <c r="H317" s="505"/>
      <c r="I317" s="155" t="s">
        <v>152</v>
      </c>
      <c r="J317" s="505"/>
      <c r="K317" s="155" t="s">
        <v>153</v>
      </c>
      <c r="L317" s="506"/>
      <c r="M317" s="164" t="s">
        <v>32</v>
      </c>
      <c r="N317" s="506"/>
      <c r="O317" s="206" t="s">
        <v>163</v>
      </c>
      <c r="P317" s="506"/>
      <c r="Q317" s="206" t="s">
        <v>151</v>
      </c>
      <c r="R317" s="506"/>
      <c r="S317" s="230" t="s">
        <v>143</v>
      </c>
      <c r="T317" s="66"/>
      <c r="U317" s="2"/>
      <c r="V317" s="43"/>
      <c r="W317" s="37"/>
      <c r="Y317" s="37"/>
    </row>
    <row r="318" spans="2:25" s="1" customFormat="1" x14ac:dyDescent="0.3">
      <c r="B318" s="59"/>
      <c r="C318" s="60"/>
      <c r="D318" s="149" t="s">
        <v>237</v>
      </c>
      <c r="E318" s="566">
        <f>(0.34+0.14)*2+ (2*6*0.01)</f>
        <v>1.08</v>
      </c>
      <c r="F318" s="567" t="s">
        <v>185</v>
      </c>
      <c r="G318" s="117"/>
      <c r="H318" s="568"/>
      <c r="I318" s="117"/>
      <c r="J318" s="568"/>
      <c r="K318" s="117">
        <f>W318</f>
        <v>33</v>
      </c>
      <c r="L318" s="567" t="s">
        <v>185</v>
      </c>
      <c r="M318" s="117">
        <f>M293+M296+M299</f>
        <v>46</v>
      </c>
      <c r="N318" s="567" t="s">
        <v>185</v>
      </c>
      <c r="O318" s="117">
        <v>7850</v>
      </c>
      <c r="P318" s="567" t="s">
        <v>185</v>
      </c>
      <c r="Q318" s="569">
        <f>22/7*0.005*0.005</f>
        <v>7.857142857142858E-5</v>
      </c>
      <c r="R318" s="570" t="s">
        <v>114</v>
      </c>
      <c r="S318" s="62">
        <f>E318*K318*M318*O318*Q318</f>
        <v>1011.1831714285715</v>
      </c>
      <c r="T318" s="66"/>
      <c r="U318" s="2"/>
      <c r="V318" s="43"/>
      <c r="W318" s="132">
        <f>4/0.125+1</f>
        <v>33</v>
      </c>
      <c r="X318" s="37"/>
      <c r="Y318" s="37"/>
    </row>
    <row r="319" spans="2:25" s="1" customFormat="1" x14ac:dyDescent="0.3">
      <c r="B319" s="59"/>
      <c r="C319" s="60"/>
      <c r="D319" s="139" t="s">
        <v>238</v>
      </c>
      <c r="E319" s="35">
        <f>E318</f>
        <v>1.08</v>
      </c>
      <c r="F319" s="571" t="s">
        <v>185</v>
      </c>
      <c r="G319" s="29"/>
      <c r="H319" s="572"/>
      <c r="I319" s="29"/>
      <c r="J319" s="572"/>
      <c r="K319" s="29">
        <f>W319</f>
        <v>33</v>
      </c>
      <c r="L319" s="571" t="s">
        <v>185</v>
      </c>
      <c r="M319" s="29">
        <f>M303+M306</f>
        <v>42</v>
      </c>
      <c r="N319" s="571" t="s">
        <v>185</v>
      </c>
      <c r="O319" s="29">
        <f>O318</f>
        <v>7850</v>
      </c>
      <c r="P319" s="571" t="s">
        <v>185</v>
      </c>
      <c r="Q319" s="573">
        <f>Q318</f>
        <v>7.857142857142858E-5</v>
      </c>
      <c r="R319" s="574" t="s">
        <v>114</v>
      </c>
      <c r="S319" s="63">
        <f>E319*K319*M319*O319*Q319</f>
        <v>923.25420000000008</v>
      </c>
      <c r="T319" s="66"/>
      <c r="U319" s="2"/>
      <c r="V319" s="43"/>
      <c r="W319" s="132">
        <f>4/0.125+1</f>
        <v>33</v>
      </c>
      <c r="X319" s="37"/>
      <c r="Y319" s="37"/>
    </row>
    <row r="320" spans="2:25" s="1" customFormat="1" x14ac:dyDescent="0.3">
      <c r="B320" s="59"/>
      <c r="C320" s="60"/>
      <c r="D320" s="659"/>
      <c r="E320" s="35">
        <f>E319</f>
        <v>1.08</v>
      </c>
      <c r="F320" s="571" t="s">
        <v>185</v>
      </c>
      <c r="G320" s="29"/>
      <c r="H320" s="572"/>
      <c r="I320" s="29"/>
      <c r="J320" s="572"/>
      <c r="K320" s="29">
        <v>14</v>
      </c>
      <c r="L320" s="571" t="s">
        <v>185</v>
      </c>
      <c r="M320" s="29">
        <f>M309</f>
        <v>16</v>
      </c>
      <c r="N320" s="571" t="s">
        <v>185</v>
      </c>
      <c r="O320" s="29">
        <f>O319</f>
        <v>7850</v>
      </c>
      <c r="P320" s="571" t="s">
        <v>185</v>
      </c>
      <c r="Q320" s="573">
        <f>Q319</f>
        <v>7.857142857142858E-5</v>
      </c>
      <c r="R320" s="574" t="s">
        <v>114</v>
      </c>
      <c r="S320" s="63">
        <f>E320*K320*M320*O320*Q320</f>
        <v>149.21280000000004</v>
      </c>
      <c r="T320" s="66"/>
      <c r="U320" s="2"/>
      <c r="V320" s="43"/>
      <c r="W320" s="132">
        <f>1.375/0.1+1</f>
        <v>14.75</v>
      </c>
      <c r="X320" s="37"/>
      <c r="Y320" s="37"/>
    </row>
    <row r="321" spans="2:25" s="1" customFormat="1" x14ac:dyDescent="0.3">
      <c r="B321" s="59"/>
      <c r="C321" s="60"/>
      <c r="D321" s="150"/>
      <c r="E321" s="592"/>
      <c r="F321" s="593"/>
      <c r="G321" s="592"/>
      <c r="H321" s="593"/>
      <c r="I321" s="592"/>
      <c r="J321" s="593"/>
      <c r="K321" s="592"/>
      <c r="L321" s="593"/>
      <c r="M321" s="592"/>
      <c r="N321" s="593"/>
      <c r="O321" s="592"/>
      <c r="P321" s="593"/>
      <c r="Q321" s="592"/>
      <c r="R321" s="593"/>
      <c r="S321" s="599"/>
      <c r="T321" s="66"/>
      <c r="U321" s="2"/>
      <c r="V321" s="43"/>
    </row>
    <row r="322" spans="2:25" s="1" customFormat="1" ht="17.25" thickBot="1" x14ac:dyDescent="0.35">
      <c r="B322" s="59"/>
      <c r="C322" s="60"/>
      <c r="D322" s="3093" t="s">
        <v>164</v>
      </c>
      <c r="E322" s="3093"/>
      <c r="F322" s="3093"/>
      <c r="G322" s="3093"/>
      <c r="H322" s="3093"/>
      <c r="I322" s="3093"/>
      <c r="J322" s="524"/>
      <c r="K322" s="183"/>
      <c r="L322" s="532"/>
      <c r="M322" s="180"/>
      <c r="N322" s="532"/>
      <c r="O322" s="183"/>
      <c r="P322" s="532"/>
      <c r="Q322" s="183"/>
      <c r="R322" s="532"/>
      <c r="S322" s="240">
        <f>SUM(S318:S321)</f>
        <v>2083.6501714285719</v>
      </c>
      <c r="T322" s="66"/>
      <c r="U322" s="2"/>
      <c r="V322" s="43"/>
    </row>
    <row r="323" spans="2:25" x14ac:dyDescent="0.3">
      <c r="B323" s="341"/>
      <c r="C323" s="342"/>
      <c r="D323" s="343"/>
      <c r="E323" s="471"/>
      <c r="F323" s="489"/>
      <c r="G323" s="471"/>
      <c r="H323" s="489"/>
      <c r="I323" s="471"/>
      <c r="J323" s="489"/>
      <c r="K323" s="458"/>
      <c r="L323" s="487"/>
      <c r="M323" s="459"/>
      <c r="N323" s="487"/>
      <c r="O323" s="458"/>
      <c r="P323" s="487"/>
      <c r="Q323" s="458"/>
      <c r="R323" s="487"/>
      <c r="S323" s="470"/>
    </row>
    <row r="324" spans="2:25" s="1" customFormat="1" ht="17.25" thickBot="1" x14ac:dyDescent="0.35">
      <c r="B324" s="59"/>
      <c r="C324" s="60" t="str">
        <f>RAB!D68</f>
        <v>Bekisting Balok</v>
      </c>
      <c r="D324" s="16"/>
      <c r="E324" s="216"/>
      <c r="F324" s="602"/>
      <c r="G324" s="216"/>
      <c r="H324" s="602"/>
      <c r="I324" s="216"/>
      <c r="J324" s="602"/>
      <c r="K324" s="181"/>
      <c r="L324" s="529"/>
      <c r="M324" s="182"/>
      <c r="N324" s="529"/>
      <c r="O324" s="181"/>
      <c r="P324" s="529"/>
      <c r="Q324" s="181"/>
      <c r="R324" s="529"/>
      <c r="S324" s="239"/>
      <c r="T324" s="18">
        <f>ROUNDDOWN(Q330,2)</f>
        <v>257.48</v>
      </c>
      <c r="U324" s="2" t="s">
        <v>2</v>
      </c>
      <c r="V324" s="43"/>
    </row>
    <row r="325" spans="2:25" s="1" customFormat="1" x14ac:dyDescent="0.3">
      <c r="B325" s="59"/>
      <c r="C325" s="60"/>
      <c r="D325" s="8" t="s">
        <v>95</v>
      </c>
      <c r="E325" s="155" t="s">
        <v>150</v>
      </c>
      <c r="F325" s="505"/>
      <c r="G325" s="155" t="s">
        <v>151</v>
      </c>
      <c r="H325" s="505"/>
      <c r="I325" s="155" t="s">
        <v>152</v>
      </c>
      <c r="J325" s="505"/>
      <c r="K325" s="155" t="s">
        <v>153</v>
      </c>
      <c r="L325" s="506"/>
      <c r="M325" s="164" t="s">
        <v>32</v>
      </c>
      <c r="N325" s="506"/>
      <c r="O325" s="206" t="s">
        <v>163</v>
      </c>
      <c r="P325" s="506"/>
      <c r="Q325" s="206" t="s">
        <v>151</v>
      </c>
      <c r="R325" s="506"/>
      <c r="S325" s="230" t="s">
        <v>143</v>
      </c>
      <c r="T325" s="66"/>
      <c r="U325" s="2"/>
      <c r="V325" s="43"/>
    </row>
    <row r="326" spans="2:25" s="1" customFormat="1" x14ac:dyDescent="0.3">
      <c r="B326" s="59"/>
      <c r="C326" s="60"/>
      <c r="D326" s="149" t="s">
        <v>156</v>
      </c>
      <c r="E326" s="609">
        <f>E277</f>
        <v>3.6</v>
      </c>
      <c r="F326" s="610" t="s">
        <v>185</v>
      </c>
      <c r="G326" s="609">
        <f>G327</f>
        <v>0.76</v>
      </c>
      <c r="H326" s="610" t="s">
        <v>185</v>
      </c>
      <c r="I326" s="609"/>
      <c r="J326" s="610"/>
      <c r="K326" s="609">
        <f>M318</f>
        <v>46</v>
      </c>
      <c r="L326" s="610"/>
      <c r="M326" s="609"/>
      <c r="N326" s="610"/>
      <c r="O326" s="609"/>
      <c r="P326" s="610" t="s">
        <v>114</v>
      </c>
      <c r="Q326" s="609">
        <f>E326*G326*K326</f>
        <v>125.85600000000001</v>
      </c>
      <c r="R326" s="610"/>
      <c r="S326" s="611"/>
      <c r="T326" s="66"/>
      <c r="U326" s="2"/>
      <c r="V326" s="43"/>
    </row>
    <row r="327" spans="2:25" s="1" customFormat="1" x14ac:dyDescent="0.3">
      <c r="B327" s="59"/>
      <c r="C327" s="60"/>
      <c r="D327" s="139" t="s">
        <v>157</v>
      </c>
      <c r="E327" s="612">
        <f>E280</f>
        <v>3.6</v>
      </c>
      <c r="F327" s="613" t="s">
        <v>185</v>
      </c>
      <c r="G327" s="612">
        <f>(2*I280)+G280</f>
        <v>0.76</v>
      </c>
      <c r="H327" s="613" t="s">
        <v>185</v>
      </c>
      <c r="I327" s="612"/>
      <c r="J327" s="613"/>
      <c r="K327" s="612">
        <f>M319</f>
        <v>42</v>
      </c>
      <c r="L327" s="613"/>
      <c r="M327" s="612"/>
      <c r="N327" s="613"/>
      <c r="O327" s="612"/>
      <c r="P327" s="613" t="s">
        <v>114</v>
      </c>
      <c r="Q327" s="612">
        <f>E327*G327*K327</f>
        <v>114.91200000000001</v>
      </c>
      <c r="R327" s="613"/>
      <c r="S327" s="614"/>
      <c r="T327" s="66"/>
      <c r="U327" s="2"/>
      <c r="V327" s="43"/>
      <c r="X327" s="37"/>
      <c r="Y327" s="37"/>
    </row>
    <row r="328" spans="2:25" s="1" customFormat="1" x14ac:dyDescent="0.3">
      <c r="B328" s="59"/>
      <c r="C328" s="60"/>
      <c r="D328" s="659"/>
      <c r="E328" s="612">
        <f>E309</f>
        <v>1.375</v>
      </c>
      <c r="F328" s="613" t="s">
        <v>185</v>
      </c>
      <c r="G328" s="612">
        <f>(2*I281)+G281</f>
        <v>0.76</v>
      </c>
      <c r="H328" s="613" t="s">
        <v>185</v>
      </c>
      <c r="I328" s="612"/>
      <c r="J328" s="613"/>
      <c r="K328" s="612">
        <f>M320</f>
        <v>16</v>
      </c>
      <c r="L328" s="613"/>
      <c r="M328" s="612"/>
      <c r="N328" s="613"/>
      <c r="O328" s="612"/>
      <c r="P328" s="613" t="s">
        <v>114</v>
      </c>
      <c r="Q328" s="612">
        <f>E328*G328*K328</f>
        <v>16.72</v>
      </c>
      <c r="R328" s="660"/>
      <c r="S328" s="661"/>
      <c r="T328" s="66"/>
      <c r="U328" s="2"/>
      <c r="V328" s="43"/>
      <c r="X328" s="37"/>
      <c r="Y328" s="37"/>
    </row>
    <row r="329" spans="2:25" s="1" customFormat="1" x14ac:dyDescent="0.3">
      <c r="B329" s="59"/>
      <c r="C329" s="60"/>
      <c r="D329" s="150"/>
      <c r="E329" s="615"/>
      <c r="F329" s="616"/>
      <c r="G329" s="615"/>
      <c r="H329" s="616"/>
      <c r="I329" s="615"/>
      <c r="J329" s="616"/>
      <c r="K329" s="615"/>
      <c r="L329" s="616"/>
      <c r="M329" s="615"/>
      <c r="N329" s="616"/>
      <c r="O329" s="615"/>
      <c r="P329" s="616"/>
      <c r="Q329" s="615"/>
      <c r="R329" s="616"/>
      <c r="S329" s="617"/>
      <c r="T329" s="66"/>
      <c r="U329" s="2"/>
      <c r="V329" s="43"/>
    </row>
    <row r="330" spans="2:25" s="1" customFormat="1" ht="17.25" thickBot="1" x14ac:dyDescent="0.35">
      <c r="B330" s="59"/>
      <c r="C330" s="60"/>
      <c r="D330" s="3093" t="s">
        <v>164</v>
      </c>
      <c r="E330" s="3093"/>
      <c r="F330" s="3093"/>
      <c r="G330" s="3093"/>
      <c r="H330" s="3093"/>
      <c r="I330" s="3093"/>
      <c r="J330" s="524"/>
      <c r="K330" s="183"/>
      <c r="L330" s="532"/>
      <c r="M330" s="180"/>
      <c r="N330" s="532"/>
      <c r="O330" s="183"/>
      <c r="P330" s="532"/>
      <c r="Q330" s="655">
        <f>SUM(Q326:Q329)</f>
        <v>257.48800000000006</v>
      </c>
      <c r="R330" s="532"/>
      <c r="S330" s="240"/>
      <c r="T330" s="66"/>
      <c r="U330" s="2"/>
      <c r="V330" s="43"/>
    </row>
    <row r="331" spans="2:25" s="1" customFormat="1" x14ac:dyDescent="0.3">
      <c r="B331" s="59"/>
      <c r="C331" s="60"/>
      <c r="D331" s="38"/>
      <c r="E331" s="38"/>
      <c r="F331" s="38"/>
      <c r="G331" s="38"/>
      <c r="H331" s="38"/>
      <c r="I331" s="38"/>
      <c r="J331" s="551"/>
      <c r="K331" s="181"/>
      <c r="L331" s="529"/>
      <c r="M331" s="182"/>
      <c r="N331" s="529"/>
      <c r="O331" s="181"/>
      <c r="P331" s="529"/>
      <c r="Q331" s="121"/>
      <c r="R331" s="529"/>
      <c r="S331" s="239"/>
      <c r="T331" s="66"/>
      <c r="U331" s="2"/>
      <c r="V331" s="43"/>
    </row>
    <row r="332" spans="2:25" s="1" customFormat="1" x14ac:dyDescent="0.3">
      <c r="B332" s="1170">
        <f>RAB!B69</f>
        <v>10</v>
      </c>
      <c r="C332" s="60" t="str">
        <f>RAB!C69</f>
        <v>Balok 15x30 Cm (B3)</v>
      </c>
      <c r="D332" s="38"/>
      <c r="E332" s="38"/>
      <c r="F332" s="38"/>
      <c r="G332" s="38"/>
      <c r="H332" s="38"/>
      <c r="I332" s="38"/>
      <c r="J332" s="551"/>
      <c r="K332" s="181"/>
      <c r="L332" s="529"/>
      <c r="M332" s="182"/>
      <c r="N332" s="529"/>
      <c r="O332" s="181"/>
      <c r="P332" s="529"/>
      <c r="Q332" s="121"/>
      <c r="R332" s="529"/>
      <c r="S332" s="239"/>
      <c r="T332" s="66"/>
      <c r="U332" s="2"/>
      <c r="V332" s="43"/>
    </row>
    <row r="333" spans="2:25" s="1" customFormat="1" ht="17.25" thickBot="1" x14ac:dyDescent="0.35">
      <c r="B333" s="59"/>
      <c r="C333" s="60" t="str">
        <f>RAB!D70</f>
        <v xml:space="preserve">Beton mutu f'c=26,4 Mpa </v>
      </c>
      <c r="D333" s="38"/>
      <c r="E333" s="38"/>
      <c r="F333" s="38"/>
      <c r="G333" s="38"/>
      <c r="H333" s="38"/>
      <c r="I333" s="38"/>
      <c r="J333" s="551"/>
      <c r="K333" s="181"/>
      <c r="L333" s="529"/>
      <c r="M333" s="182"/>
      <c r="N333" s="529"/>
      <c r="O333" s="181"/>
      <c r="P333" s="529"/>
      <c r="Q333" s="121"/>
      <c r="R333" s="529"/>
      <c r="S333" s="239"/>
      <c r="T333" s="18">
        <f>ROUNDDOWN(S344,2)</f>
        <v>4.08</v>
      </c>
      <c r="U333" s="2" t="s">
        <v>3</v>
      </c>
      <c r="V333" s="43"/>
    </row>
    <row r="334" spans="2:25" s="1" customFormat="1" x14ac:dyDescent="0.3">
      <c r="B334" s="59"/>
      <c r="C334" s="60"/>
      <c r="D334" s="8" t="s">
        <v>95</v>
      </c>
      <c r="E334" s="155" t="s">
        <v>150</v>
      </c>
      <c r="F334" s="505"/>
      <c r="G334" s="155" t="s">
        <v>151</v>
      </c>
      <c r="H334" s="505"/>
      <c r="I334" s="155" t="s">
        <v>152</v>
      </c>
      <c r="J334" s="505"/>
      <c r="K334" s="155" t="s">
        <v>153</v>
      </c>
      <c r="L334" s="506"/>
      <c r="M334" s="164" t="s">
        <v>32</v>
      </c>
      <c r="N334" s="506"/>
      <c r="O334" s="206" t="s">
        <v>163</v>
      </c>
      <c r="P334" s="506"/>
      <c r="Q334" s="206" t="s">
        <v>151</v>
      </c>
      <c r="R334" s="506"/>
      <c r="S334" s="230" t="s">
        <v>143</v>
      </c>
      <c r="T334" s="66"/>
      <c r="U334" s="2"/>
      <c r="V334" s="43"/>
    </row>
    <row r="335" spans="2:25" s="1" customFormat="1" x14ac:dyDescent="0.3">
      <c r="B335" s="59"/>
      <c r="C335" s="60"/>
      <c r="D335" s="274" t="s">
        <v>156</v>
      </c>
      <c r="E335" s="331">
        <f>4-(0.2*1)</f>
        <v>3.8</v>
      </c>
      <c r="F335" s="594" t="s">
        <v>185</v>
      </c>
      <c r="G335" s="578">
        <v>0.15</v>
      </c>
      <c r="H335" s="604" t="s">
        <v>185</v>
      </c>
      <c r="I335" s="578">
        <f>0.3-0.12</f>
        <v>0.18</v>
      </c>
      <c r="J335" s="594" t="s">
        <v>185</v>
      </c>
      <c r="K335" s="578">
        <v>4</v>
      </c>
      <c r="L335" s="594" t="s">
        <v>185</v>
      </c>
      <c r="M335" s="578">
        <v>4</v>
      </c>
      <c r="N335" s="594"/>
      <c r="O335" s="578"/>
      <c r="P335" s="594"/>
      <c r="Q335" s="578"/>
      <c r="R335" s="594" t="s">
        <v>114</v>
      </c>
      <c r="S335" s="595">
        <f>E335*G335*I335*K335*M335</f>
        <v>1.6415999999999997</v>
      </c>
      <c r="T335" s="66"/>
      <c r="U335" s="2"/>
      <c r="V335" s="43"/>
    </row>
    <row r="336" spans="2:25" s="1" customFormat="1" x14ac:dyDescent="0.3">
      <c r="B336" s="59"/>
      <c r="C336" s="60"/>
      <c r="D336" s="151" t="s">
        <v>157</v>
      </c>
      <c r="E336" s="1145">
        <f>4-(0.2*1)</f>
        <v>3.8</v>
      </c>
      <c r="F336" s="509" t="s">
        <v>185</v>
      </c>
      <c r="G336" s="328">
        <v>0.15</v>
      </c>
      <c r="H336" s="510" t="s">
        <v>185</v>
      </c>
      <c r="I336" s="328">
        <f>0.3-0.12</f>
        <v>0.18</v>
      </c>
      <c r="J336" s="509" t="s">
        <v>185</v>
      </c>
      <c r="K336" s="328">
        <v>6</v>
      </c>
      <c r="L336" s="509" t="s">
        <v>185</v>
      </c>
      <c r="M336" s="328">
        <v>4</v>
      </c>
      <c r="N336" s="509"/>
      <c r="O336" s="328"/>
      <c r="P336" s="509"/>
      <c r="Q336" s="328"/>
      <c r="R336" s="509" t="s">
        <v>114</v>
      </c>
      <c r="S336" s="596">
        <f>E336*G336*I336*K336*M336</f>
        <v>2.4623999999999997</v>
      </c>
      <c r="T336" s="66"/>
      <c r="U336" s="2"/>
      <c r="V336" s="43"/>
    </row>
    <row r="337" spans="2:23" s="1" customFormat="1" x14ac:dyDescent="0.3">
      <c r="B337" s="59"/>
      <c r="C337" s="60"/>
      <c r="D337" s="1178"/>
      <c r="E337" s="1145">
        <f>2-(0.2*1)</f>
        <v>1.8</v>
      </c>
      <c r="F337" s="509" t="s">
        <v>185</v>
      </c>
      <c r="G337" s="328">
        <v>0.15</v>
      </c>
      <c r="H337" s="510" t="s">
        <v>185</v>
      </c>
      <c r="I337" s="328">
        <f>0.3-0.12</f>
        <v>0.18</v>
      </c>
      <c r="J337" s="509" t="s">
        <v>185</v>
      </c>
      <c r="K337" s="328">
        <v>1</v>
      </c>
      <c r="L337" s="509" t="s">
        <v>185</v>
      </c>
      <c r="M337" s="328">
        <v>4</v>
      </c>
      <c r="N337" s="509"/>
      <c r="O337" s="328"/>
      <c r="P337" s="509"/>
      <c r="Q337" s="328"/>
      <c r="R337" s="509" t="s">
        <v>114</v>
      </c>
      <c r="S337" s="596">
        <f>E337*G337*I337*K337*M337</f>
        <v>0.19440000000000002</v>
      </c>
      <c r="T337" s="66"/>
      <c r="U337" s="2"/>
      <c r="V337" s="43"/>
    </row>
    <row r="338" spans="2:23" s="1" customFormat="1" x14ac:dyDescent="0.3">
      <c r="B338" s="59"/>
      <c r="C338" s="60"/>
      <c r="D338" s="1178"/>
      <c r="E338" s="1145"/>
      <c r="F338" s="509"/>
      <c r="G338" s="328"/>
      <c r="H338" s="510"/>
      <c r="I338" s="328"/>
      <c r="J338" s="509"/>
      <c r="K338" s="328"/>
      <c r="L338" s="509"/>
      <c r="M338" s="328"/>
      <c r="N338" s="509"/>
      <c r="O338" s="328"/>
      <c r="P338" s="509"/>
      <c r="Q338" s="328"/>
      <c r="R338" s="509"/>
      <c r="S338" s="1176">
        <f>SUM(S335:S337)</f>
        <v>4.2983999999999991</v>
      </c>
      <c r="T338" s="66"/>
      <c r="U338" s="2"/>
      <c r="V338" s="43"/>
    </row>
    <row r="339" spans="2:23" x14ac:dyDescent="0.3">
      <c r="B339" s="341"/>
      <c r="C339" s="342"/>
      <c r="D339" s="138" t="s">
        <v>244</v>
      </c>
      <c r="E339" s="328"/>
      <c r="F339" s="509"/>
      <c r="G339" s="328"/>
      <c r="H339" s="509"/>
      <c r="I339" s="328"/>
      <c r="J339" s="509"/>
      <c r="K339" s="328"/>
      <c r="L339" s="509"/>
      <c r="M339" s="328"/>
      <c r="N339" s="509"/>
      <c r="O339" s="328"/>
      <c r="P339" s="517"/>
      <c r="Q339" s="328"/>
      <c r="R339" s="517"/>
      <c r="S339" s="519"/>
    </row>
    <row r="340" spans="2:23" x14ac:dyDescent="0.3">
      <c r="B340" s="341"/>
      <c r="C340" s="342"/>
      <c r="D340" s="140" t="s">
        <v>733</v>
      </c>
      <c r="E340" s="328"/>
      <c r="F340" s="509"/>
      <c r="G340" s="328"/>
      <c r="H340" s="509"/>
      <c r="I340" s="328"/>
      <c r="J340" s="509"/>
      <c r="K340" s="328">
        <f>S357</f>
        <v>918.95150285714271</v>
      </c>
      <c r="L340" s="517" t="s">
        <v>253</v>
      </c>
      <c r="M340" s="328"/>
      <c r="N340" s="517"/>
      <c r="O340" s="328">
        <v>7850</v>
      </c>
      <c r="P340" s="517"/>
      <c r="Q340" s="328"/>
      <c r="R340" s="517" t="s">
        <v>149</v>
      </c>
      <c r="S340" s="519">
        <f>K340/O340</f>
        <v>0.11706388571428569</v>
      </c>
    </row>
    <row r="341" spans="2:23" s="1" customFormat="1" x14ac:dyDescent="0.3">
      <c r="B341" s="59"/>
      <c r="C341" s="60"/>
      <c r="D341" s="140" t="s">
        <v>734</v>
      </c>
      <c r="E341" s="328"/>
      <c r="F341" s="509"/>
      <c r="G341" s="328"/>
      <c r="H341" s="509"/>
      <c r="I341" s="328"/>
      <c r="J341" s="509"/>
      <c r="K341" s="328">
        <f>S365</f>
        <v>740.34022857142872</v>
      </c>
      <c r="L341" s="517" t="s">
        <v>253</v>
      </c>
      <c r="M341" s="328"/>
      <c r="N341" s="517"/>
      <c r="O341" s="328">
        <f>O340</f>
        <v>7850</v>
      </c>
      <c r="P341" s="517"/>
      <c r="Q341" s="328"/>
      <c r="R341" s="517" t="s">
        <v>149</v>
      </c>
      <c r="S341" s="519">
        <f>K341/O341</f>
        <v>9.4310857142857168E-2</v>
      </c>
      <c r="T341" s="66"/>
      <c r="U341" s="2"/>
      <c r="V341" s="43"/>
    </row>
    <row r="342" spans="2:23" s="1" customFormat="1" x14ac:dyDescent="0.3">
      <c r="B342" s="59"/>
      <c r="C342" s="60"/>
      <c r="D342" s="555"/>
      <c r="E342" s="554"/>
      <c r="F342" s="556"/>
      <c r="G342" s="554"/>
      <c r="H342" s="556"/>
      <c r="I342" s="554"/>
      <c r="J342" s="556"/>
      <c r="K342" s="554"/>
      <c r="L342" s="526"/>
      <c r="M342" s="554"/>
      <c r="N342" s="526"/>
      <c r="O342" s="554"/>
      <c r="P342" s="526"/>
      <c r="Q342" s="554"/>
      <c r="R342" s="526"/>
      <c r="S342" s="1177">
        <f>SUM(S340:S341)</f>
        <v>0.21137474285714286</v>
      </c>
      <c r="T342" s="66"/>
      <c r="U342" s="2"/>
      <c r="V342" s="43"/>
    </row>
    <row r="343" spans="2:23" x14ac:dyDescent="0.3">
      <c r="B343" s="341"/>
      <c r="C343" s="342"/>
      <c r="D343" s="466"/>
      <c r="E343" s="580"/>
      <c r="F343" s="581"/>
      <c r="G343" s="580"/>
      <c r="H343" s="581"/>
      <c r="I343" s="580"/>
      <c r="J343" s="581"/>
      <c r="K343" s="580"/>
      <c r="L343" s="581"/>
      <c r="M343" s="503"/>
      <c r="N343" s="581"/>
      <c r="O343" s="580"/>
      <c r="P343" s="581"/>
      <c r="Q343" s="580"/>
      <c r="R343" s="581"/>
      <c r="S343" s="550"/>
    </row>
    <row r="344" spans="2:23" s="1" customFormat="1" ht="17.25" thickBot="1" x14ac:dyDescent="0.35">
      <c r="B344" s="59"/>
      <c r="C344" s="60"/>
      <c r="D344" s="3093" t="s">
        <v>164</v>
      </c>
      <c r="E344" s="3093"/>
      <c r="F344" s="3093"/>
      <c r="G344" s="3093"/>
      <c r="H344" s="3093"/>
      <c r="I344" s="3093"/>
      <c r="J344" s="524"/>
      <c r="K344" s="183"/>
      <c r="L344" s="532"/>
      <c r="M344" s="180"/>
      <c r="N344" s="532"/>
      <c r="O344" s="183"/>
      <c r="P344" s="532"/>
      <c r="Q344" s="183"/>
      <c r="R344" s="532"/>
      <c r="S344" s="240">
        <f>S338-S342</f>
        <v>4.087025257142856</v>
      </c>
      <c r="T344" s="66"/>
      <c r="U344" s="2"/>
      <c r="V344" s="43"/>
    </row>
    <row r="345" spans="2:23" s="1" customFormat="1" x14ac:dyDescent="0.3">
      <c r="B345" s="59"/>
      <c r="C345" s="60"/>
      <c r="D345" s="38"/>
      <c r="E345" s="38"/>
      <c r="F345" s="38"/>
      <c r="G345" s="38"/>
      <c r="H345" s="38"/>
      <c r="I345" s="38"/>
      <c r="J345" s="551"/>
      <c r="K345" s="181"/>
      <c r="L345" s="529"/>
      <c r="M345" s="182"/>
      <c r="N345" s="529"/>
      <c r="O345" s="181"/>
      <c r="P345" s="529"/>
      <c r="Q345" s="181"/>
      <c r="R345" s="529"/>
      <c r="S345" s="239"/>
      <c r="T345" s="66"/>
      <c r="U345" s="2"/>
      <c r="V345" s="43"/>
    </row>
    <row r="346" spans="2:23" s="1" customFormat="1" ht="17.25" thickBot="1" x14ac:dyDescent="0.35">
      <c r="B346" s="59"/>
      <c r="C346" s="60" t="str">
        <f>RAB!D71</f>
        <v>Pembesian Ulir</v>
      </c>
      <c r="D346" s="38"/>
      <c r="E346" s="38"/>
      <c r="F346" s="38"/>
      <c r="G346" s="38"/>
      <c r="H346" s="38"/>
      <c r="I346" s="38"/>
      <c r="J346" s="551"/>
      <c r="K346" s="181"/>
      <c r="L346" s="529"/>
      <c r="M346" s="182"/>
      <c r="N346" s="529"/>
      <c r="O346" s="181"/>
      <c r="P346" s="529"/>
      <c r="Q346" s="121"/>
      <c r="R346" s="529"/>
      <c r="S346" s="239"/>
      <c r="T346" s="18">
        <f>ROUNDDOWN(S357,2)</f>
        <v>918.95</v>
      </c>
      <c r="U346" s="2" t="s">
        <v>0</v>
      </c>
      <c r="V346" s="43"/>
    </row>
    <row r="347" spans="2:23" s="1" customFormat="1" x14ac:dyDescent="0.3">
      <c r="B347" s="59"/>
      <c r="C347" s="60"/>
      <c r="D347" s="8" t="s">
        <v>95</v>
      </c>
      <c r="E347" s="155" t="s">
        <v>150</v>
      </c>
      <c r="F347" s="505"/>
      <c r="G347" s="155" t="s">
        <v>151</v>
      </c>
      <c r="H347" s="505"/>
      <c r="I347" s="155" t="s">
        <v>152</v>
      </c>
      <c r="J347" s="505"/>
      <c r="K347" s="155" t="s">
        <v>153</v>
      </c>
      <c r="L347" s="506"/>
      <c r="M347" s="164" t="s">
        <v>32</v>
      </c>
      <c r="N347" s="506"/>
      <c r="O347" s="206" t="s">
        <v>163</v>
      </c>
      <c r="P347" s="506"/>
      <c r="Q347" s="206" t="s">
        <v>151</v>
      </c>
      <c r="R347" s="506"/>
      <c r="S347" s="230" t="s">
        <v>143</v>
      </c>
      <c r="T347" s="66"/>
      <c r="U347" s="2"/>
      <c r="V347" s="43"/>
      <c r="W347" s="325"/>
    </row>
    <row r="348" spans="2:23" x14ac:dyDescent="0.3">
      <c r="B348" s="341"/>
      <c r="C348" s="342"/>
      <c r="D348" s="277" t="s">
        <v>1329</v>
      </c>
      <c r="E348" s="331"/>
      <c r="F348" s="565"/>
      <c r="G348" s="331"/>
      <c r="H348" s="575"/>
      <c r="I348" s="331"/>
      <c r="J348" s="575"/>
      <c r="K348" s="331"/>
      <c r="L348" s="565"/>
      <c r="M348" s="331"/>
      <c r="N348" s="565"/>
      <c r="O348" s="331"/>
      <c r="P348" s="565"/>
      <c r="Q348" s="606"/>
      <c r="R348" s="565"/>
      <c r="S348" s="577"/>
    </row>
    <row r="349" spans="2:23" x14ac:dyDescent="0.3">
      <c r="B349" s="341"/>
      <c r="C349" s="342"/>
      <c r="D349" s="279" t="s">
        <v>615</v>
      </c>
      <c r="E349" s="534">
        <f>16+(40*0.013*8)</f>
        <v>20.16</v>
      </c>
      <c r="F349" s="509" t="s">
        <v>185</v>
      </c>
      <c r="G349" s="328"/>
      <c r="H349" s="510"/>
      <c r="I349" s="328"/>
      <c r="J349" s="510"/>
      <c r="K349" s="328">
        <v>1</v>
      </c>
      <c r="L349" s="509" t="s">
        <v>185</v>
      </c>
      <c r="M349" s="328">
        <f>M335</f>
        <v>4</v>
      </c>
      <c r="N349" s="509" t="s">
        <v>185</v>
      </c>
      <c r="O349" s="328">
        <v>7850</v>
      </c>
      <c r="P349" s="509" t="s">
        <v>185</v>
      </c>
      <c r="Q349" s="1162">
        <f>22/7*0.0065*0.0065</f>
        <v>1.3278571428571427E-4</v>
      </c>
      <c r="R349" s="509" t="s">
        <v>114</v>
      </c>
      <c r="S349" s="596">
        <f>E349*K349*M349*O349*Q349</f>
        <v>84.056543999999988</v>
      </c>
    </row>
    <row r="350" spans="2:23" x14ac:dyDescent="0.3">
      <c r="B350" s="341"/>
      <c r="C350" s="342"/>
      <c r="D350" s="279" t="s">
        <v>616</v>
      </c>
      <c r="E350" s="328">
        <v>16</v>
      </c>
      <c r="F350" s="509" t="s">
        <v>185</v>
      </c>
      <c r="G350" s="328"/>
      <c r="H350" s="510"/>
      <c r="I350" s="328"/>
      <c r="J350" s="510"/>
      <c r="K350" s="328">
        <v>4</v>
      </c>
      <c r="L350" s="509" t="s">
        <v>185</v>
      </c>
      <c r="M350" s="328">
        <f>M336</f>
        <v>4</v>
      </c>
      <c r="N350" s="509" t="s">
        <v>185</v>
      </c>
      <c r="O350" s="328">
        <v>7850</v>
      </c>
      <c r="P350" s="509" t="s">
        <v>185</v>
      </c>
      <c r="Q350" s="1162">
        <f>22/7*0.0065*0.0065</f>
        <v>1.3278571428571427E-4</v>
      </c>
      <c r="R350" s="509" t="s">
        <v>114</v>
      </c>
      <c r="S350" s="596">
        <f>E350*K350*M350*O350*Q350</f>
        <v>266.84617142857138</v>
      </c>
    </row>
    <row r="351" spans="2:23" x14ac:dyDescent="0.3">
      <c r="B351" s="341"/>
      <c r="C351" s="342"/>
      <c r="D351" s="279"/>
      <c r="E351" s="328"/>
      <c r="F351" s="509"/>
      <c r="G351" s="328"/>
      <c r="H351" s="510"/>
      <c r="I351" s="328"/>
      <c r="J351" s="510"/>
      <c r="K351" s="328"/>
      <c r="L351" s="509"/>
      <c r="M351" s="328"/>
      <c r="N351" s="509"/>
      <c r="O351" s="328"/>
      <c r="P351" s="509"/>
      <c r="Q351" s="607"/>
      <c r="R351" s="509"/>
      <c r="S351" s="596"/>
    </row>
    <row r="352" spans="2:23" x14ac:dyDescent="0.3">
      <c r="B352" s="341"/>
      <c r="C352" s="342"/>
      <c r="D352" s="281" t="s">
        <v>1330</v>
      </c>
      <c r="E352" s="1145"/>
      <c r="F352" s="518"/>
      <c r="G352" s="1145"/>
      <c r="H352" s="517"/>
      <c r="I352" s="1145"/>
      <c r="J352" s="517"/>
      <c r="K352" s="1145"/>
      <c r="L352" s="518"/>
      <c r="M352" s="1145"/>
      <c r="N352" s="518"/>
      <c r="O352" s="1145"/>
      <c r="P352" s="518"/>
      <c r="Q352" s="608"/>
      <c r="R352" s="518"/>
      <c r="S352" s="519"/>
    </row>
    <row r="353" spans="2:25" x14ac:dyDescent="0.3">
      <c r="B353" s="341"/>
      <c r="C353" s="342"/>
      <c r="D353" s="279" t="s">
        <v>615</v>
      </c>
      <c r="E353" s="534">
        <f>(8*3)+(40*0.013*12)</f>
        <v>30.240000000000002</v>
      </c>
      <c r="F353" s="509" t="s">
        <v>185</v>
      </c>
      <c r="G353" s="328"/>
      <c r="H353" s="510"/>
      <c r="I353" s="328"/>
      <c r="J353" s="510"/>
      <c r="K353" s="328">
        <v>1</v>
      </c>
      <c r="L353" s="509" t="s">
        <v>185</v>
      </c>
      <c r="M353" s="328">
        <f>M336</f>
        <v>4</v>
      </c>
      <c r="N353" s="509" t="s">
        <v>185</v>
      </c>
      <c r="O353" s="328">
        <v>7850</v>
      </c>
      <c r="P353" s="509" t="s">
        <v>185</v>
      </c>
      <c r="Q353" s="1162">
        <f>22/7*0.0065*0.0065</f>
        <v>1.3278571428571427E-4</v>
      </c>
      <c r="R353" s="509" t="s">
        <v>114</v>
      </c>
      <c r="S353" s="596">
        <f>E353*K353*M353*O353*Q353</f>
        <v>126.084816</v>
      </c>
    </row>
    <row r="354" spans="2:25" x14ac:dyDescent="0.3">
      <c r="B354" s="341"/>
      <c r="C354" s="342"/>
      <c r="D354" s="279" t="s">
        <v>616</v>
      </c>
      <c r="E354" s="534">
        <f>(8*3)</f>
        <v>24</v>
      </c>
      <c r="F354" s="509" t="s">
        <v>185</v>
      </c>
      <c r="G354" s="328"/>
      <c r="H354" s="510"/>
      <c r="I354" s="328"/>
      <c r="J354" s="510"/>
      <c r="K354" s="328">
        <v>4</v>
      </c>
      <c r="L354" s="509" t="s">
        <v>185</v>
      </c>
      <c r="M354" s="328">
        <f>M353</f>
        <v>4</v>
      </c>
      <c r="N354" s="509" t="s">
        <v>185</v>
      </c>
      <c r="O354" s="328">
        <v>7850</v>
      </c>
      <c r="P354" s="509" t="s">
        <v>185</v>
      </c>
      <c r="Q354" s="1162">
        <f>22/7*0.0065*0.0065</f>
        <v>1.3278571428571427E-4</v>
      </c>
      <c r="R354" s="509" t="s">
        <v>114</v>
      </c>
      <c r="S354" s="596">
        <f>E354*K354*M354*O354*Q354</f>
        <v>400.2692571428571</v>
      </c>
    </row>
    <row r="355" spans="2:25" x14ac:dyDescent="0.3">
      <c r="B355" s="341"/>
      <c r="C355" s="342"/>
      <c r="D355" s="281" t="s">
        <v>1330</v>
      </c>
      <c r="E355" s="534">
        <f>2</f>
        <v>2</v>
      </c>
      <c r="F355" s="509" t="s">
        <v>185</v>
      </c>
      <c r="G355" s="328"/>
      <c r="H355" s="510"/>
      <c r="I355" s="328"/>
      <c r="J355" s="510"/>
      <c r="K355" s="328">
        <v>5</v>
      </c>
      <c r="L355" s="509" t="s">
        <v>185</v>
      </c>
      <c r="M355" s="328">
        <f>M337</f>
        <v>4</v>
      </c>
      <c r="N355" s="509" t="s">
        <v>185</v>
      </c>
      <c r="O355" s="328">
        <v>7850</v>
      </c>
      <c r="P355" s="509" t="s">
        <v>185</v>
      </c>
      <c r="Q355" s="1162">
        <f>22/7*0.0065*0.0065</f>
        <v>1.3278571428571427E-4</v>
      </c>
      <c r="R355" s="509" t="s">
        <v>114</v>
      </c>
      <c r="S355" s="596">
        <f>E355*K355*M355*O355*Q355</f>
        <v>41.694714285714284</v>
      </c>
    </row>
    <row r="356" spans="2:25" x14ac:dyDescent="0.3">
      <c r="B356" s="341"/>
      <c r="C356" s="342"/>
      <c r="D356" s="466"/>
      <c r="E356" s="580"/>
      <c r="F356" s="605"/>
      <c r="G356" s="580"/>
      <c r="H356" s="581"/>
      <c r="I356" s="580"/>
      <c r="J356" s="581"/>
      <c r="K356" s="580"/>
      <c r="L356" s="605"/>
      <c r="M356" s="580"/>
      <c r="N356" s="605"/>
      <c r="O356" s="580"/>
      <c r="P356" s="605"/>
      <c r="Q356" s="503"/>
      <c r="R356" s="605"/>
      <c r="S356" s="597"/>
    </row>
    <row r="357" spans="2:25" s="1" customFormat="1" ht="17.25" thickBot="1" x14ac:dyDescent="0.35">
      <c r="B357" s="59"/>
      <c r="C357" s="60"/>
      <c r="D357" s="3093" t="s">
        <v>164</v>
      </c>
      <c r="E357" s="3093"/>
      <c r="F357" s="3093"/>
      <c r="G357" s="3093"/>
      <c r="H357" s="3093"/>
      <c r="I357" s="3093"/>
      <c r="J357" s="524"/>
      <c r="K357" s="183"/>
      <c r="L357" s="532"/>
      <c r="M357" s="180"/>
      <c r="N357" s="532"/>
      <c r="O357" s="183"/>
      <c r="P357" s="532"/>
      <c r="Q357" s="183"/>
      <c r="R357" s="532"/>
      <c r="S357" s="240">
        <f>SUM(S348:S356)</f>
        <v>918.95150285714271</v>
      </c>
      <c r="T357" s="66"/>
      <c r="U357" s="2"/>
      <c r="V357" s="43"/>
    </row>
    <row r="358" spans="2:25" x14ac:dyDescent="0.3">
      <c r="B358" s="341"/>
      <c r="C358" s="342"/>
      <c r="D358" s="343"/>
      <c r="E358" s="471"/>
      <c r="F358" s="489"/>
      <c r="G358" s="471"/>
      <c r="H358" s="489"/>
      <c r="I358" s="471"/>
      <c r="J358" s="489"/>
      <c r="K358" s="458"/>
      <c r="L358" s="487"/>
      <c r="M358" s="459"/>
      <c r="N358" s="487"/>
      <c r="O358" s="458"/>
      <c r="P358" s="487"/>
      <c r="Q358" s="458"/>
      <c r="R358" s="487"/>
      <c r="S358" s="470"/>
    </row>
    <row r="359" spans="2:25" s="1" customFormat="1" ht="17.25" thickBot="1" x14ac:dyDescent="0.35">
      <c r="B359" s="59"/>
      <c r="C359" s="60" t="str">
        <f>RAB!D72</f>
        <v>Pembesian sengkang</v>
      </c>
      <c r="D359" s="38"/>
      <c r="E359" s="38"/>
      <c r="F359" s="38"/>
      <c r="G359" s="38"/>
      <c r="H359" s="38"/>
      <c r="I359" s="38"/>
      <c r="J359" s="551"/>
      <c r="K359" s="181"/>
      <c r="L359" s="529"/>
      <c r="M359" s="182"/>
      <c r="N359" s="529"/>
      <c r="O359" s="181"/>
      <c r="P359" s="529"/>
      <c r="Q359" s="121"/>
      <c r="R359" s="529"/>
      <c r="S359" s="239"/>
      <c r="T359" s="18">
        <f>ROUNDDOWN(S365,2)</f>
        <v>740.34</v>
      </c>
      <c r="U359" s="2" t="s">
        <v>0</v>
      </c>
      <c r="V359" s="43"/>
    </row>
    <row r="360" spans="2:25" s="1" customFormat="1" x14ac:dyDescent="0.3">
      <c r="B360" s="59"/>
      <c r="C360" s="60"/>
      <c r="D360" s="8" t="s">
        <v>95</v>
      </c>
      <c r="E360" s="155" t="s">
        <v>150</v>
      </c>
      <c r="F360" s="505"/>
      <c r="G360" s="155" t="s">
        <v>151</v>
      </c>
      <c r="H360" s="505"/>
      <c r="I360" s="155" t="s">
        <v>152</v>
      </c>
      <c r="J360" s="505"/>
      <c r="K360" s="155" t="s">
        <v>153</v>
      </c>
      <c r="L360" s="506"/>
      <c r="M360" s="164" t="s">
        <v>32</v>
      </c>
      <c r="N360" s="506"/>
      <c r="O360" s="206" t="s">
        <v>163</v>
      </c>
      <c r="P360" s="506"/>
      <c r="Q360" s="206" t="s">
        <v>151</v>
      </c>
      <c r="R360" s="506"/>
      <c r="S360" s="230" t="s">
        <v>143</v>
      </c>
      <c r="T360" s="66"/>
      <c r="U360" s="2"/>
      <c r="V360" s="43"/>
      <c r="W360" s="37"/>
      <c r="Y360" s="37"/>
    </row>
    <row r="361" spans="2:25" s="1" customFormat="1" x14ac:dyDescent="0.3">
      <c r="B361" s="59"/>
      <c r="C361" s="60"/>
      <c r="D361" s="149" t="s">
        <v>237</v>
      </c>
      <c r="E361" s="578">
        <f>(0.29+0.09)*2+ (2*6*0.01)</f>
        <v>0.88</v>
      </c>
      <c r="F361" s="565" t="s">
        <v>185</v>
      </c>
      <c r="G361" s="331"/>
      <c r="H361" s="575"/>
      <c r="I361" s="331"/>
      <c r="J361" s="575"/>
      <c r="K361" s="331">
        <f>W361</f>
        <v>129</v>
      </c>
      <c r="L361" s="565" t="s">
        <v>185</v>
      </c>
      <c r="M361" s="331">
        <f>M335</f>
        <v>4</v>
      </c>
      <c r="N361" s="565" t="s">
        <v>185</v>
      </c>
      <c r="O361" s="331">
        <v>7850</v>
      </c>
      <c r="P361" s="565" t="s">
        <v>185</v>
      </c>
      <c r="Q361" s="606">
        <f>22/7*0.005*0.005</f>
        <v>7.857142857142858E-5</v>
      </c>
      <c r="R361" s="1069" t="s">
        <v>114</v>
      </c>
      <c r="S361" s="577">
        <f>E361*K361*M361*O361*Q361</f>
        <v>280.07005714285719</v>
      </c>
      <c r="T361" s="66"/>
      <c r="U361" s="2"/>
      <c r="V361" s="43"/>
      <c r="W361" s="132">
        <f>16/0.125+1</f>
        <v>129</v>
      </c>
      <c r="X361" s="37"/>
      <c r="Y361" s="37"/>
    </row>
    <row r="362" spans="2:25" s="1" customFormat="1" x14ac:dyDescent="0.3">
      <c r="B362" s="59"/>
      <c r="C362" s="60"/>
      <c r="D362" s="139" t="s">
        <v>238</v>
      </c>
      <c r="E362" s="328">
        <f>(0.29+0.09)*2+ (2*6*0.01)</f>
        <v>0.88</v>
      </c>
      <c r="F362" s="518" t="s">
        <v>185</v>
      </c>
      <c r="G362" s="1145"/>
      <c r="H362" s="517"/>
      <c r="I362" s="1145"/>
      <c r="J362" s="517"/>
      <c r="K362" s="1145">
        <f>W362*3</f>
        <v>195</v>
      </c>
      <c r="L362" s="518" t="s">
        <v>185</v>
      </c>
      <c r="M362" s="1145">
        <f>M336</f>
        <v>4</v>
      </c>
      <c r="N362" s="518" t="s">
        <v>185</v>
      </c>
      <c r="O362" s="1145">
        <v>7850</v>
      </c>
      <c r="P362" s="518" t="s">
        <v>185</v>
      </c>
      <c r="Q362" s="608">
        <f>22/7*0.005*0.005</f>
        <v>7.857142857142858E-5</v>
      </c>
      <c r="R362" s="1070" t="s">
        <v>114</v>
      </c>
      <c r="S362" s="519">
        <f>E362*K362*M362*O362*Q362</f>
        <v>423.36171428571436</v>
      </c>
      <c r="T362" s="66"/>
      <c r="U362" s="2"/>
      <c r="V362" s="43"/>
      <c r="W362" s="132">
        <f>8/0.125+1</f>
        <v>65</v>
      </c>
      <c r="X362" s="37"/>
      <c r="Y362" s="37"/>
    </row>
    <row r="363" spans="2:25" s="1" customFormat="1" x14ac:dyDescent="0.3">
      <c r="B363" s="59"/>
      <c r="C363" s="60"/>
      <c r="D363" s="139"/>
      <c r="E363" s="328">
        <f>(0.29+0.09)*2+ (2*6*0.01)</f>
        <v>0.88</v>
      </c>
      <c r="F363" s="518" t="s">
        <v>185</v>
      </c>
      <c r="G363" s="1145"/>
      <c r="H363" s="517"/>
      <c r="I363" s="1145"/>
      <c r="J363" s="517"/>
      <c r="K363" s="1145">
        <f>W363</f>
        <v>17</v>
      </c>
      <c r="L363" s="518" t="s">
        <v>185</v>
      </c>
      <c r="M363" s="1145">
        <f>M337</f>
        <v>4</v>
      </c>
      <c r="N363" s="518" t="s">
        <v>185</v>
      </c>
      <c r="O363" s="1145">
        <v>7850</v>
      </c>
      <c r="P363" s="518" t="s">
        <v>185</v>
      </c>
      <c r="Q363" s="608">
        <f>22/7*0.005*0.005</f>
        <v>7.857142857142858E-5</v>
      </c>
      <c r="R363" s="1070" t="s">
        <v>114</v>
      </c>
      <c r="S363" s="519">
        <f>E363*K363*M363*O363*Q363</f>
        <v>36.908457142857145</v>
      </c>
      <c r="T363" s="66"/>
      <c r="U363" s="2"/>
      <c r="V363" s="43"/>
      <c r="W363" s="132">
        <f>2/0.125+1</f>
        <v>17</v>
      </c>
      <c r="X363" s="37"/>
      <c r="Y363" s="37"/>
    </row>
    <row r="364" spans="2:25" s="1" customFormat="1" x14ac:dyDescent="0.3">
      <c r="B364" s="59"/>
      <c r="C364" s="60"/>
      <c r="D364" s="150"/>
      <c r="E364" s="592"/>
      <c r="F364" s="593"/>
      <c r="G364" s="592"/>
      <c r="H364" s="593"/>
      <c r="I364" s="592"/>
      <c r="J364" s="593"/>
      <c r="K364" s="592"/>
      <c r="L364" s="593"/>
      <c r="M364" s="592"/>
      <c r="N364" s="593"/>
      <c r="O364" s="592"/>
      <c r="P364" s="593"/>
      <c r="Q364" s="592"/>
      <c r="R364" s="593"/>
      <c r="S364" s="599"/>
      <c r="T364" s="66"/>
      <c r="U364" s="2"/>
      <c r="V364" s="43"/>
    </row>
    <row r="365" spans="2:25" s="1" customFormat="1" ht="17.25" thickBot="1" x14ac:dyDescent="0.35">
      <c r="B365" s="59"/>
      <c r="C365" s="60"/>
      <c r="D365" s="3093" t="s">
        <v>164</v>
      </c>
      <c r="E365" s="3093"/>
      <c r="F365" s="3093"/>
      <c r="G365" s="3093"/>
      <c r="H365" s="3093"/>
      <c r="I365" s="3093"/>
      <c r="J365" s="524"/>
      <c r="K365" s="183"/>
      <c r="L365" s="532"/>
      <c r="M365" s="180"/>
      <c r="N365" s="532"/>
      <c r="O365" s="183"/>
      <c r="P365" s="532"/>
      <c r="Q365" s="183"/>
      <c r="R365" s="532"/>
      <c r="S365" s="240">
        <f>SUM(S361:S364)</f>
        <v>740.34022857142872</v>
      </c>
      <c r="T365" s="66"/>
      <c r="U365" s="2"/>
      <c r="V365" s="43"/>
    </row>
    <row r="366" spans="2:25" x14ac:dyDescent="0.3">
      <c r="B366" s="341"/>
      <c r="C366" s="342"/>
      <c r="D366" s="343"/>
      <c r="E366" s="471"/>
      <c r="F366" s="489"/>
      <c r="G366" s="471"/>
      <c r="H366" s="489"/>
      <c r="I366" s="471"/>
      <c r="J366" s="489"/>
      <c r="K366" s="458"/>
      <c r="L366" s="487"/>
      <c r="M366" s="459"/>
      <c r="N366" s="487"/>
      <c r="O366" s="458"/>
      <c r="P366" s="487"/>
      <c r="Q366" s="458"/>
      <c r="R366" s="487"/>
      <c r="S366" s="470"/>
    </row>
    <row r="367" spans="2:25" s="1" customFormat="1" ht="17.25" thickBot="1" x14ac:dyDescent="0.35">
      <c r="B367" s="59"/>
      <c r="C367" s="60" t="str">
        <f>RAB!D73</f>
        <v>Bekisting Balok</v>
      </c>
      <c r="D367" s="38"/>
      <c r="E367" s="38"/>
      <c r="F367" s="38"/>
      <c r="G367" s="38"/>
      <c r="H367" s="38"/>
      <c r="I367" s="38"/>
      <c r="J367" s="551"/>
      <c r="K367" s="181"/>
      <c r="L367" s="529"/>
      <c r="M367" s="182"/>
      <c r="N367" s="529"/>
      <c r="O367" s="181"/>
      <c r="P367" s="529"/>
      <c r="Q367" s="121"/>
      <c r="R367" s="529"/>
      <c r="S367" s="239"/>
      <c r="T367" s="18">
        <f>ROUNDDOWN(Q373,2)</f>
        <v>81.19</v>
      </c>
      <c r="U367" s="2" t="s">
        <v>2</v>
      </c>
      <c r="V367" s="43"/>
    </row>
    <row r="368" spans="2:25" s="1" customFormat="1" x14ac:dyDescent="0.3">
      <c r="B368" s="59"/>
      <c r="C368" s="60"/>
      <c r="D368" s="8" t="s">
        <v>95</v>
      </c>
      <c r="E368" s="155" t="s">
        <v>150</v>
      </c>
      <c r="F368" s="505"/>
      <c r="G368" s="155" t="s">
        <v>151</v>
      </c>
      <c r="H368" s="505"/>
      <c r="I368" s="155" t="s">
        <v>152</v>
      </c>
      <c r="J368" s="505"/>
      <c r="K368" s="155" t="s">
        <v>153</v>
      </c>
      <c r="L368" s="506"/>
      <c r="M368" s="164" t="s">
        <v>32</v>
      </c>
      <c r="N368" s="506"/>
      <c r="O368" s="206" t="s">
        <v>163</v>
      </c>
      <c r="P368" s="506"/>
      <c r="Q368" s="206" t="s">
        <v>151</v>
      </c>
      <c r="R368" s="506"/>
      <c r="S368" s="230" t="s">
        <v>143</v>
      </c>
      <c r="T368" s="66"/>
      <c r="U368" s="2"/>
      <c r="V368" s="43"/>
    </row>
    <row r="369" spans="2:22" s="1" customFormat="1" x14ac:dyDescent="0.3">
      <c r="B369" s="59"/>
      <c r="C369" s="60"/>
      <c r="D369" s="149" t="s">
        <v>156</v>
      </c>
      <c r="E369" s="609">
        <f>E335</f>
        <v>3.8</v>
      </c>
      <c r="F369" s="610" t="s">
        <v>185</v>
      </c>
      <c r="G369" s="609">
        <f>G335+2*I335</f>
        <v>0.51</v>
      </c>
      <c r="H369" s="610" t="s">
        <v>185</v>
      </c>
      <c r="I369" s="609"/>
      <c r="J369" s="610"/>
      <c r="K369" s="609">
        <f>K335</f>
        <v>4</v>
      </c>
      <c r="L369" s="610" t="s">
        <v>185</v>
      </c>
      <c r="M369" s="609">
        <f>M335</f>
        <v>4</v>
      </c>
      <c r="N369" s="610"/>
      <c r="O369" s="609"/>
      <c r="P369" s="610" t="s">
        <v>114</v>
      </c>
      <c r="Q369" s="609">
        <f>E369*G369*K369*M369</f>
        <v>31.007999999999999</v>
      </c>
      <c r="R369" s="610"/>
      <c r="S369" s="611"/>
      <c r="T369" s="66"/>
      <c r="U369" s="2"/>
      <c r="V369" s="43"/>
    </row>
    <row r="370" spans="2:22" s="1" customFormat="1" x14ac:dyDescent="0.3">
      <c r="B370" s="59"/>
      <c r="C370" s="60"/>
      <c r="D370" s="139" t="s">
        <v>157</v>
      </c>
      <c r="E370" s="612">
        <f>E336</f>
        <v>3.8</v>
      </c>
      <c r="F370" s="613" t="s">
        <v>185</v>
      </c>
      <c r="G370" s="612">
        <f>G336+2*I336</f>
        <v>0.51</v>
      </c>
      <c r="H370" s="613" t="s">
        <v>185</v>
      </c>
      <c r="I370" s="612"/>
      <c r="J370" s="613"/>
      <c r="K370" s="612">
        <f>K336</f>
        <v>6</v>
      </c>
      <c r="L370" s="613" t="s">
        <v>185</v>
      </c>
      <c r="M370" s="612">
        <f>M336</f>
        <v>4</v>
      </c>
      <c r="N370" s="613"/>
      <c r="O370" s="612"/>
      <c r="P370" s="613" t="s">
        <v>114</v>
      </c>
      <c r="Q370" s="612">
        <f>E370*G370*K370*M370</f>
        <v>46.512</v>
      </c>
      <c r="R370" s="613"/>
      <c r="S370" s="614"/>
      <c r="T370" s="66"/>
      <c r="U370" s="2"/>
      <c r="V370" s="43"/>
    </row>
    <row r="371" spans="2:22" s="1" customFormat="1" x14ac:dyDescent="0.3">
      <c r="B371" s="59"/>
      <c r="C371" s="60"/>
      <c r="D371" s="139"/>
      <c r="E371" s="612">
        <f>E337</f>
        <v>1.8</v>
      </c>
      <c r="F371" s="613" t="s">
        <v>185</v>
      </c>
      <c r="G371" s="612">
        <f>G337+2*I337</f>
        <v>0.51</v>
      </c>
      <c r="H371" s="613" t="s">
        <v>185</v>
      </c>
      <c r="I371" s="612"/>
      <c r="J371" s="613"/>
      <c r="K371" s="612">
        <f>K337</f>
        <v>1</v>
      </c>
      <c r="L371" s="613" t="s">
        <v>185</v>
      </c>
      <c r="M371" s="612">
        <f>M337</f>
        <v>4</v>
      </c>
      <c r="N371" s="613"/>
      <c r="O371" s="612"/>
      <c r="P371" s="613" t="s">
        <v>114</v>
      </c>
      <c r="Q371" s="612">
        <f>E371*G371*K371*M371</f>
        <v>3.6720000000000002</v>
      </c>
      <c r="R371" s="613"/>
      <c r="S371" s="614"/>
      <c r="T371" s="66"/>
      <c r="U371" s="2"/>
      <c r="V371" s="43"/>
    </row>
    <row r="372" spans="2:22" s="1" customFormat="1" x14ac:dyDescent="0.3">
      <c r="B372" s="59"/>
      <c r="C372" s="60"/>
      <c r="D372" s="150"/>
      <c r="E372" s="615"/>
      <c r="F372" s="616"/>
      <c r="G372" s="615"/>
      <c r="H372" s="616"/>
      <c r="I372" s="615"/>
      <c r="J372" s="616"/>
      <c r="K372" s="615"/>
      <c r="L372" s="616"/>
      <c r="M372" s="615"/>
      <c r="N372" s="616"/>
      <c r="O372" s="615"/>
      <c r="P372" s="616"/>
      <c r="Q372" s="615"/>
      <c r="R372" s="616"/>
      <c r="S372" s="617"/>
      <c r="T372" s="66"/>
      <c r="U372" s="2"/>
      <c r="V372" s="43"/>
    </row>
    <row r="373" spans="2:22" s="1" customFormat="1" ht="17.25" thickBot="1" x14ac:dyDescent="0.35">
      <c r="B373" s="59"/>
      <c r="C373" s="60"/>
      <c r="D373" s="3093" t="s">
        <v>164</v>
      </c>
      <c r="E373" s="3093"/>
      <c r="F373" s="3093"/>
      <c r="G373" s="3093"/>
      <c r="H373" s="3093"/>
      <c r="I373" s="3093"/>
      <c r="J373" s="524"/>
      <c r="K373" s="183"/>
      <c r="L373" s="532"/>
      <c r="M373" s="180"/>
      <c r="N373" s="532"/>
      <c r="O373" s="183"/>
      <c r="P373" s="532"/>
      <c r="Q373" s="690">
        <f>SUM(Q369:Q372)</f>
        <v>81.191999999999993</v>
      </c>
      <c r="R373" s="532"/>
      <c r="S373" s="240"/>
      <c r="T373" s="66"/>
      <c r="U373" s="2"/>
      <c r="V373" s="43"/>
    </row>
    <row r="374" spans="2:22" x14ac:dyDescent="0.3">
      <c r="B374" s="464"/>
      <c r="C374" s="465"/>
      <c r="D374" s="453"/>
      <c r="E374" s="455"/>
      <c r="F374" s="485"/>
      <c r="G374" s="455"/>
      <c r="H374" s="485"/>
      <c r="I374" s="455"/>
      <c r="J374" s="485"/>
      <c r="K374" s="438"/>
      <c r="L374" s="482"/>
      <c r="M374" s="439"/>
      <c r="N374" s="482"/>
      <c r="O374" s="438"/>
      <c r="P374" s="482"/>
      <c r="Q374" s="440"/>
      <c r="R374" s="482"/>
      <c r="S374" s="454"/>
    </row>
    <row r="375" spans="2:22" s="1" customFormat="1" x14ac:dyDescent="0.3">
      <c r="B375" s="1149">
        <f>RAB!B74</f>
        <v>11</v>
      </c>
      <c r="C375" s="17" t="str">
        <f>RAB!C74</f>
        <v xml:space="preserve">Tangga </v>
      </c>
      <c r="E375" s="153"/>
      <c r="F375" s="480"/>
      <c r="G375" s="153"/>
      <c r="H375" s="480"/>
      <c r="I375" s="153"/>
      <c r="J375" s="480"/>
      <c r="K375" s="153"/>
      <c r="L375" s="480"/>
      <c r="M375" s="162"/>
      <c r="N375" s="480"/>
      <c r="O375" s="153"/>
      <c r="P375" s="480"/>
      <c r="Q375" s="200"/>
      <c r="R375" s="480"/>
      <c r="S375" s="224"/>
      <c r="T375" s="134"/>
      <c r="U375" s="2"/>
      <c r="V375" s="43"/>
    </row>
    <row r="376" spans="2:22" s="1" customFormat="1" ht="17.25" thickBot="1" x14ac:dyDescent="0.35">
      <c r="B376" s="36"/>
      <c r="C376" s="17" t="str">
        <f>RAB!D75</f>
        <v xml:space="preserve">Beton mutu f'c=26,4 Mpa </v>
      </c>
      <c r="E376" s="153"/>
      <c r="F376" s="480"/>
      <c r="G376" s="153"/>
      <c r="H376" s="480"/>
      <c r="I376" s="153"/>
      <c r="J376" s="480"/>
      <c r="K376" s="153"/>
      <c r="L376" s="480"/>
      <c r="M376" s="162"/>
      <c r="N376" s="480"/>
      <c r="O376" s="153"/>
      <c r="P376" s="480"/>
      <c r="Q376" s="200"/>
      <c r="R376" s="480"/>
      <c r="S376" s="224"/>
      <c r="T376" s="18">
        <f>ROUNDDOWN(S385,2)</f>
        <v>22.26</v>
      </c>
      <c r="U376" s="2" t="s">
        <v>3</v>
      </c>
      <c r="V376" s="43"/>
    </row>
    <row r="377" spans="2:22" s="1" customFormat="1" x14ac:dyDescent="0.3">
      <c r="B377" s="36"/>
      <c r="C377" s="17"/>
      <c r="D377" s="623" t="s">
        <v>95</v>
      </c>
      <c r="E377" s="624" t="s">
        <v>150</v>
      </c>
      <c r="F377" s="625"/>
      <c r="G377" s="624" t="s">
        <v>151</v>
      </c>
      <c r="H377" s="625"/>
      <c r="I377" s="624" t="s">
        <v>152</v>
      </c>
      <c r="J377" s="625"/>
      <c r="K377" s="624" t="s">
        <v>153</v>
      </c>
      <c r="L377" s="625"/>
      <c r="M377" s="626" t="s">
        <v>32</v>
      </c>
      <c r="N377" s="625"/>
      <c r="O377" s="624" t="s">
        <v>163</v>
      </c>
      <c r="P377" s="625"/>
      <c r="Q377" s="627" t="s">
        <v>151</v>
      </c>
      <c r="R377" s="625"/>
      <c r="S377" s="628" t="s">
        <v>143</v>
      </c>
      <c r="T377" s="66"/>
      <c r="U377" s="2"/>
      <c r="V377" s="43"/>
    </row>
    <row r="378" spans="2:22" s="1" customFormat="1" x14ac:dyDescent="0.3">
      <c r="B378" s="36"/>
      <c r="C378" s="17"/>
      <c r="D378" s="144" t="s">
        <v>155</v>
      </c>
      <c r="E378" s="589">
        <v>1.82</v>
      </c>
      <c r="F378" s="629" t="s">
        <v>185</v>
      </c>
      <c r="G378" s="589">
        <v>0.3</v>
      </c>
      <c r="H378" s="629" t="s">
        <v>185</v>
      </c>
      <c r="I378" s="589">
        <f>0.18</f>
        <v>0.18</v>
      </c>
      <c r="J378" s="629" t="s">
        <v>185</v>
      </c>
      <c r="K378" s="589">
        <v>20</v>
      </c>
      <c r="L378" s="629"/>
      <c r="M378" s="589">
        <v>4</v>
      </c>
      <c r="N378" s="629" t="s">
        <v>185</v>
      </c>
      <c r="O378" s="589">
        <v>0.5</v>
      </c>
      <c r="P378" s="629"/>
      <c r="Q378" s="589"/>
      <c r="R378" s="629" t="s">
        <v>114</v>
      </c>
      <c r="S378" s="590">
        <f>K378*I378*G378*E378*O378*M378</f>
        <v>3.9311999999999996</v>
      </c>
      <c r="T378" s="66"/>
      <c r="U378" s="2"/>
      <c r="V378" s="43"/>
    </row>
    <row r="379" spans="2:22" s="1" customFormat="1" x14ac:dyDescent="0.3">
      <c r="B379" s="36"/>
      <c r="C379" s="17"/>
      <c r="D379" s="138" t="s">
        <v>270</v>
      </c>
      <c r="E379" s="329">
        <f>4.3+2.5</f>
        <v>6.8</v>
      </c>
      <c r="F379" s="518" t="s">
        <v>185</v>
      </c>
      <c r="G379" s="329">
        <v>1.82</v>
      </c>
      <c r="H379" s="518" t="s">
        <v>185</v>
      </c>
      <c r="I379" s="329">
        <v>0.15</v>
      </c>
      <c r="J379" s="518"/>
      <c r="K379" s="329"/>
      <c r="L379" s="517"/>
      <c r="M379" s="329">
        <v>4</v>
      </c>
      <c r="N379" s="517"/>
      <c r="O379" s="329"/>
      <c r="P379" s="517"/>
      <c r="Q379" s="329"/>
      <c r="R379" s="518" t="s">
        <v>114</v>
      </c>
      <c r="S379" s="519">
        <f>I379*G379*E379*M379</f>
        <v>7.4256000000000002</v>
      </c>
      <c r="T379" s="66"/>
      <c r="U379" s="2"/>
      <c r="V379" s="43"/>
    </row>
    <row r="380" spans="2:22" s="1" customFormat="1" x14ac:dyDescent="0.3">
      <c r="B380" s="36"/>
      <c r="C380" s="17"/>
      <c r="D380" s="139" t="s">
        <v>158</v>
      </c>
      <c r="E380" s="328">
        <v>4</v>
      </c>
      <c r="F380" s="518" t="s">
        <v>185</v>
      </c>
      <c r="G380" s="329">
        <v>4</v>
      </c>
      <c r="H380" s="518" t="s">
        <v>185</v>
      </c>
      <c r="I380" s="329">
        <v>0.15</v>
      </c>
      <c r="J380" s="518"/>
      <c r="K380" s="329"/>
      <c r="L380" s="518"/>
      <c r="M380" s="329">
        <v>4</v>
      </c>
      <c r="N380" s="518"/>
      <c r="O380" s="329"/>
      <c r="P380" s="517"/>
      <c r="Q380" s="329"/>
      <c r="R380" s="518" t="s">
        <v>114</v>
      </c>
      <c r="S380" s="519">
        <f>I380*G380*E380*M380</f>
        <v>9.6</v>
      </c>
      <c r="T380" s="66"/>
      <c r="U380" s="2"/>
      <c r="V380" s="43"/>
    </row>
    <row r="381" spans="2:22" s="1" customFormat="1" x14ac:dyDescent="0.3">
      <c r="B381" s="36"/>
      <c r="C381" s="17"/>
      <c r="D381" s="138" t="s">
        <v>271</v>
      </c>
      <c r="E381" s="328">
        <f>E378</f>
        <v>1.82</v>
      </c>
      <c r="F381" s="518" t="s">
        <v>185</v>
      </c>
      <c r="G381" s="329">
        <v>1.6</v>
      </c>
      <c r="H381" s="518" t="s">
        <v>185</v>
      </c>
      <c r="I381" s="329">
        <f>0.15</f>
        <v>0.15</v>
      </c>
      <c r="J381" s="518"/>
      <c r="K381" s="329"/>
      <c r="L381" s="518"/>
      <c r="M381" s="329">
        <v>4</v>
      </c>
      <c r="N381" s="518"/>
      <c r="O381" s="329"/>
      <c r="P381" s="517"/>
      <c r="Q381" s="329"/>
      <c r="R381" s="518" t="s">
        <v>114</v>
      </c>
      <c r="S381" s="519">
        <f>I381*G381*E381*M381</f>
        <v>1.7472000000000001</v>
      </c>
      <c r="T381" s="66"/>
      <c r="U381" s="2"/>
      <c r="V381" s="43"/>
    </row>
    <row r="382" spans="2:22" s="1" customFormat="1" x14ac:dyDescent="0.3">
      <c r="B382" s="36"/>
      <c r="C382" s="17"/>
      <c r="D382" s="138" t="s">
        <v>244</v>
      </c>
      <c r="E382" s="328"/>
      <c r="F382" s="518"/>
      <c r="G382" s="329"/>
      <c r="H382" s="518"/>
      <c r="I382" s="329"/>
      <c r="J382" s="518"/>
      <c r="K382" s="329"/>
      <c r="L382" s="518"/>
      <c r="M382" s="329"/>
      <c r="N382" s="518"/>
      <c r="O382" s="329"/>
      <c r="P382" s="517"/>
      <c r="Q382" s="329"/>
      <c r="R382" s="518"/>
      <c r="S382" s="519"/>
      <c r="T382" s="66"/>
      <c r="U382" s="2"/>
      <c r="V382" s="43"/>
    </row>
    <row r="383" spans="2:22" s="1" customFormat="1" x14ac:dyDescent="0.3">
      <c r="B383" s="36"/>
      <c r="C383" s="17"/>
      <c r="D383" s="140" t="s">
        <v>255</v>
      </c>
      <c r="E383" s="328"/>
      <c r="F383" s="518"/>
      <c r="G383" s="329"/>
      <c r="H383" s="518"/>
      <c r="I383" s="329"/>
      <c r="J383" s="518"/>
      <c r="K383" s="329">
        <f>S397</f>
        <v>3461.8287377142856</v>
      </c>
      <c r="L383" s="517" t="s">
        <v>253</v>
      </c>
      <c r="M383" s="328"/>
      <c r="N383" s="517"/>
      <c r="O383" s="328">
        <f>O390</f>
        <v>7850</v>
      </c>
      <c r="P383" s="517"/>
      <c r="Q383" s="329"/>
      <c r="R383" s="518" t="s">
        <v>149</v>
      </c>
      <c r="S383" s="519">
        <f>K383/O383</f>
        <v>0.44099729142857141</v>
      </c>
      <c r="T383" s="66"/>
      <c r="U383" s="2"/>
      <c r="V383" s="43"/>
    </row>
    <row r="384" spans="2:22" s="1" customFormat="1" x14ac:dyDescent="0.3">
      <c r="B384" s="36"/>
      <c r="C384" s="17"/>
      <c r="D384" s="143"/>
      <c r="E384" s="330"/>
      <c r="F384" s="512"/>
      <c r="G384" s="330"/>
      <c r="H384" s="512"/>
      <c r="I384" s="330"/>
      <c r="J384" s="512"/>
      <c r="K384" s="330"/>
      <c r="L384" s="512"/>
      <c r="M384" s="330"/>
      <c r="N384" s="512"/>
      <c r="O384" s="330"/>
      <c r="P384" s="512"/>
      <c r="Q384" s="330"/>
      <c r="R384" s="512"/>
      <c r="S384" s="559"/>
      <c r="T384" s="66"/>
      <c r="U384" s="2"/>
      <c r="V384" s="43"/>
    </row>
    <row r="385" spans="2:23" s="1" customFormat="1" ht="17.25" thickBot="1" x14ac:dyDescent="0.35">
      <c r="B385" s="36"/>
      <c r="C385" s="17"/>
      <c r="D385" s="3089" t="s">
        <v>164</v>
      </c>
      <c r="E385" s="3090"/>
      <c r="F385" s="3090"/>
      <c r="G385" s="3090"/>
      <c r="H385" s="3090"/>
      <c r="I385" s="3090"/>
      <c r="J385" s="622"/>
      <c r="K385" s="190"/>
      <c r="L385" s="622"/>
      <c r="M385" s="190"/>
      <c r="N385" s="622"/>
      <c r="O385" s="190"/>
      <c r="P385" s="622"/>
      <c r="Q385" s="190"/>
      <c r="R385" s="622"/>
      <c r="S385" s="247">
        <f>SUM(S378:S381)-SUM(S383)</f>
        <v>22.263002708571427</v>
      </c>
      <c r="T385" s="66"/>
      <c r="U385" s="2"/>
      <c r="V385" s="43"/>
    </row>
    <row r="386" spans="2:23" x14ac:dyDescent="0.3">
      <c r="B386" s="464"/>
      <c r="C386" s="465"/>
      <c r="T386" s="474"/>
    </row>
    <row r="387" spans="2:23" s="1" customFormat="1" ht="17.25" thickBot="1" x14ac:dyDescent="0.35">
      <c r="B387" s="36"/>
      <c r="C387" s="17" t="str">
        <f>RAB!D76</f>
        <v>Pembesian Ulir</v>
      </c>
      <c r="E387" s="153"/>
      <c r="F387" s="480"/>
      <c r="G387" s="153"/>
      <c r="H387" s="480"/>
      <c r="I387" s="153"/>
      <c r="J387" s="480"/>
      <c r="K387" s="153"/>
      <c r="L387" s="480"/>
      <c r="M387" s="162"/>
      <c r="N387" s="480"/>
      <c r="O387" s="153"/>
      <c r="P387" s="480"/>
      <c r="Q387" s="200"/>
      <c r="R387" s="480"/>
      <c r="S387" s="224"/>
      <c r="T387" s="18">
        <f>ROUNDDOWN(S397,2)</f>
        <v>3461.82</v>
      </c>
      <c r="U387" s="2" t="s">
        <v>0</v>
      </c>
      <c r="V387" s="43"/>
    </row>
    <row r="388" spans="2:23" s="1" customFormat="1" x14ac:dyDescent="0.3">
      <c r="B388" s="36"/>
      <c r="C388" s="17"/>
      <c r="D388" s="8" t="s">
        <v>95</v>
      </c>
      <c r="E388" s="154" t="s">
        <v>150</v>
      </c>
      <c r="F388" s="493"/>
      <c r="G388" s="154" t="s">
        <v>151</v>
      </c>
      <c r="H388" s="493"/>
      <c r="I388" s="154" t="s">
        <v>294</v>
      </c>
      <c r="J388" s="493"/>
      <c r="K388" s="154" t="s">
        <v>153</v>
      </c>
      <c r="L388" s="494"/>
      <c r="M388" s="163" t="s">
        <v>32</v>
      </c>
      <c r="N388" s="494"/>
      <c r="O388" s="201" t="s">
        <v>163</v>
      </c>
      <c r="P388" s="494"/>
      <c r="Q388" s="202" t="s">
        <v>151</v>
      </c>
      <c r="R388" s="494"/>
      <c r="S388" s="226" t="s">
        <v>143</v>
      </c>
      <c r="T388" s="66"/>
      <c r="U388" s="2"/>
      <c r="V388" s="43"/>
    </row>
    <row r="389" spans="2:23" s="1" customFormat="1" x14ac:dyDescent="0.3">
      <c r="B389" s="36"/>
      <c r="C389" s="17"/>
      <c r="D389" s="145" t="s">
        <v>716</v>
      </c>
      <c r="E389" s="578"/>
      <c r="F389" s="565"/>
      <c r="G389" s="331"/>
      <c r="H389" s="575"/>
      <c r="I389" s="331"/>
      <c r="J389" s="575"/>
      <c r="K389" s="331"/>
      <c r="L389" s="565"/>
      <c r="M389" s="331"/>
      <c r="N389" s="565"/>
      <c r="O389" s="331"/>
      <c r="P389" s="565"/>
      <c r="Q389" s="331"/>
      <c r="R389" s="565"/>
      <c r="S389" s="577"/>
      <c r="T389" s="66"/>
      <c r="U389" s="2"/>
      <c r="V389" s="43"/>
    </row>
    <row r="390" spans="2:23" s="1" customFormat="1" x14ac:dyDescent="0.3">
      <c r="B390" s="36"/>
      <c r="C390" s="17"/>
      <c r="D390" s="139" t="s">
        <v>272</v>
      </c>
      <c r="E390" s="328">
        <v>4</v>
      </c>
      <c r="F390" s="518" t="s">
        <v>185</v>
      </c>
      <c r="G390" s="329"/>
      <c r="H390" s="517"/>
      <c r="I390" s="329">
        <f t="shared" ref="I390:I395" si="6">$M$378</f>
        <v>4</v>
      </c>
      <c r="J390" s="517"/>
      <c r="K390" s="329">
        <v>2</v>
      </c>
      <c r="L390" s="518" t="s">
        <v>185</v>
      </c>
      <c r="M390" s="329">
        <v>26</v>
      </c>
      <c r="N390" s="518" t="s">
        <v>185</v>
      </c>
      <c r="O390" s="329">
        <v>7850</v>
      </c>
      <c r="P390" s="518" t="s">
        <v>185</v>
      </c>
      <c r="Q390" s="608">
        <f>22/7*0.0065*0.0065</f>
        <v>1.3278571428571427E-4</v>
      </c>
      <c r="R390" s="518" t="s">
        <v>114</v>
      </c>
      <c r="S390" s="519">
        <f t="shared" ref="S390:S395" si="7">E390*K390*M390*O390*Q390*I390</f>
        <v>867.25005714285703</v>
      </c>
      <c r="T390" s="66"/>
      <c r="U390" s="2"/>
      <c r="V390" s="43"/>
      <c r="W390" s="37">
        <f>E380/0.15</f>
        <v>26.666666666666668</v>
      </c>
    </row>
    <row r="391" spans="2:23" s="1" customFormat="1" x14ac:dyDescent="0.3">
      <c r="B391" s="36"/>
      <c r="C391" s="17"/>
      <c r="D391" s="139" t="s">
        <v>273</v>
      </c>
      <c r="E391" s="328">
        <v>4</v>
      </c>
      <c r="F391" s="518" t="s">
        <v>185</v>
      </c>
      <c r="G391" s="329"/>
      <c r="H391" s="517"/>
      <c r="I391" s="329">
        <f t="shared" si="6"/>
        <v>4</v>
      </c>
      <c r="J391" s="517"/>
      <c r="K391" s="329">
        <v>2</v>
      </c>
      <c r="L391" s="518" t="s">
        <v>185</v>
      </c>
      <c r="M391" s="329">
        <v>26</v>
      </c>
      <c r="N391" s="518" t="s">
        <v>185</v>
      </c>
      <c r="O391" s="329">
        <v>7850</v>
      </c>
      <c r="P391" s="518" t="s">
        <v>185</v>
      </c>
      <c r="Q391" s="608">
        <f>22/7*0.0065*0.0065</f>
        <v>1.3278571428571427E-4</v>
      </c>
      <c r="R391" s="518" t="s">
        <v>114</v>
      </c>
      <c r="S391" s="519">
        <f t="shared" si="7"/>
        <v>867.25005714285703</v>
      </c>
      <c r="T391" s="66"/>
      <c r="U391" s="2"/>
      <c r="V391" s="43"/>
      <c r="W391" s="37">
        <f>G380/0.15</f>
        <v>26.666666666666668</v>
      </c>
    </row>
    <row r="392" spans="2:23" s="1" customFormat="1" x14ac:dyDescent="0.3">
      <c r="B392" s="36"/>
      <c r="C392" s="17"/>
      <c r="D392" s="139" t="s">
        <v>274</v>
      </c>
      <c r="E392" s="328">
        <f>E379+(40*0.01+(2*6*0.01))</f>
        <v>7.32</v>
      </c>
      <c r="F392" s="518" t="s">
        <v>185</v>
      </c>
      <c r="G392" s="329"/>
      <c r="H392" s="517"/>
      <c r="I392" s="329">
        <f t="shared" si="6"/>
        <v>4</v>
      </c>
      <c r="J392" s="517"/>
      <c r="K392" s="329">
        <v>2</v>
      </c>
      <c r="L392" s="518" t="s">
        <v>185</v>
      </c>
      <c r="M392" s="329">
        <v>12</v>
      </c>
      <c r="N392" s="518" t="s">
        <v>185</v>
      </c>
      <c r="O392" s="329">
        <v>7850</v>
      </c>
      <c r="P392" s="518" t="s">
        <v>185</v>
      </c>
      <c r="Q392" s="608">
        <f>Q391</f>
        <v>1.3278571428571427E-4</v>
      </c>
      <c r="R392" s="518" t="s">
        <v>114</v>
      </c>
      <c r="S392" s="519">
        <f t="shared" si="7"/>
        <v>732.4927405714285</v>
      </c>
      <c r="T392" s="66"/>
      <c r="U392" s="2"/>
      <c r="V392" s="43"/>
      <c r="W392" s="37">
        <f>E378/0.15</f>
        <v>12.133333333333335</v>
      </c>
    </row>
    <row r="393" spans="2:23" s="1" customFormat="1" x14ac:dyDescent="0.3">
      <c r="B393" s="36"/>
      <c r="C393" s="17"/>
      <c r="D393" s="139"/>
      <c r="E393" s="328">
        <f>E378</f>
        <v>1.82</v>
      </c>
      <c r="F393" s="518" t="s">
        <v>185</v>
      </c>
      <c r="G393" s="1161"/>
      <c r="H393" s="517"/>
      <c r="I393" s="1161">
        <f t="shared" si="6"/>
        <v>4</v>
      </c>
      <c r="J393" s="517"/>
      <c r="K393" s="1161">
        <v>2</v>
      </c>
      <c r="L393" s="518" t="s">
        <v>185</v>
      </c>
      <c r="M393" s="1161">
        <v>45</v>
      </c>
      <c r="N393" s="518" t="s">
        <v>185</v>
      </c>
      <c r="O393" s="1161">
        <v>7850</v>
      </c>
      <c r="P393" s="518" t="s">
        <v>185</v>
      </c>
      <c r="Q393" s="608">
        <f>Q392</f>
        <v>1.3278571428571427E-4</v>
      </c>
      <c r="R393" s="518" t="s">
        <v>114</v>
      </c>
      <c r="S393" s="519">
        <f t="shared" si="7"/>
        <v>682.95941999999991</v>
      </c>
      <c r="T393" s="66"/>
      <c r="U393" s="2"/>
      <c r="V393" s="43"/>
      <c r="W393" s="37">
        <f>E379/0.15</f>
        <v>45.333333333333336</v>
      </c>
    </row>
    <row r="394" spans="2:23" s="1" customFormat="1" x14ac:dyDescent="0.3">
      <c r="B394" s="36"/>
      <c r="C394" s="17"/>
      <c r="D394" s="146" t="s">
        <v>275</v>
      </c>
      <c r="E394" s="328">
        <f>E381</f>
        <v>1.82</v>
      </c>
      <c r="F394" s="518" t="s">
        <v>185</v>
      </c>
      <c r="G394" s="1161"/>
      <c r="H394" s="517"/>
      <c r="I394" s="1161">
        <f t="shared" si="6"/>
        <v>4</v>
      </c>
      <c r="J394" s="517"/>
      <c r="K394" s="1161">
        <v>2</v>
      </c>
      <c r="L394" s="518" t="s">
        <v>185</v>
      </c>
      <c r="M394" s="1161">
        <v>10</v>
      </c>
      <c r="N394" s="518" t="s">
        <v>185</v>
      </c>
      <c r="O394" s="1161">
        <v>7850</v>
      </c>
      <c r="P394" s="518" t="s">
        <v>185</v>
      </c>
      <c r="Q394" s="608">
        <f>Q393</f>
        <v>1.3278571428571427E-4</v>
      </c>
      <c r="R394" s="518" t="s">
        <v>114</v>
      </c>
      <c r="S394" s="519">
        <f t="shared" si="7"/>
        <v>151.76875999999999</v>
      </c>
      <c r="T394" s="66"/>
      <c r="U394" s="2"/>
      <c r="V394" s="43"/>
      <c r="W394" s="37">
        <f>G381/0.15</f>
        <v>10.666666666666668</v>
      </c>
    </row>
    <row r="395" spans="2:23" s="1" customFormat="1" x14ac:dyDescent="0.3">
      <c r="B395" s="36"/>
      <c r="C395" s="17"/>
      <c r="D395" s="146"/>
      <c r="E395" s="328">
        <f>G381</f>
        <v>1.6</v>
      </c>
      <c r="F395" s="518" t="s">
        <v>185</v>
      </c>
      <c r="G395" s="1161"/>
      <c r="H395" s="517"/>
      <c r="I395" s="1161">
        <f t="shared" si="6"/>
        <v>4</v>
      </c>
      <c r="J395" s="517"/>
      <c r="K395" s="1161">
        <v>2</v>
      </c>
      <c r="L395" s="518" t="s">
        <v>185</v>
      </c>
      <c r="M395" s="1161">
        <v>12</v>
      </c>
      <c r="N395" s="518" t="s">
        <v>185</v>
      </c>
      <c r="O395" s="1161">
        <v>7850</v>
      </c>
      <c r="P395" s="518" t="s">
        <v>185</v>
      </c>
      <c r="Q395" s="608">
        <f>Q394</f>
        <v>1.3278571428571427E-4</v>
      </c>
      <c r="R395" s="518" t="s">
        <v>114</v>
      </c>
      <c r="S395" s="519">
        <f t="shared" si="7"/>
        <v>160.10770285714287</v>
      </c>
      <c r="T395" s="66"/>
      <c r="U395" s="2"/>
      <c r="V395" s="43"/>
      <c r="W395" s="37">
        <f>E371/0.15</f>
        <v>12</v>
      </c>
    </row>
    <row r="396" spans="2:23" s="1" customFormat="1" ht="17.25" thickBot="1" x14ac:dyDescent="0.35">
      <c r="B396" s="36"/>
      <c r="C396" s="17"/>
      <c r="D396" s="148"/>
      <c r="E396" s="619"/>
      <c r="F396" s="526"/>
      <c r="G396" s="619"/>
      <c r="H396" s="526"/>
      <c r="I396" s="619"/>
      <c r="J396" s="526"/>
      <c r="K396" s="619"/>
      <c r="L396" s="526"/>
      <c r="M396" s="619"/>
      <c r="N396" s="526"/>
      <c r="O396" s="619"/>
      <c r="P396" s="526"/>
      <c r="Q396" s="619"/>
      <c r="R396" s="526"/>
      <c r="S396" s="620"/>
      <c r="T396" s="66"/>
      <c r="U396" s="2"/>
      <c r="V396" s="43"/>
    </row>
    <row r="397" spans="2:23" s="1" customFormat="1" ht="17.25" thickBot="1" x14ac:dyDescent="0.35">
      <c r="B397" s="36"/>
      <c r="C397" s="17"/>
      <c r="D397" s="3109" t="s">
        <v>164</v>
      </c>
      <c r="E397" s="3110"/>
      <c r="F397" s="3110"/>
      <c r="G397" s="3110"/>
      <c r="H397" s="3110"/>
      <c r="I397" s="3110"/>
      <c r="J397" s="621"/>
      <c r="K397" s="193"/>
      <c r="L397" s="621"/>
      <c r="M397" s="194"/>
      <c r="N397" s="621"/>
      <c r="O397" s="194"/>
      <c r="P397" s="621"/>
      <c r="Q397" s="194"/>
      <c r="R397" s="621"/>
      <c r="S397" s="250">
        <f>SUM(S389:S396)</f>
        <v>3461.8287377142856</v>
      </c>
      <c r="T397" s="66"/>
      <c r="U397" s="2"/>
      <c r="V397" s="43"/>
    </row>
    <row r="398" spans="2:23" x14ac:dyDescent="0.3">
      <c r="B398" s="464"/>
      <c r="C398" s="465"/>
      <c r="T398" s="474"/>
    </row>
    <row r="399" spans="2:23" s="1" customFormat="1" ht="17.25" thickBot="1" x14ac:dyDescent="0.35">
      <c r="B399" s="36"/>
      <c r="C399" s="17" t="str">
        <f>RAB!D77</f>
        <v>Bekisting Tangga</v>
      </c>
      <c r="E399" s="153"/>
      <c r="F399" s="480"/>
      <c r="G399" s="153"/>
      <c r="H399" s="480"/>
      <c r="I399" s="153"/>
      <c r="J399" s="480"/>
      <c r="K399" s="153"/>
      <c r="L399" s="480"/>
      <c r="M399" s="162"/>
      <c r="N399" s="480"/>
      <c r="O399" s="153"/>
      <c r="P399" s="480"/>
      <c r="Q399" s="200"/>
      <c r="R399" s="480"/>
      <c r="S399" s="224"/>
      <c r="T399" s="18">
        <f>ROUNDDOWN(Q406,2)</f>
        <v>151.36000000000001</v>
      </c>
      <c r="U399" s="2" t="s">
        <v>2</v>
      </c>
      <c r="V399" s="43"/>
    </row>
    <row r="400" spans="2:23" s="1" customFormat="1" x14ac:dyDescent="0.3">
      <c r="B400" s="36"/>
      <c r="C400" s="17"/>
      <c r="D400" s="8" t="s">
        <v>95</v>
      </c>
      <c r="E400" s="154" t="s">
        <v>150</v>
      </c>
      <c r="F400" s="493"/>
      <c r="G400" s="154" t="s">
        <v>151</v>
      </c>
      <c r="H400" s="493"/>
      <c r="I400" s="154" t="s">
        <v>152</v>
      </c>
      <c r="J400" s="493"/>
      <c r="K400" s="154" t="s">
        <v>153</v>
      </c>
      <c r="L400" s="494"/>
      <c r="M400" s="163" t="s">
        <v>32</v>
      </c>
      <c r="N400" s="494"/>
      <c r="O400" s="201" t="s">
        <v>163</v>
      </c>
      <c r="P400" s="494"/>
      <c r="Q400" s="202" t="s">
        <v>151</v>
      </c>
      <c r="R400" s="494"/>
      <c r="S400" s="226" t="s">
        <v>143</v>
      </c>
      <c r="T400" s="66"/>
      <c r="U400" s="2"/>
      <c r="V400" s="43"/>
    </row>
    <row r="401" spans="2:22" s="1" customFormat="1" x14ac:dyDescent="0.3">
      <c r="B401" s="36"/>
      <c r="C401" s="17"/>
      <c r="D401" s="149" t="s">
        <v>293</v>
      </c>
      <c r="E401" s="578">
        <f>E379</f>
        <v>6.8</v>
      </c>
      <c r="F401" s="565" t="s">
        <v>185</v>
      </c>
      <c r="G401" s="331">
        <f>G379</f>
        <v>1.82</v>
      </c>
      <c r="H401" s="565" t="s">
        <v>185</v>
      </c>
      <c r="I401" s="331"/>
      <c r="J401" s="565"/>
      <c r="K401" s="331">
        <v>1</v>
      </c>
      <c r="L401" s="565" t="s">
        <v>185</v>
      </c>
      <c r="M401" s="331">
        <f>M379</f>
        <v>4</v>
      </c>
      <c r="N401" s="565"/>
      <c r="O401" s="331"/>
      <c r="P401" s="565" t="s">
        <v>114</v>
      </c>
      <c r="Q401" s="331">
        <f>E401*G401*K401*M401</f>
        <v>49.503999999999998</v>
      </c>
      <c r="R401" s="565"/>
      <c r="S401" s="577"/>
      <c r="T401" s="66"/>
      <c r="U401" s="2"/>
      <c r="V401" s="43"/>
    </row>
    <row r="402" spans="2:22" s="1" customFormat="1" x14ac:dyDescent="0.3">
      <c r="B402" s="36"/>
      <c r="C402" s="17"/>
      <c r="D402" s="139" t="s">
        <v>158</v>
      </c>
      <c r="E402" s="328">
        <f>E380</f>
        <v>4</v>
      </c>
      <c r="F402" s="518" t="s">
        <v>185</v>
      </c>
      <c r="G402" s="329">
        <f>G380</f>
        <v>4</v>
      </c>
      <c r="H402" s="518"/>
      <c r="I402" s="329"/>
      <c r="J402" s="518"/>
      <c r="K402" s="329">
        <v>1</v>
      </c>
      <c r="L402" s="518" t="s">
        <v>185</v>
      </c>
      <c r="M402" s="329">
        <f>M380</f>
        <v>4</v>
      </c>
      <c r="N402" s="518"/>
      <c r="O402" s="329"/>
      <c r="P402" s="518" t="s">
        <v>114</v>
      </c>
      <c r="Q402" s="329">
        <f>G402*E402*K402*M402</f>
        <v>64</v>
      </c>
      <c r="R402" s="518"/>
      <c r="S402" s="519"/>
      <c r="T402" s="66"/>
      <c r="U402" s="2"/>
      <c r="V402" s="43"/>
    </row>
    <row r="403" spans="2:22" s="1" customFormat="1" x14ac:dyDescent="0.3">
      <c r="B403" s="36"/>
      <c r="C403" s="17"/>
      <c r="D403" s="146" t="s">
        <v>276</v>
      </c>
      <c r="E403" s="328">
        <f>E378</f>
        <v>1.82</v>
      </c>
      <c r="F403" s="518" t="s">
        <v>185</v>
      </c>
      <c r="G403" s="329">
        <v>0.18</v>
      </c>
      <c r="H403" s="518"/>
      <c r="I403" s="329"/>
      <c r="J403" s="518"/>
      <c r="K403" s="329">
        <f>K378</f>
        <v>20</v>
      </c>
      <c r="L403" s="518" t="s">
        <v>185</v>
      </c>
      <c r="M403" s="329">
        <f>M378</f>
        <v>4</v>
      </c>
      <c r="N403" s="518"/>
      <c r="O403" s="329"/>
      <c r="P403" s="518" t="s">
        <v>114</v>
      </c>
      <c r="Q403" s="329">
        <f>E403*G403*K403*M403</f>
        <v>26.207999999999998</v>
      </c>
      <c r="R403" s="517"/>
      <c r="S403" s="519"/>
      <c r="T403" s="66"/>
      <c r="U403" s="2"/>
      <c r="V403" s="43"/>
    </row>
    <row r="404" spans="2:22" s="1" customFormat="1" x14ac:dyDescent="0.3">
      <c r="B404" s="36"/>
      <c r="C404" s="17"/>
      <c r="D404" s="146" t="str">
        <f>D394</f>
        <v xml:space="preserve">Vertikal </v>
      </c>
      <c r="E404" s="328"/>
      <c r="F404" s="518" t="s">
        <v>185</v>
      </c>
      <c r="G404" s="329">
        <f>G381</f>
        <v>1.6</v>
      </c>
      <c r="H404" s="518" t="s">
        <v>185</v>
      </c>
      <c r="I404" s="329">
        <f>E381</f>
        <v>1.82</v>
      </c>
      <c r="J404" s="518"/>
      <c r="K404" s="329">
        <v>1</v>
      </c>
      <c r="L404" s="518" t="s">
        <v>185</v>
      </c>
      <c r="M404" s="329">
        <v>4</v>
      </c>
      <c r="N404" s="518"/>
      <c r="O404" s="329"/>
      <c r="P404" s="518" t="s">
        <v>114</v>
      </c>
      <c r="Q404" s="329">
        <f>G404*I404*K404*M404</f>
        <v>11.648000000000001</v>
      </c>
      <c r="R404" s="517"/>
      <c r="S404" s="519"/>
      <c r="T404" s="66"/>
      <c r="U404" s="2"/>
      <c r="V404" s="43"/>
    </row>
    <row r="405" spans="2:22" s="1" customFormat="1" x14ac:dyDescent="0.3">
      <c r="B405" s="36"/>
      <c r="C405" s="17"/>
      <c r="D405" s="150"/>
      <c r="E405" s="592"/>
      <c r="F405" s="512"/>
      <c r="G405" s="330"/>
      <c r="H405" s="512"/>
      <c r="I405" s="330"/>
      <c r="J405" s="512"/>
      <c r="K405" s="330"/>
      <c r="L405" s="512"/>
      <c r="M405" s="330"/>
      <c r="N405" s="512"/>
      <c r="O405" s="330"/>
      <c r="P405" s="512"/>
      <c r="Q405" s="330"/>
      <c r="R405" s="512"/>
      <c r="S405" s="559"/>
      <c r="T405" s="66"/>
      <c r="U405" s="2"/>
      <c r="V405" s="43"/>
    </row>
    <row r="406" spans="2:22" s="1" customFormat="1" ht="17.25" thickBot="1" x14ac:dyDescent="0.35">
      <c r="B406" s="36"/>
      <c r="C406" s="17"/>
      <c r="D406" s="3089" t="s">
        <v>164</v>
      </c>
      <c r="E406" s="3090"/>
      <c r="F406" s="3090"/>
      <c r="G406" s="3090"/>
      <c r="H406" s="3090"/>
      <c r="I406" s="3090"/>
      <c r="J406" s="622"/>
      <c r="K406" s="190"/>
      <c r="L406" s="622"/>
      <c r="M406" s="190"/>
      <c r="N406" s="622"/>
      <c r="O406" s="190"/>
      <c r="P406" s="622"/>
      <c r="Q406" s="273">
        <f>SUM(Q401:Q405)</f>
        <v>151.35999999999999</v>
      </c>
      <c r="R406" s="622"/>
      <c r="S406" s="247"/>
      <c r="T406" s="66"/>
      <c r="U406" s="2"/>
      <c r="V406" s="43"/>
    </row>
    <row r="407" spans="2:22" x14ac:dyDescent="0.3">
      <c r="B407" s="464"/>
      <c r="C407" s="465"/>
      <c r="D407" s="453"/>
      <c r="E407" s="455"/>
      <c r="F407" s="485"/>
      <c r="G407" s="455"/>
      <c r="H407" s="485"/>
      <c r="I407" s="455"/>
      <c r="J407" s="485"/>
      <c r="K407" s="438"/>
      <c r="L407" s="482"/>
      <c r="M407" s="439"/>
      <c r="N407" s="482"/>
      <c r="O407" s="438"/>
      <c r="P407" s="482"/>
      <c r="Q407" s="477"/>
      <c r="R407" s="482"/>
      <c r="S407" s="454"/>
    </row>
    <row r="408" spans="2:22" s="1" customFormat="1" x14ac:dyDescent="0.3">
      <c r="B408" s="36">
        <f>RAB!B78</f>
        <v>12</v>
      </c>
      <c r="C408" s="17" t="str">
        <f>RAB!C78</f>
        <v>Plat Lantai</v>
      </c>
      <c r="D408" s="38"/>
      <c r="E408" s="208"/>
      <c r="F408" s="551"/>
      <c r="G408" s="208"/>
      <c r="H408" s="551"/>
      <c r="I408" s="208"/>
      <c r="J408" s="551"/>
      <c r="K408" s="156"/>
      <c r="L408" s="501"/>
      <c r="M408" s="165"/>
      <c r="N408" s="501"/>
      <c r="O408" s="156"/>
      <c r="P408" s="501"/>
      <c r="Q408" s="204"/>
      <c r="R408" s="501"/>
      <c r="S408" s="232"/>
      <c r="T408" s="66"/>
      <c r="U408" s="2"/>
      <c r="V408" s="43"/>
    </row>
    <row r="409" spans="2:22" s="1" customFormat="1" ht="17.25" thickBot="1" x14ac:dyDescent="0.35">
      <c r="B409" s="36"/>
      <c r="C409" s="17" t="str">
        <f>RAB!D79</f>
        <v xml:space="preserve">Beton mutu f'c=26,4 Mpa </v>
      </c>
      <c r="D409" s="38"/>
      <c r="E409" s="208"/>
      <c r="F409" s="551"/>
      <c r="G409" s="208"/>
      <c r="H409" s="551"/>
      <c r="I409" s="208"/>
      <c r="J409" s="551"/>
      <c r="K409" s="156"/>
      <c r="L409" s="501"/>
      <c r="M409" s="165"/>
      <c r="N409" s="501"/>
      <c r="O409" s="156"/>
      <c r="P409" s="501"/>
      <c r="Q409" s="204"/>
      <c r="R409" s="501"/>
      <c r="S409" s="232"/>
      <c r="T409" s="18">
        <f>ROUNDDOWN(S417,2)</f>
        <v>69.69</v>
      </c>
      <c r="U409" s="2" t="s">
        <v>3</v>
      </c>
      <c r="V409" s="43"/>
    </row>
    <row r="410" spans="2:22" s="1" customFormat="1" x14ac:dyDescent="0.3">
      <c r="B410" s="36"/>
      <c r="C410" s="17"/>
      <c r="D410" s="8" t="s">
        <v>95</v>
      </c>
      <c r="E410" s="154" t="s">
        <v>150</v>
      </c>
      <c r="F410" s="493"/>
      <c r="G410" s="154" t="s">
        <v>151</v>
      </c>
      <c r="H410" s="493"/>
      <c r="I410" s="154" t="s">
        <v>152</v>
      </c>
      <c r="J410" s="493"/>
      <c r="K410" s="154" t="s">
        <v>153</v>
      </c>
      <c r="L410" s="494"/>
      <c r="M410" s="163" t="s">
        <v>32</v>
      </c>
      <c r="N410" s="494"/>
      <c r="O410" s="201" t="s">
        <v>163</v>
      </c>
      <c r="P410" s="494"/>
      <c r="Q410" s="202" t="s">
        <v>151</v>
      </c>
      <c r="R410" s="494"/>
      <c r="S410" s="226" t="s">
        <v>143</v>
      </c>
      <c r="T410" s="66"/>
      <c r="U410" s="2"/>
      <c r="V410" s="43"/>
    </row>
    <row r="411" spans="2:22" s="1" customFormat="1" x14ac:dyDescent="0.3">
      <c r="B411" s="36"/>
      <c r="C411" s="17"/>
      <c r="D411" s="149" t="s">
        <v>239</v>
      </c>
      <c r="E411" s="578"/>
      <c r="F411" s="565"/>
      <c r="G411" s="578"/>
      <c r="H411" s="565"/>
      <c r="I411" s="331">
        <v>0.1</v>
      </c>
      <c r="J411" s="565" t="s">
        <v>185</v>
      </c>
      <c r="K411" s="331">
        <v>1</v>
      </c>
      <c r="L411" s="565"/>
      <c r="M411" s="331"/>
      <c r="N411" s="565"/>
      <c r="O411" s="331"/>
      <c r="P411" s="565"/>
      <c r="Q411" s="331">
        <v>711.62</v>
      </c>
      <c r="R411" s="565" t="s">
        <v>114</v>
      </c>
      <c r="S411" s="577">
        <f>K411*I411*Q411</f>
        <v>71.162000000000006</v>
      </c>
      <c r="T411" s="66"/>
      <c r="U411" s="2"/>
      <c r="V411" s="43"/>
    </row>
    <row r="412" spans="2:22" s="1" customFormat="1" x14ac:dyDescent="0.3">
      <c r="B412" s="36"/>
      <c r="C412" s="17"/>
      <c r="D412" s="138" t="s">
        <v>244</v>
      </c>
      <c r="E412" s="329"/>
      <c r="F412" s="517"/>
      <c r="G412" s="329"/>
      <c r="H412" s="517"/>
      <c r="I412" s="329"/>
      <c r="J412" s="517"/>
      <c r="K412" s="329"/>
      <c r="L412" s="517"/>
      <c r="M412" s="329"/>
      <c r="N412" s="517"/>
      <c r="O412" s="329"/>
      <c r="P412" s="517"/>
      <c r="Q412" s="329"/>
      <c r="R412" s="517"/>
      <c r="S412" s="519"/>
      <c r="T412" s="66"/>
      <c r="U412" s="2"/>
      <c r="V412" s="43"/>
    </row>
    <row r="413" spans="2:22" s="1" customFormat="1" x14ac:dyDescent="0.3">
      <c r="B413" s="36"/>
      <c r="C413" s="17"/>
      <c r="D413" s="139" t="s">
        <v>719</v>
      </c>
      <c r="E413" s="328">
        <v>0.4</v>
      </c>
      <c r="F413" s="518" t="s">
        <v>185</v>
      </c>
      <c r="G413" s="328">
        <v>0.4</v>
      </c>
      <c r="H413" s="518" t="s">
        <v>185</v>
      </c>
      <c r="I413" s="329">
        <v>0.1</v>
      </c>
      <c r="J413" s="518" t="s">
        <v>185</v>
      </c>
      <c r="K413" s="329">
        <f>9*5</f>
        <v>45</v>
      </c>
      <c r="L413" s="518"/>
      <c r="M413" s="329"/>
      <c r="N413" s="518"/>
      <c r="O413" s="329"/>
      <c r="P413" s="518"/>
      <c r="Q413" s="329">
        <f>K413*G413*E413</f>
        <v>7.2</v>
      </c>
      <c r="R413" s="518" t="s">
        <v>114</v>
      </c>
      <c r="S413" s="519">
        <f>I413*G413*E413*K413</f>
        <v>0.7200000000000002</v>
      </c>
      <c r="T413" s="66"/>
      <c r="U413" s="2"/>
      <c r="V413" s="43"/>
    </row>
    <row r="414" spans="2:22" s="1" customFormat="1" x14ac:dyDescent="0.3">
      <c r="B414" s="36"/>
      <c r="C414" s="17"/>
      <c r="D414" s="139"/>
      <c r="E414" s="328"/>
      <c r="F414" s="518"/>
      <c r="G414" s="328"/>
      <c r="H414" s="518"/>
      <c r="I414" s="329"/>
      <c r="J414" s="518"/>
      <c r="K414" s="329"/>
      <c r="L414" s="518"/>
      <c r="M414" s="329"/>
      <c r="N414" s="518"/>
      <c r="O414" s="329"/>
      <c r="P414" s="518"/>
      <c r="Q414" s="329"/>
      <c r="R414" s="518"/>
      <c r="S414" s="519"/>
      <c r="T414" s="66"/>
      <c r="U414" s="2"/>
      <c r="V414" s="43"/>
    </row>
    <row r="415" spans="2:22" s="1" customFormat="1" x14ac:dyDescent="0.3">
      <c r="B415" s="36"/>
      <c r="C415" s="17"/>
      <c r="D415" s="140" t="s">
        <v>735</v>
      </c>
      <c r="E415" s="328"/>
      <c r="F415" s="518"/>
      <c r="G415" s="329"/>
      <c r="H415" s="518"/>
      <c r="I415" s="329"/>
      <c r="J415" s="518"/>
      <c r="K415" s="329">
        <f>S427</f>
        <v>5891.5371428571434</v>
      </c>
      <c r="L415" s="517" t="s">
        <v>253</v>
      </c>
      <c r="M415" s="328"/>
      <c r="N415" s="517"/>
      <c r="O415" s="328">
        <f>O423</f>
        <v>7850</v>
      </c>
      <c r="P415" s="517"/>
      <c r="Q415" s="329"/>
      <c r="R415" s="518" t="s">
        <v>114</v>
      </c>
      <c r="S415" s="519">
        <f>K415/O415</f>
        <v>0.7505142857142858</v>
      </c>
      <c r="T415" s="66"/>
      <c r="U415" s="2"/>
      <c r="V415" s="43"/>
    </row>
    <row r="416" spans="2:22" s="1" customFormat="1" x14ac:dyDescent="0.3">
      <c r="B416" s="36"/>
      <c r="C416" s="17"/>
      <c r="D416" s="150"/>
      <c r="E416" s="592"/>
      <c r="F416" s="593"/>
      <c r="G416" s="330"/>
      <c r="H416" s="512"/>
      <c r="I416" s="330"/>
      <c r="J416" s="512"/>
      <c r="K416" s="330"/>
      <c r="L416" s="512"/>
      <c r="M416" s="330"/>
      <c r="N416" s="512"/>
      <c r="O416" s="330"/>
      <c r="P416" s="512"/>
      <c r="Q416" s="330"/>
      <c r="R416" s="512" t="s">
        <v>149</v>
      </c>
      <c r="S416" s="559"/>
      <c r="T416" s="66"/>
      <c r="U416" s="2"/>
      <c r="V416" s="43"/>
    </row>
    <row r="417" spans="2:23" s="1" customFormat="1" ht="17.25" thickBot="1" x14ac:dyDescent="0.35">
      <c r="B417" s="36"/>
      <c r="C417" s="17"/>
      <c r="D417" s="3093" t="s">
        <v>164</v>
      </c>
      <c r="E417" s="3094"/>
      <c r="F417" s="3094"/>
      <c r="G417" s="3094"/>
      <c r="H417" s="3094"/>
      <c r="I417" s="3095"/>
      <c r="J417" s="524"/>
      <c r="K417" s="178"/>
      <c r="L417" s="500"/>
      <c r="M417" s="175"/>
      <c r="N417" s="500"/>
      <c r="O417" s="178"/>
      <c r="P417" s="500"/>
      <c r="Q417" s="203"/>
      <c r="R417" s="500"/>
      <c r="S417" s="231">
        <f>SUM(S411)-SUM(S413:S415)</f>
        <v>69.691485714285719</v>
      </c>
      <c r="T417" s="66"/>
      <c r="U417" s="2"/>
      <c r="V417" s="43"/>
    </row>
    <row r="418" spans="2:23" s="1" customFormat="1" x14ac:dyDescent="0.3">
      <c r="B418" s="36"/>
      <c r="C418" s="17"/>
      <c r="D418" s="38"/>
      <c r="E418" s="208"/>
      <c r="F418" s="551"/>
      <c r="G418" s="208"/>
      <c r="H418" s="551"/>
      <c r="I418" s="208"/>
      <c r="J418" s="551"/>
      <c r="K418" s="156"/>
      <c r="L418" s="501"/>
      <c r="M418" s="165"/>
      <c r="N418" s="501"/>
      <c r="O418" s="156"/>
      <c r="P418" s="501"/>
      <c r="Q418" s="204"/>
      <c r="R418" s="501"/>
      <c r="S418" s="232"/>
      <c r="T418" s="66"/>
      <c r="U418" s="2"/>
      <c r="V418" s="43"/>
    </row>
    <row r="419" spans="2:23" ht="17.25" thickBot="1" x14ac:dyDescent="0.35">
      <c r="B419" s="464"/>
      <c r="C419" s="17" t="str">
        <f>RAB!D80</f>
        <v>Pembesian Polos</v>
      </c>
      <c r="D419" s="38"/>
      <c r="E419" s="208"/>
      <c r="F419" s="551"/>
      <c r="G419" s="208"/>
      <c r="H419" s="551"/>
      <c r="I419" s="208"/>
      <c r="J419" s="551"/>
      <c r="K419" s="156"/>
      <c r="L419" s="501"/>
      <c r="M419" s="165"/>
      <c r="N419" s="501"/>
      <c r="O419" s="156"/>
      <c r="P419" s="501"/>
      <c r="Q419" s="204"/>
      <c r="R419" s="501"/>
      <c r="S419" s="232"/>
      <c r="T419" s="18">
        <f>ROUNDDOWN(S427,2)</f>
        <v>5891.53</v>
      </c>
      <c r="U419" s="2" t="s">
        <v>0</v>
      </c>
      <c r="W419" s="351">
        <v>3972.96</v>
      </c>
    </row>
    <row r="420" spans="2:23" x14ac:dyDescent="0.3">
      <c r="B420" s="464"/>
      <c r="C420" s="17"/>
      <c r="D420" s="8" t="s">
        <v>95</v>
      </c>
      <c r="E420" s="154" t="s">
        <v>150</v>
      </c>
      <c r="F420" s="493"/>
      <c r="G420" s="154" t="s">
        <v>151</v>
      </c>
      <c r="H420" s="493"/>
      <c r="I420" s="154" t="s">
        <v>152</v>
      </c>
      <c r="J420" s="493"/>
      <c r="K420" s="154" t="s">
        <v>153</v>
      </c>
      <c r="L420" s="494"/>
      <c r="M420" s="163" t="s">
        <v>32</v>
      </c>
      <c r="N420" s="494"/>
      <c r="O420" s="201" t="s">
        <v>163</v>
      </c>
      <c r="P420" s="494"/>
      <c r="Q420" s="202" t="s">
        <v>151</v>
      </c>
      <c r="R420" s="494"/>
      <c r="S420" s="226" t="s">
        <v>143</v>
      </c>
      <c r="T420" s="66"/>
      <c r="U420" s="2"/>
    </row>
    <row r="421" spans="2:23" x14ac:dyDescent="0.3">
      <c r="B421" s="464"/>
      <c r="C421" s="17"/>
      <c r="D421" s="142" t="s">
        <v>291</v>
      </c>
      <c r="E421" s="331"/>
      <c r="F421" s="575"/>
      <c r="G421" s="331"/>
      <c r="H421" s="575"/>
      <c r="I421" s="331"/>
      <c r="J421" s="575"/>
      <c r="K421" s="331"/>
      <c r="L421" s="575"/>
      <c r="M421" s="331"/>
      <c r="N421" s="575"/>
      <c r="O421" s="331"/>
      <c r="P421" s="575"/>
      <c r="Q421" s="331"/>
      <c r="R421" s="575"/>
      <c r="S421" s="577"/>
      <c r="T421" s="66"/>
      <c r="U421" s="2"/>
    </row>
    <row r="422" spans="2:23" x14ac:dyDescent="0.3">
      <c r="B422" s="464"/>
      <c r="C422" s="17"/>
      <c r="D422" s="138" t="s">
        <v>286</v>
      </c>
      <c r="E422" s="329"/>
      <c r="F422" s="517"/>
      <c r="G422" s="329"/>
      <c r="H422" s="517"/>
      <c r="I422" s="329"/>
      <c r="J422" s="517"/>
      <c r="K422" s="329"/>
      <c r="L422" s="518"/>
      <c r="M422" s="329"/>
      <c r="N422" s="518"/>
      <c r="O422" s="329"/>
      <c r="P422" s="518"/>
      <c r="Q422" s="329"/>
      <c r="R422" s="518"/>
      <c r="S422" s="519"/>
      <c r="T422" s="66"/>
      <c r="U422" s="2"/>
    </row>
    <row r="423" spans="2:23" x14ac:dyDescent="0.3">
      <c r="B423" s="464"/>
      <c r="C423" s="17"/>
      <c r="D423" s="138" t="s">
        <v>292</v>
      </c>
      <c r="E423" s="329">
        <f>36</f>
        <v>36</v>
      </c>
      <c r="F423" s="517" t="s">
        <v>185</v>
      </c>
      <c r="G423" s="329"/>
      <c r="H423" s="517"/>
      <c r="I423" s="329"/>
      <c r="J423" s="517"/>
      <c r="K423" s="329">
        <v>132</v>
      </c>
      <c r="L423" s="518" t="s">
        <v>185</v>
      </c>
      <c r="M423" s="329">
        <v>1</v>
      </c>
      <c r="N423" s="518"/>
      <c r="O423" s="329">
        <v>7850</v>
      </c>
      <c r="P423" s="518" t="s">
        <v>185</v>
      </c>
      <c r="Q423" s="608">
        <f>22/7*0.005*0.005</f>
        <v>7.857142857142858E-5</v>
      </c>
      <c r="R423" s="518" t="s">
        <v>114</v>
      </c>
      <c r="S423" s="519">
        <f>E423*K423*O423*Q423*M423</f>
        <v>2930.9657142857145</v>
      </c>
      <c r="T423" s="66"/>
      <c r="U423" s="2"/>
      <c r="W423" s="351">
        <f>20/0.15</f>
        <v>133.33333333333334</v>
      </c>
    </row>
    <row r="424" spans="2:23" x14ac:dyDescent="0.3">
      <c r="B424" s="464"/>
      <c r="C424" s="17"/>
      <c r="D424" s="138" t="s">
        <v>252</v>
      </c>
      <c r="E424" s="329"/>
      <c r="F424" s="517"/>
      <c r="G424" s="329"/>
      <c r="H424" s="517"/>
      <c r="I424" s="329"/>
      <c r="J424" s="517"/>
      <c r="K424" s="329"/>
      <c r="L424" s="518"/>
      <c r="M424" s="329"/>
      <c r="N424" s="518"/>
      <c r="O424" s="329"/>
      <c r="P424" s="518"/>
      <c r="Q424" s="608"/>
      <c r="R424" s="518"/>
      <c r="S424" s="519"/>
      <c r="T424" s="66"/>
      <c r="U424" s="2"/>
    </row>
    <row r="425" spans="2:23" x14ac:dyDescent="0.3">
      <c r="B425" s="464"/>
      <c r="C425" s="17"/>
      <c r="D425" s="138" t="s">
        <v>292</v>
      </c>
      <c r="E425" s="329">
        <v>20</v>
      </c>
      <c r="F425" s="517" t="s">
        <v>185</v>
      </c>
      <c r="G425" s="329"/>
      <c r="H425" s="517"/>
      <c r="I425" s="329"/>
      <c r="J425" s="517"/>
      <c r="K425" s="329">
        <v>240</v>
      </c>
      <c r="L425" s="518" t="s">
        <v>185</v>
      </c>
      <c r="M425" s="329">
        <v>1</v>
      </c>
      <c r="N425" s="518"/>
      <c r="O425" s="329">
        <v>7850</v>
      </c>
      <c r="P425" s="518" t="s">
        <v>185</v>
      </c>
      <c r="Q425" s="608">
        <f>22/7*0.005*0.005</f>
        <v>7.857142857142858E-5</v>
      </c>
      <c r="R425" s="518" t="s">
        <v>114</v>
      </c>
      <c r="S425" s="519">
        <f>E425*K425*O425*Q425*M425</f>
        <v>2960.5714285714289</v>
      </c>
      <c r="T425" s="66"/>
      <c r="U425" s="2"/>
      <c r="W425" s="351">
        <f>36/0.15</f>
        <v>240</v>
      </c>
    </row>
    <row r="426" spans="2:23" x14ac:dyDescent="0.3">
      <c r="B426" s="464"/>
      <c r="C426" s="17"/>
      <c r="D426" s="150"/>
      <c r="E426" s="199"/>
      <c r="F426" s="630"/>
      <c r="G426" s="160"/>
      <c r="H426" s="523"/>
      <c r="I426" s="160"/>
      <c r="J426" s="523"/>
      <c r="K426" s="160"/>
      <c r="L426" s="630"/>
      <c r="M426" s="160"/>
      <c r="N426" s="630"/>
      <c r="O426" s="160"/>
      <c r="P426" s="630"/>
      <c r="Q426" s="220"/>
      <c r="R426" s="630"/>
      <c r="S426" s="251"/>
      <c r="T426" s="66"/>
      <c r="U426" s="2"/>
    </row>
    <row r="427" spans="2:23" ht="17.25" thickBot="1" x14ac:dyDescent="0.35">
      <c r="B427" s="464"/>
      <c r="C427" s="17"/>
      <c r="D427" s="3093" t="s">
        <v>164</v>
      </c>
      <c r="E427" s="3094"/>
      <c r="F427" s="3094"/>
      <c r="G427" s="3094"/>
      <c r="H427" s="3094"/>
      <c r="I427" s="3095"/>
      <c r="J427" s="524"/>
      <c r="K427" s="178"/>
      <c r="L427" s="500"/>
      <c r="M427" s="175"/>
      <c r="N427" s="500"/>
      <c r="O427" s="178"/>
      <c r="P427" s="500"/>
      <c r="Q427" s="203"/>
      <c r="R427" s="500"/>
      <c r="S427" s="231">
        <f>SUM(S421:S426)</f>
        <v>5891.5371428571434</v>
      </c>
      <c r="T427" s="66"/>
      <c r="U427" s="2"/>
    </row>
    <row r="428" spans="2:23" x14ac:dyDescent="0.3">
      <c r="B428" s="464"/>
      <c r="C428" s="465"/>
      <c r="D428" s="453"/>
      <c r="E428" s="455"/>
      <c r="F428" s="485"/>
      <c r="G428" s="455"/>
      <c r="H428" s="485"/>
      <c r="I428" s="455"/>
      <c r="J428" s="485"/>
      <c r="K428" s="438"/>
      <c r="L428" s="482"/>
      <c r="M428" s="439"/>
      <c r="N428" s="482"/>
      <c r="O428" s="438"/>
      <c r="P428" s="482"/>
      <c r="Q428" s="440"/>
      <c r="R428" s="482"/>
      <c r="S428" s="454"/>
    </row>
    <row r="429" spans="2:23" x14ac:dyDescent="0.3">
      <c r="B429" s="464"/>
      <c r="C429" s="465"/>
      <c r="D429" s="453"/>
      <c r="E429" s="455"/>
      <c r="F429" s="485"/>
      <c r="G429" s="455"/>
      <c r="H429" s="485"/>
      <c r="I429" s="455"/>
      <c r="J429" s="485"/>
      <c r="K429" s="438"/>
      <c r="L429" s="482"/>
      <c r="M429" s="439"/>
      <c r="N429" s="482"/>
      <c r="O429" s="438"/>
      <c r="P429" s="482"/>
      <c r="Q429" s="440"/>
      <c r="R429" s="482"/>
      <c r="S429" s="454"/>
    </row>
    <row r="430" spans="2:23" s="1" customFormat="1" x14ac:dyDescent="0.3">
      <c r="B430" s="134" t="str">
        <f>RAB!B83</f>
        <v>III</v>
      </c>
      <c r="C430" s="134" t="str">
        <f>RAB!C83</f>
        <v>PEKERJAAN DINDING &amp; PLESTERAN</v>
      </c>
      <c r="D430" s="66"/>
      <c r="E430" s="153"/>
      <c r="F430" s="480"/>
      <c r="G430" s="153"/>
      <c r="H430" s="480"/>
      <c r="I430" s="153"/>
      <c r="J430" s="480"/>
      <c r="K430" s="153"/>
      <c r="L430" s="480"/>
      <c r="M430" s="162"/>
      <c r="N430" s="480"/>
      <c r="O430" s="153"/>
      <c r="P430" s="480"/>
      <c r="Q430" s="200"/>
      <c r="R430" s="480"/>
      <c r="S430" s="224"/>
      <c r="T430" s="66"/>
      <c r="U430" s="2"/>
      <c r="V430" s="43"/>
    </row>
    <row r="431" spans="2:23" s="1" customFormat="1" ht="17.25" thickBot="1" x14ac:dyDescent="0.35">
      <c r="B431" s="59" t="e">
        <f>RAB!#REF!</f>
        <v>#REF!</v>
      </c>
      <c r="C431" s="60" t="e">
        <f>RAB!#REF!</f>
        <v>#REF!</v>
      </c>
      <c r="E431" s="153"/>
      <c r="F431" s="480"/>
      <c r="G431" s="153"/>
      <c r="H431" s="480"/>
      <c r="I431" s="153"/>
      <c r="J431" s="480"/>
      <c r="K431" s="153"/>
      <c r="L431" s="480"/>
      <c r="M431" s="162"/>
      <c r="N431" s="480"/>
      <c r="O431" s="153"/>
      <c r="P431" s="480"/>
      <c r="Q431" s="153"/>
      <c r="R431" s="480"/>
      <c r="S431" s="224"/>
      <c r="T431" s="18"/>
      <c r="U431" s="2" t="s">
        <v>2</v>
      </c>
      <c r="V431" s="43"/>
    </row>
    <row r="432" spans="2:23" s="1" customFormat="1" x14ac:dyDescent="0.3">
      <c r="B432" s="59"/>
      <c r="C432" s="60"/>
      <c r="D432" s="8" t="s">
        <v>95</v>
      </c>
      <c r="E432" s="154" t="s">
        <v>150</v>
      </c>
      <c r="F432" s="493"/>
      <c r="G432" s="154" t="s">
        <v>151</v>
      </c>
      <c r="H432" s="493"/>
      <c r="I432" s="154" t="s">
        <v>152</v>
      </c>
      <c r="J432" s="493"/>
      <c r="K432" s="154" t="s">
        <v>153</v>
      </c>
      <c r="L432" s="494"/>
      <c r="M432" s="163" t="s">
        <v>32</v>
      </c>
      <c r="N432" s="494"/>
      <c r="O432" s="201" t="s">
        <v>163</v>
      </c>
      <c r="P432" s="494"/>
      <c r="Q432" s="201" t="s">
        <v>151</v>
      </c>
      <c r="R432" s="494"/>
      <c r="S432" s="226" t="s">
        <v>143</v>
      </c>
      <c r="T432" s="66"/>
      <c r="U432" s="2"/>
      <c r="V432" s="43"/>
    </row>
    <row r="433" spans="2:23" s="1" customFormat="1" x14ac:dyDescent="0.3">
      <c r="B433" s="59"/>
      <c r="C433" s="60"/>
      <c r="D433" s="274" t="s">
        <v>1332</v>
      </c>
      <c r="E433" s="331"/>
      <c r="F433" s="565"/>
      <c r="G433" s="331"/>
      <c r="H433" s="565"/>
      <c r="I433" s="331"/>
      <c r="J433" s="565"/>
      <c r="K433" s="331"/>
      <c r="L433" s="565"/>
      <c r="M433" s="331"/>
      <c r="N433" s="575"/>
      <c r="O433" s="331"/>
      <c r="P433" s="565"/>
      <c r="Q433" s="331"/>
      <c r="R433" s="565"/>
      <c r="S433" s="577"/>
      <c r="T433" s="66"/>
      <c r="U433" s="2"/>
      <c r="V433" s="43"/>
    </row>
    <row r="434" spans="2:23" s="1" customFormat="1" x14ac:dyDescent="0.3">
      <c r="B434" s="59"/>
      <c r="C434" s="60"/>
      <c r="D434" s="139" t="s">
        <v>194</v>
      </c>
      <c r="E434" s="329">
        <f>36</f>
        <v>36</v>
      </c>
      <c r="F434" s="518" t="s">
        <v>185</v>
      </c>
      <c r="G434" s="329"/>
      <c r="H434" s="518"/>
      <c r="I434" s="329">
        <v>4</v>
      </c>
      <c r="J434" s="518" t="s">
        <v>185</v>
      </c>
      <c r="K434" s="329">
        <v>2</v>
      </c>
      <c r="L434" s="518"/>
      <c r="M434" s="329"/>
      <c r="N434" s="517"/>
      <c r="O434" s="329"/>
      <c r="P434" s="518" t="s">
        <v>114</v>
      </c>
      <c r="Q434" s="329">
        <f>K434*I434*E434</f>
        <v>288</v>
      </c>
      <c r="R434" s="518"/>
      <c r="S434" s="519"/>
      <c r="T434" s="66"/>
      <c r="U434" s="2"/>
      <c r="V434" s="43"/>
    </row>
    <row r="435" spans="2:23" s="1" customFormat="1" x14ac:dyDescent="0.3">
      <c r="B435" s="59"/>
      <c r="C435" s="60"/>
      <c r="D435" s="139" t="s">
        <v>257</v>
      </c>
      <c r="E435" s="329">
        <v>1.35</v>
      </c>
      <c r="F435" s="518" t="s">
        <v>185</v>
      </c>
      <c r="G435" s="329"/>
      <c r="H435" s="518"/>
      <c r="I435" s="329">
        <v>1</v>
      </c>
      <c r="J435" s="518" t="s">
        <v>185</v>
      </c>
      <c r="K435" s="329">
        <v>2</v>
      </c>
      <c r="L435" s="518"/>
      <c r="M435" s="329"/>
      <c r="N435" s="517"/>
      <c r="O435" s="329"/>
      <c r="P435" s="518" t="s">
        <v>114</v>
      </c>
      <c r="Q435" s="329">
        <f>K435*I435*E435</f>
        <v>2.7</v>
      </c>
      <c r="R435" s="518"/>
      <c r="S435" s="519"/>
      <c r="T435" s="66"/>
      <c r="U435" s="2"/>
      <c r="V435" s="43"/>
      <c r="W435" s="37"/>
    </row>
    <row r="436" spans="2:23" s="1" customFormat="1" x14ac:dyDescent="0.3">
      <c r="B436" s="59"/>
      <c r="C436" s="60"/>
      <c r="D436" s="150"/>
      <c r="E436" s="592"/>
      <c r="F436" s="512"/>
      <c r="G436" s="330"/>
      <c r="H436" s="512"/>
      <c r="I436" s="330"/>
      <c r="J436" s="512"/>
      <c r="K436" s="330"/>
      <c r="L436" s="512"/>
      <c r="M436" s="330"/>
      <c r="N436" s="512"/>
      <c r="O436" s="330"/>
      <c r="P436" s="512"/>
      <c r="Q436" s="330"/>
      <c r="R436" s="512"/>
      <c r="S436" s="559"/>
      <c r="T436" s="66"/>
      <c r="U436" s="2"/>
      <c r="V436" s="43"/>
    </row>
    <row r="437" spans="2:23" s="1" customFormat="1" ht="17.25" thickBot="1" x14ac:dyDescent="0.35">
      <c r="B437" s="59"/>
      <c r="C437" s="60"/>
      <c r="D437" s="3093" t="s">
        <v>164</v>
      </c>
      <c r="E437" s="3093"/>
      <c r="F437" s="3093"/>
      <c r="G437" s="3093"/>
      <c r="H437" s="3093"/>
      <c r="I437" s="3093"/>
      <c r="J437" s="524"/>
      <c r="K437" s="178"/>
      <c r="L437" s="500"/>
      <c r="M437" s="175"/>
      <c r="N437" s="500"/>
      <c r="O437" s="178"/>
      <c r="P437" s="500"/>
      <c r="Q437" s="579">
        <f>SUM(Q434:Q435)</f>
        <v>290.7</v>
      </c>
      <c r="R437" s="500"/>
      <c r="S437" s="231"/>
      <c r="T437" s="66"/>
      <c r="U437" s="2"/>
      <c r="V437" s="43"/>
    </row>
    <row r="438" spans="2:23" x14ac:dyDescent="0.3">
      <c r="B438" s="473"/>
      <c r="C438" s="473"/>
      <c r="Q438" s="430"/>
    </row>
    <row r="439" spans="2:23" s="1" customFormat="1" ht="17.25" thickBot="1" x14ac:dyDescent="0.35">
      <c r="B439" s="59">
        <f>RAB!B84</f>
        <v>1</v>
      </c>
      <c r="C439" s="60" t="str">
        <f>RAB!C84</f>
        <v xml:space="preserve">Pasangan 1/2 bata camp. 1 : 4 </v>
      </c>
      <c r="E439" s="153"/>
      <c r="F439" s="480"/>
      <c r="G439" s="153"/>
      <c r="H439" s="480"/>
      <c r="I439" s="153"/>
      <c r="J439" s="480"/>
      <c r="K439" s="153"/>
      <c r="L439" s="480"/>
      <c r="M439" s="162"/>
      <c r="N439" s="480"/>
      <c r="O439" s="153"/>
      <c r="P439" s="480"/>
      <c r="Q439" s="153"/>
      <c r="R439" s="480"/>
      <c r="S439" s="224"/>
      <c r="T439" s="18">
        <f>ROUNDDOWN(Q451,2)</f>
        <v>776.56</v>
      </c>
      <c r="U439" s="2" t="s">
        <v>2</v>
      </c>
      <c r="V439" s="43"/>
    </row>
    <row r="440" spans="2:23" s="1" customFormat="1" x14ac:dyDescent="0.3">
      <c r="B440" s="59"/>
      <c r="C440" s="60"/>
      <c r="D440" s="8" t="s">
        <v>95</v>
      </c>
      <c r="E440" s="154" t="s">
        <v>150</v>
      </c>
      <c r="F440" s="493"/>
      <c r="G440" s="154" t="s">
        <v>151</v>
      </c>
      <c r="H440" s="493"/>
      <c r="I440" s="155" t="s">
        <v>152</v>
      </c>
      <c r="J440" s="493"/>
      <c r="K440" s="154" t="s">
        <v>153</v>
      </c>
      <c r="L440" s="494"/>
      <c r="M440" s="163" t="s">
        <v>32</v>
      </c>
      <c r="N440" s="494"/>
      <c r="O440" s="201" t="s">
        <v>163</v>
      </c>
      <c r="P440" s="494"/>
      <c r="Q440" s="201" t="s">
        <v>151</v>
      </c>
      <c r="R440" s="494"/>
      <c r="S440" s="226" t="s">
        <v>143</v>
      </c>
      <c r="T440" s="66"/>
      <c r="U440" s="2"/>
      <c r="V440" s="43"/>
    </row>
    <row r="441" spans="2:23" s="1" customFormat="1" x14ac:dyDescent="0.3">
      <c r="B441" s="59"/>
      <c r="C441" s="60"/>
      <c r="D441" s="636" t="s">
        <v>193</v>
      </c>
      <c r="E441" s="331"/>
      <c r="F441" s="575"/>
      <c r="G441" s="331"/>
      <c r="H441" s="575"/>
      <c r="I441" s="331"/>
      <c r="J441" s="575"/>
      <c r="K441" s="331"/>
      <c r="L441" s="575"/>
      <c r="M441" s="331"/>
      <c r="N441" s="575"/>
      <c r="O441" s="331"/>
      <c r="P441" s="575"/>
      <c r="Q441" s="331"/>
      <c r="R441" s="575"/>
      <c r="S441" s="577"/>
      <c r="T441" s="66"/>
      <c r="U441" s="2"/>
      <c r="V441" s="43"/>
    </row>
    <row r="442" spans="2:23" s="1" customFormat="1" x14ac:dyDescent="0.3">
      <c r="B442" s="59"/>
      <c r="C442" s="60"/>
      <c r="D442" s="146" t="s">
        <v>194</v>
      </c>
      <c r="E442" s="1161">
        <f>36</f>
        <v>36</v>
      </c>
      <c r="F442" s="518" t="s">
        <v>185</v>
      </c>
      <c r="G442" s="1161"/>
      <c r="H442" s="518"/>
      <c r="I442" s="1161">
        <v>3.6</v>
      </c>
      <c r="J442" s="518" t="s">
        <v>185</v>
      </c>
      <c r="K442" s="1161">
        <v>4</v>
      </c>
      <c r="L442" s="518"/>
      <c r="M442" s="1161"/>
      <c r="N442" s="517"/>
      <c r="O442" s="1161"/>
      <c r="P442" s="518" t="s">
        <v>114</v>
      </c>
      <c r="Q442" s="1161">
        <f>K442*I442*E442</f>
        <v>518.4</v>
      </c>
      <c r="R442" s="518"/>
      <c r="S442" s="519"/>
      <c r="T442" s="66"/>
      <c r="U442" s="2"/>
      <c r="V442" s="43"/>
    </row>
    <row r="443" spans="2:23" s="1" customFormat="1" x14ac:dyDescent="0.3">
      <c r="B443" s="59"/>
      <c r="C443" s="60"/>
      <c r="D443" s="146" t="s">
        <v>165</v>
      </c>
      <c r="E443" s="1161">
        <v>20</v>
      </c>
      <c r="F443" s="518" t="s">
        <v>185</v>
      </c>
      <c r="G443" s="1161"/>
      <c r="H443" s="518"/>
      <c r="I443" s="1161">
        <v>3.6</v>
      </c>
      <c r="J443" s="518" t="s">
        <v>185</v>
      </c>
      <c r="K443" s="1161">
        <v>6</v>
      </c>
      <c r="L443" s="518"/>
      <c r="M443" s="1161"/>
      <c r="N443" s="517"/>
      <c r="O443" s="1161"/>
      <c r="P443" s="518" t="s">
        <v>114</v>
      </c>
      <c r="Q443" s="1161">
        <f>K443*I443*E443</f>
        <v>432</v>
      </c>
      <c r="R443" s="518"/>
      <c r="S443" s="519"/>
      <c r="T443" s="134"/>
      <c r="U443" s="2"/>
      <c r="V443" s="43"/>
    </row>
    <row r="444" spans="2:23" s="1" customFormat="1" x14ac:dyDescent="0.3">
      <c r="B444" s="59"/>
      <c r="C444" s="60"/>
      <c r="D444" s="258" t="s">
        <v>154</v>
      </c>
      <c r="E444" s="328"/>
      <c r="F444" s="517"/>
      <c r="G444" s="328"/>
      <c r="H444" s="517"/>
      <c r="I444" s="328"/>
      <c r="J444" s="517"/>
      <c r="K444" s="328"/>
      <c r="L444" s="517"/>
      <c r="M444" s="328"/>
      <c r="N444" s="517"/>
      <c r="O444" s="328"/>
      <c r="P444" s="517"/>
      <c r="Q444" s="328"/>
      <c r="R444" s="517"/>
      <c r="S444" s="519"/>
      <c r="T444" s="66"/>
      <c r="U444" s="2"/>
      <c r="V444" s="43"/>
    </row>
    <row r="445" spans="2:23" s="1" customFormat="1" x14ac:dyDescent="0.3">
      <c r="B445" s="59"/>
      <c r="C445" s="60"/>
      <c r="D445" s="146" t="s">
        <v>712</v>
      </c>
      <c r="E445" s="329">
        <v>3</v>
      </c>
      <c r="F445" s="518" t="s">
        <v>185</v>
      </c>
      <c r="G445" s="329"/>
      <c r="H445" s="518"/>
      <c r="I445" s="329">
        <v>1.5</v>
      </c>
      <c r="J445" s="518" t="s">
        <v>185</v>
      </c>
      <c r="K445" s="329">
        <v>8</v>
      </c>
      <c r="L445" s="517"/>
      <c r="M445" s="329"/>
      <c r="N445" s="517"/>
      <c r="O445" s="329"/>
      <c r="P445" s="518" t="s">
        <v>114</v>
      </c>
      <c r="Q445" s="329">
        <f>K445*I445*E445</f>
        <v>36</v>
      </c>
      <c r="R445" s="517"/>
      <c r="S445" s="519"/>
      <c r="T445" s="66"/>
      <c r="U445" s="2"/>
      <c r="V445" s="43"/>
    </row>
    <row r="446" spans="2:23" s="1" customFormat="1" x14ac:dyDescent="0.3">
      <c r="B446" s="59"/>
      <c r="C446" s="60"/>
      <c r="D446" s="146" t="s">
        <v>585</v>
      </c>
      <c r="E446" s="329">
        <v>3</v>
      </c>
      <c r="F446" s="518" t="s">
        <v>185</v>
      </c>
      <c r="G446" s="329"/>
      <c r="H446" s="518"/>
      <c r="I446" s="329">
        <v>2</v>
      </c>
      <c r="J446" s="518" t="s">
        <v>185</v>
      </c>
      <c r="K446" s="329">
        <v>1</v>
      </c>
      <c r="L446" s="517"/>
      <c r="M446" s="329"/>
      <c r="N446" s="517"/>
      <c r="O446" s="329"/>
      <c r="P446" s="518" t="s">
        <v>114</v>
      </c>
      <c r="Q446" s="329">
        <f>K446*I446*E446</f>
        <v>6</v>
      </c>
      <c r="R446" s="517"/>
      <c r="S446" s="519"/>
      <c r="T446" s="66"/>
      <c r="U446" s="2"/>
      <c r="V446" s="43"/>
    </row>
    <row r="447" spans="2:23" s="1" customFormat="1" x14ac:dyDescent="0.3">
      <c r="B447" s="59"/>
      <c r="C447" s="60"/>
      <c r="D447" s="146" t="s">
        <v>1333</v>
      </c>
      <c r="E447" s="329">
        <v>2</v>
      </c>
      <c r="F447" s="518" t="s">
        <v>185</v>
      </c>
      <c r="G447" s="329"/>
      <c r="H447" s="518"/>
      <c r="I447" s="329">
        <v>0.7</v>
      </c>
      <c r="J447" s="518" t="s">
        <v>185</v>
      </c>
      <c r="K447" s="329">
        <v>8</v>
      </c>
      <c r="L447" s="517"/>
      <c r="M447" s="329"/>
      <c r="N447" s="517"/>
      <c r="O447" s="329"/>
      <c r="P447" s="518" t="s">
        <v>114</v>
      </c>
      <c r="Q447" s="329">
        <f>K447*I447*E447</f>
        <v>11.2</v>
      </c>
      <c r="R447" s="517"/>
      <c r="S447" s="519"/>
      <c r="T447" s="66"/>
      <c r="U447" s="2"/>
      <c r="V447" s="43"/>
    </row>
    <row r="448" spans="2:23" s="1" customFormat="1" x14ac:dyDescent="0.3">
      <c r="B448" s="59"/>
      <c r="C448" s="60"/>
      <c r="D448" s="146" t="s">
        <v>595</v>
      </c>
      <c r="E448" s="329">
        <v>2</v>
      </c>
      <c r="F448" s="518" t="s">
        <v>185</v>
      </c>
      <c r="G448" s="329"/>
      <c r="H448" s="518"/>
      <c r="I448" s="329">
        <v>2.6</v>
      </c>
      <c r="J448" s="518" t="s">
        <v>185</v>
      </c>
      <c r="K448" s="329">
        <f>12+10</f>
        <v>22</v>
      </c>
      <c r="L448" s="517"/>
      <c r="M448" s="329"/>
      <c r="N448" s="517"/>
      <c r="O448" s="329"/>
      <c r="P448" s="518" t="s">
        <v>114</v>
      </c>
      <c r="Q448" s="329">
        <f>K448*I448*E448</f>
        <v>114.4</v>
      </c>
      <c r="R448" s="517"/>
      <c r="S448" s="519"/>
      <c r="T448" s="66"/>
      <c r="U448" s="2"/>
      <c r="V448" s="43"/>
    </row>
    <row r="449" spans="2:23" s="1" customFormat="1" x14ac:dyDescent="0.3">
      <c r="B449" s="59"/>
      <c r="C449" s="60"/>
      <c r="D449" s="146" t="s">
        <v>713</v>
      </c>
      <c r="E449" s="329">
        <v>0.6</v>
      </c>
      <c r="F449" s="518" t="s">
        <v>185</v>
      </c>
      <c r="G449" s="329"/>
      <c r="H449" s="518"/>
      <c r="I449" s="329">
        <v>2.6</v>
      </c>
      <c r="J449" s="518" t="s">
        <v>185</v>
      </c>
      <c r="K449" s="329">
        <v>4</v>
      </c>
      <c r="L449" s="517"/>
      <c r="M449" s="329"/>
      <c r="N449" s="517"/>
      <c r="O449" s="329"/>
      <c r="P449" s="518" t="s">
        <v>114</v>
      </c>
      <c r="Q449" s="329">
        <f>K449*I449*E449</f>
        <v>6.24</v>
      </c>
      <c r="R449" s="517"/>
      <c r="S449" s="519"/>
      <c r="T449" s="66"/>
      <c r="U449" s="2"/>
      <c r="V449" s="43"/>
      <c r="W449" s="1">
        <f>I449*E449</f>
        <v>1.56</v>
      </c>
    </row>
    <row r="450" spans="2:23" s="1" customFormat="1" x14ac:dyDescent="0.3">
      <c r="B450" s="59"/>
      <c r="C450" s="60"/>
      <c r="D450" s="148"/>
      <c r="E450" s="619"/>
      <c r="F450" s="526"/>
      <c r="G450" s="619"/>
      <c r="H450" s="526"/>
      <c r="I450" s="619"/>
      <c r="J450" s="526"/>
      <c r="K450" s="619"/>
      <c r="L450" s="526"/>
      <c r="M450" s="619"/>
      <c r="N450" s="526"/>
      <c r="O450" s="619"/>
      <c r="P450" s="526"/>
      <c r="Q450" s="619"/>
      <c r="R450" s="526"/>
      <c r="S450" s="620"/>
      <c r="T450" s="66"/>
      <c r="U450" s="2"/>
      <c r="V450" s="43"/>
    </row>
    <row r="451" spans="2:23" s="1" customFormat="1" ht="17.25" thickBot="1" x14ac:dyDescent="0.35">
      <c r="B451" s="59"/>
      <c r="C451" s="60"/>
      <c r="D451" s="3096" t="s">
        <v>164</v>
      </c>
      <c r="E451" s="3097"/>
      <c r="F451" s="3097"/>
      <c r="G451" s="3097"/>
      <c r="H451" s="3097"/>
      <c r="I451" s="3097"/>
      <c r="J451" s="637"/>
      <c r="K451" s="196"/>
      <c r="L451" s="637"/>
      <c r="M451" s="196"/>
      <c r="N451" s="637"/>
      <c r="O451" s="196"/>
      <c r="P451" s="637"/>
      <c r="Q451" s="670">
        <f>SUM(Q441:Q443)-SUM(Q445:Q450)</f>
        <v>776.56</v>
      </c>
      <c r="R451" s="637"/>
      <c r="S451" s="253"/>
      <c r="T451" s="66"/>
      <c r="U451" s="2"/>
      <c r="V451" s="43"/>
    </row>
    <row r="452" spans="2:23" s="1" customFormat="1" x14ac:dyDescent="0.3">
      <c r="B452" s="59"/>
      <c r="C452" s="60"/>
      <c r="D452" s="338"/>
      <c r="E452" s="338"/>
      <c r="F452" s="338"/>
      <c r="G452" s="338"/>
      <c r="H452" s="338"/>
      <c r="I452" s="338"/>
      <c r="J452" s="638"/>
      <c r="K452" s="339"/>
      <c r="L452" s="638"/>
      <c r="M452" s="339"/>
      <c r="N452" s="638"/>
      <c r="O452" s="339"/>
      <c r="P452" s="638"/>
      <c r="Q452" s="657"/>
      <c r="R452" s="638"/>
      <c r="S452" s="340"/>
      <c r="T452" s="66"/>
      <c r="U452" s="2"/>
      <c r="V452" s="43"/>
    </row>
    <row r="453" spans="2:23" ht="17.25" thickBot="1" x14ac:dyDescent="0.35">
      <c r="B453" s="59" t="e">
        <f>RAB!#REF!</f>
        <v>#REF!</v>
      </c>
      <c r="C453" s="60" t="e">
        <f>RAB!#REF!</f>
        <v>#REF!</v>
      </c>
      <c r="Q453" s="430"/>
      <c r="T453" s="18">
        <v>0</v>
      </c>
      <c r="U453" s="2" t="s">
        <v>2</v>
      </c>
    </row>
    <row r="454" spans="2:23" s="1" customFormat="1" x14ac:dyDescent="0.3">
      <c r="B454" s="59"/>
      <c r="C454" s="60"/>
      <c r="D454" s="8" t="s">
        <v>95</v>
      </c>
      <c r="E454" s="154" t="s">
        <v>150</v>
      </c>
      <c r="F454" s="493"/>
      <c r="G454" s="154" t="s">
        <v>151</v>
      </c>
      <c r="H454" s="493"/>
      <c r="I454" s="154" t="s">
        <v>152</v>
      </c>
      <c r="J454" s="493"/>
      <c r="K454" s="154" t="s">
        <v>153</v>
      </c>
      <c r="L454" s="493"/>
      <c r="M454" s="169" t="s">
        <v>32</v>
      </c>
      <c r="N454" s="493"/>
      <c r="O454" s="154" t="s">
        <v>163</v>
      </c>
      <c r="P454" s="493"/>
      <c r="Q454" s="154" t="s">
        <v>151</v>
      </c>
      <c r="R454" s="493"/>
      <c r="S454" s="226" t="s">
        <v>143</v>
      </c>
      <c r="T454" s="66"/>
      <c r="U454" s="2"/>
      <c r="V454" s="43"/>
    </row>
    <row r="455" spans="2:23" s="1" customFormat="1" x14ac:dyDescent="0.3">
      <c r="B455" s="59"/>
      <c r="C455" s="60"/>
      <c r="D455" s="318" t="s">
        <v>762</v>
      </c>
      <c r="E455" s="159"/>
      <c r="F455" s="582"/>
      <c r="G455" s="159"/>
      <c r="H455" s="582"/>
      <c r="I455" s="159"/>
      <c r="J455" s="582"/>
      <c r="K455" s="159"/>
      <c r="L455" s="582"/>
      <c r="M455" s="168"/>
      <c r="N455" s="582"/>
      <c r="O455" s="159"/>
      <c r="P455" s="582"/>
      <c r="Q455" s="159"/>
      <c r="R455" s="582"/>
      <c r="S455" s="243"/>
      <c r="T455" s="66"/>
      <c r="U455" s="2"/>
      <c r="V455" s="43"/>
    </row>
    <row r="456" spans="2:23" s="1" customFormat="1" x14ac:dyDescent="0.3">
      <c r="B456" s="59"/>
      <c r="C456" s="60"/>
      <c r="D456" s="139" t="s">
        <v>756</v>
      </c>
      <c r="E456" s="656">
        <v>2.4</v>
      </c>
      <c r="F456" s="518" t="s">
        <v>185</v>
      </c>
      <c r="G456" s="656"/>
      <c r="H456" s="518"/>
      <c r="I456" s="656">
        <v>2.4</v>
      </c>
      <c r="J456" s="518" t="s">
        <v>185</v>
      </c>
      <c r="K456" s="656">
        <v>1</v>
      </c>
      <c r="L456" s="517"/>
      <c r="M456" s="656"/>
      <c r="N456" s="518"/>
      <c r="O456" s="656"/>
      <c r="P456" s="518" t="s">
        <v>114</v>
      </c>
      <c r="Q456" s="656">
        <f>K456*I456*E456</f>
        <v>5.76</v>
      </c>
      <c r="R456" s="518"/>
      <c r="S456" s="519"/>
      <c r="T456" s="66"/>
      <c r="U456" s="2"/>
      <c r="V456" s="43"/>
    </row>
    <row r="457" spans="2:23" s="1" customFormat="1" x14ac:dyDescent="0.3">
      <c r="B457" s="59"/>
      <c r="C457" s="60"/>
      <c r="D457" s="139" t="s">
        <v>757</v>
      </c>
      <c r="E457" s="656">
        <v>2.1</v>
      </c>
      <c r="F457" s="518" t="s">
        <v>185</v>
      </c>
      <c r="G457" s="656"/>
      <c r="H457" s="518"/>
      <c r="I457" s="656">
        <v>0.6</v>
      </c>
      <c r="J457" s="518" t="s">
        <v>185</v>
      </c>
      <c r="K457" s="656">
        <v>1</v>
      </c>
      <c r="L457" s="517"/>
      <c r="M457" s="656"/>
      <c r="N457" s="518"/>
      <c r="O457" s="656"/>
      <c r="P457" s="518" t="s">
        <v>114</v>
      </c>
      <c r="Q457" s="656">
        <f>K457*I457*E457</f>
        <v>1.26</v>
      </c>
      <c r="R457" s="518"/>
      <c r="S457" s="519"/>
      <c r="T457" s="66"/>
      <c r="U457" s="2"/>
      <c r="V457" s="43"/>
    </row>
    <row r="458" spans="2:23" s="1" customFormat="1" x14ac:dyDescent="0.3">
      <c r="B458" s="59"/>
      <c r="C458" s="60"/>
      <c r="D458" s="292" t="s">
        <v>763</v>
      </c>
      <c r="E458" s="319"/>
      <c r="F458" s="671"/>
      <c r="G458" s="319"/>
      <c r="H458" s="671"/>
      <c r="I458" s="319"/>
      <c r="J458" s="671"/>
      <c r="K458" s="319"/>
      <c r="L458" s="671"/>
      <c r="M458" s="320"/>
      <c r="N458" s="671"/>
      <c r="O458" s="319"/>
      <c r="P458" s="671"/>
      <c r="Q458" s="319"/>
      <c r="R458" s="671"/>
      <c r="S458" s="321"/>
      <c r="T458" s="66"/>
      <c r="U458" s="2"/>
      <c r="V458" s="43"/>
    </row>
    <row r="459" spans="2:23" s="1" customFormat="1" x14ac:dyDescent="0.3">
      <c r="B459" s="59"/>
      <c r="C459" s="60"/>
      <c r="D459" s="139" t="s">
        <v>758</v>
      </c>
      <c r="E459" s="656">
        <v>2.1</v>
      </c>
      <c r="F459" s="518" t="s">
        <v>185</v>
      </c>
      <c r="G459" s="656"/>
      <c r="H459" s="518"/>
      <c r="I459" s="656">
        <v>0.9</v>
      </c>
      <c r="J459" s="518" t="s">
        <v>185</v>
      </c>
      <c r="K459" s="656">
        <v>4</v>
      </c>
      <c r="L459" s="517"/>
      <c r="M459" s="656"/>
      <c r="N459" s="518"/>
      <c r="O459" s="656"/>
      <c r="P459" s="518" t="s">
        <v>114</v>
      </c>
      <c r="Q459" s="656">
        <f>K459*I459*E459</f>
        <v>7.5600000000000005</v>
      </c>
      <c r="R459" s="518"/>
      <c r="S459" s="519"/>
      <c r="T459" s="66"/>
      <c r="U459" s="2"/>
      <c r="V459" s="43"/>
    </row>
    <row r="460" spans="2:23" s="1" customFormat="1" x14ac:dyDescent="0.3">
      <c r="B460" s="59"/>
      <c r="C460" s="60"/>
      <c r="D460" s="139" t="s">
        <v>759</v>
      </c>
      <c r="E460" s="656">
        <v>2.1</v>
      </c>
      <c r="F460" s="518" t="s">
        <v>185</v>
      </c>
      <c r="G460" s="656"/>
      <c r="H460" s="518"/>
      <c r="I460" s="656">
        <v>2.1</v>
      </c>
      <c r="J460" s="518" t="s">
        <v>185</v>
      </c>
      <c r="K460" s="656">
        <v>1</v>
      </c>
      <c r="L460" s="517"/>
      <c r="M460" s="656"/>
      <c r="N460" s="518"/>
      <c r="O460" s="656"/>
      <c r="P460" s="518" t="s">
        <v>114</v>
      </c>
      <c r="Q460" s="656">
        <f>K460*I460*E460</f>
        <v>4.41</v>
      </c>
      <c r="R460" s="518"/>
      <c r="S460" s="519"/>
      <c r="T460" s="66"/>
      <c r="U460" s="2"/>
      <c r="V460" s="43"/>
    </row>
    <row r="461" spans="2:23" s="1" customFormat="1" x14ac:dyDescent="0.3">
      <c r="B461" s="59"/>
      <c r="C461" s="60"/>
      <c r="D461" s="292" t="s">
        <v>764</v>
      </c>
      <c r="E461" s="319"/>
      <c r="F461" s="671"/>
      <c r="G461" s="319"/>
      <c r="H461" s="671"/>
      <c r="I461" s="319"/>
      <c r="J461" s="671"/>
      <c r="K461" s="319"/>
      <c r="L461" s="671"/>
      <c r="M461" s="320"/>
      <c r="N461" s="671"/>
      <c r="O461" s="319"/>
      <c r="P461" s="671"/>
      <c r="Q461" s="319"/>
      <c r="R461" s="671"/>
      <c r="S461" s="321"/>
      <c r="T461" s="66"/>
      <c r="U461" s="2"/>
      <c r="V461" s="43"/>
    </row>
    <row r="462" spans="2:23" s="1" customFormat="1" x14ac:dyDescent="0.3">
      <c r="B462" s="59"/>
      <c r="C462" s="60"/>
      <c r="D462" s="139" t="s">
        <v>760</v>
      </c>
      <c r="E462" s="656">
        <v>1.5</v>
      </c>
      <c r="F462" s="518" t="s">
        <v>185</v>
      </c>
      <c r="G462" s="656"/>
      <c r="H462" s="518"/>
      <c r="I462" s="656">
        <v>0.6</v>
      </c>
      <c r="J462" s="518" t="s">
        <v>185</v>
      </c>
      <c r="K462" s="656">
        <v>1</v>
      </c>
      <c r="L462" s="517"/>
      <c r="M462" s="656"/>
      <c r="N462" s="518"/>
      <c r="O462" s="656"/>
      <c r="P462" s="518" t="s">
        <v>114</v>
      </c>
      <c r="Q462" s="656">
        <f>K462*I462*E462</f>
        <v>0.89999999999999991</v>
      </c>
      <c r="R462" s="518"/>
      <c r="S462" s="519"/>
      <c r="T462" s="66"/>
      <c r="U462" s="2"/>
      <c r="V462" s="43"/>
    </row>
    <row r="463" spans="2:23" s="1" customFormat="1" x14ac:dyDescent="0.3">
      <c r="B463" s="59"/>
      <c r="C463" s="60"/>
      <c r="D463" s="139" t="s">
        <v>765</v>
      </c>
      <c r="E463" s="656">
        <v>2.4</v>
      </c>
      <c r="F463" s="518" t="s">
        <v>185</v>
      </c>
      <c r="G463" s="656"/>
      <c r="H463" s="518"/>
      <c r="I463" s="656">
        <v>0.9</v>
      </c>
      <c r="J463" s="518" t="s">
        <v>185</v>
      </c>
      <c r="K463" s="656">
        <v>1</v>
      </c>
      <c r="L463" s="517"/>
      <c r="M463" s="656"/>
      <c r="N463" s="518"/>
      <c r="O463" s="656"/>
      <c r="P463" s="518" t="s">
        <v>114</v>
      </c>
      <c r="Q463" s="656">
        <f>K463*I463*E463</f>
        <v>2.16</v>
      </c>
      <c r="R463" s="518"/>
      <c r="S463" s="519"/>
      <c r="T463" s="66"/>
      <c r="U463" s="2"/>
      <c r="V463" s="43"/>
    </row>
    <row r="464" spans="2:23" s="1" customFormat="1" x14ac:dyDescent="0.3">
      <c r="B464" s="59"/>
      <c r="C464" s="60"/>
      <c r="D464" s="143"/>
      <c r="E464" s="330"/>
      <c r="F464" s="512"/>
      <c r="G464" s="330"/>
      <c r="H464" s="512"/>
      <c r="I464" s="330"/>
      <c r="J464" s="512"/>
      <c r="K464" s="330"/>
      <c r="L464" s="512"/>
      <c r="M464" s="330"/>
      <c r="N464" s="512"/>
      <c r="O464" s="330"/>
      <c r="P464" s="512"/>
      <c r="Q464" s="330"/>
      <c r="R464" s="512"/>
      <c r="S464" s="559"/>
      <c r="T464" s="66"/>
      <c r="U464" s="2"/>
      <c r="V464" s="43"/>
    </row>
    <row r="465" spans="2:22" s="1" customFormat="1" ht="17.25" thickBot="1" x14ac:dyDescent="0.35">
      <c r="B465" s="59"/>
      <c r="C465" s="60"/>
      <c r="D465" s="3096" t="s">
        <v>164</v>
      </c>
      <c r="E465" s="3097"/>
      <c r="F465" s="3097"/>
      <c r="G465" s="3097"/>
      <c r="H465" s="3097"/>
      <c r="I465" s="3097"/>
      <c r="J465" s="637"/>
      <c r="K465" s="196"/>
      <c r="L465" s="637"/>
      <c r="M465" s="196"/>
      <c r="N465" s="637"/>
      <c r="O465" s="196"/>
      <c r="P465" s="637"/>
      <c r="Q465" s="639">
        <f>SUM(Q456:Q464)</f>
        <v>22.05</v>
      </c>
      <c r="R465" s="637"/>
      <c r="S465" s="253"/>
      <c r="T465" s="66"/>
      <c r="U465" s="2"/>
      <c r="V465" s="43"/>
    </row>
    <row r="466" spans="2:22" s="1" customFormat="1" x14ac:dyDescent="0.3">
      <c r="B466" s="59"/>
      <c r="C466" s="60"/>
      <c r="D466" s="338"/>
      <c r="E466" s="338"/>
      <c r="F466" s="338"/>
      <c r="G466" s="338"/>
      <c r="H466" s="338"/>
      <c r="I466" s="338"/>
      <c r="J466" s="638"/>
      <c r="K466" s="339"/>
      <c r="L466" s="638"/>
      <c r="M466" s="339"/>
      <c r="N466" s="638"/>
      <c r="O466" s="339"/>
      <c r="P466" s="638"/>
      <c r="Q466" s="339"/>
      <c r="R466" s="638"/>
      <c r="S466" s="340"/>
      <c r="T466" s="66"/>
      <c r="U466" s="2"/>
      <c r="V466" s="43"/>
    </row>
    <row r="467" spans="2:22" s="1" customFormat="1" ht="13.5" customHeight="1" thickBot="1" x14ac:dyDescent="0.35">
      <c r="B467" s="59">
        <f>RAB!B85</f>
        <v>2</v>
      </c>
      <c r="C467" s="60" t="str">
        <f>RAB!C85</f>
        <v>Plesteran 1 PC : 4 PP, tebal 15 mm</v>
      </c>
      <c r="E467" s="153"/>
      <c r="F467" s="480"/>
      <c r="G467" s="153"/>
      <c r="H467" s="480"/>
      <c r="I467" s="153"/>
      <c r="J467" s="480"/>
      <c r="K467" s="153"/>
      <c r="L467" s="480"/>
      <c r="M467" s="162"/>
      <c r="N467" s="480"/>
      <c r="O467" s="153"/>
      <c r="P467" s="480"/>
      <c r="Q467" s="153"/>
      <c r="R467" s="480"/>
      <c r="S467" s="224"/>
      <c r="T467" s="18">
        <f>ROUNDDOWN(Q471,2)</f>
        <v>1553.12</v>
      </c>
      <c r="U467" s="2" t="s">
        <v>2</v>
      </c>
      <c r="V467" s="43"/>
    </row>
    <row r="468" spans="2:22" s="1" customFormat="1" x14ac:dyDescent="0.3">
      <c r="B468" s="59"/>
      <c r="C468" s="60"/>
      <c r="D468" s="8" t="s">
        <v>95</v>
      </c>
      <c r="E468" s="154" t="s">
        <v>150</v>
      </c>
      <c r="F468" s="493"/>
      <c r="G468" s="154" t="s">
        <v>151</v>
      </c>
      <c r="H468" s="493"/>
      <c r="I468" s="154" t="s">
        <v>152</v>
      </c>
      <c r="J468" s="493"/>
      <c r="K468" s="154" t="s">
        <v>153</v>
      </c>
      <c r="L468" s="493"/>
      <c r="M468" s="169" t="s">
        <v>32</v>
      </c>
      <c r="N468" s="493"/>
      <c r="O468" s="154" t="s">
        <v>163</v>
      </c>
      <c r="P468" s="493"/>
      <c r="Q468" s="154" t="s">
        <v>151</v>
      </c>
      <c r="R468" s="493"/>
      <c r="S468" s="226" t="s">
        <v>143</v>
      </c>
      <c r="T468" s="66"/>
      <c r="U468" s="2"/>
      <c r="V468" s="43"/>
    </row>
    <row r="469" spans="2:22" s="1" customFormat="1" x14ac:dyDescent="0.3">
      <c r="B469" s="59"/>
      <c r="C469" s="60"/>
      <c r="D469" s="149" t="s">
        <v>240</v>
      </c>
      <c r="E469" s="152"/>
      <c r="F469" s="516"/>
      <c r="G469" s="152"/>
      <c r="H469" s="516"/>
      <c r="I469" s="152"/>
      <c r="J469" s="516"/>
      <c r="K469" s="152">
        <f>Q451</f>
        <v>776.56</v>
      </c>
      <c r="L469" s="496"/>
      <c r="M469" s="173"/>
      <c r="N469" s="516" t="s">
        <v>185</v>
      </c>
      <c r="O469" s="152">
        <v>2</v>
      </c>
      <c r="P469" s="516" t="s">
        <v>114</v>
      </c>
      <c r="Q469" s="152">
        <f>O469*K469</f>
        <v>1553.12</v>
      </c>
      <c r="R469" s="516"/>
      <c r="S469" s="248"/>
      <c r="T469" s="66"/>
      <c r="U469" s="2"/>
      <c r="V469" s="43"/>
    </row>
    <row r="470" spans="2:22" s="1" customFormat="1" x14ac:dyDescent="0.3">
      <c r="B470" s="59"/>
      <c r="C470" s="60"/>
      <c r="D470" s="148"/>
      <c r="E470" s="191"/>
      <c r="F470" s="631"/>
      <c r="G470" s="191"/>
      <c r="H470" s="631"/>
      <c r="I470" s="191"/>
      <c r="J470" s="631"/>
      <c r="K470" s="191"/>
      <c r="L470" s="631"/>
      <c r="M470" s="192"/>
      <c r="N470" s="631"/>
      <c r="O470" s="191"/>
      <c r="P470" s="631"/>
      <c r="Q470" s="191"/>
      <c r="R470" s="631"/>
      <c r="S470" s="249"/>
      <c r="T470" s="66"/>
      <c r="U470" s="2"/>
      <c r="V470" s="43"/>
    </row>
    <row r="471" spans="2:22" s="1" customFormat="1" ht="17.25" thickBot="1" x14ac:dyDescent="0.35">
      <c r="B471" s="59"/>
      <c r="C471" s="60"/>
      <c r="D471" s="3096" t="s">
        <v>164</v>
      </c>
      <c r="E471" s="3097"/>
      <c r="F471" s="3097"/>
      <c r="G471" s="3097"/>
      <c r="H471" s="3097"/>
      <c r="I471" s="3097"/>
      <c r="J471" s="637"/>
      <c r="K471" s="196"/>
      <c r="L471" s="637"/>
      <c r="M471" s="196"/>
      <c r="N471" s="637"/>
      <c r="O471" s="196"/>
      <c r="P471" s="637"/>
      <c r="Q471" s="196">
        <f>Q469</f>
        <v>1553.12</v>
      </c>
      <c r="R471" s="637"/>
      <c r="S471" s="253"/>
      <c r="T471" s="66"/>
      <c r="U471" s="2"/>
      <c r="V471" s="43"/>
    </row>
    <row r="472" spans="2:22" s="1" customFormat="1" x14ac:dyDescent="0.3">
      <c r="B472" s="59"/>
      <c r="C472" s="60"/>
      <c r="D472" s="338"/>
      <c r="E472" s="338"/>
      <c r="F472" s="338"/>
      <c r="G472" s="338"/>
      <c r="H472" s="338"/>
      <c r="I472" s="338"/>
      <c r="J472" s="638"/>
      <c r="K472" s="339"/>
      <c r="L472" s="638"/>
      <c r="M472" s="339"/>
      <c r="N472" s="638"/>
      <c r="O472" s="339"/>
      <c r="P472" s="638"/>
      <c r="Q472" s="339"/>
      <c r="R472" s="638"/>
      <c r="S472" s="340"/>
      <c r="T472" s="66"/>
      <c r="U472" s="2"/>
      <c r="V472" s="43"/>
    </row>
    <row r="473" spans="2:22" s="1" customFormat="1" ht="17.25" thickBot="1" x14ac:dyDescent="0.35">
      <c r="B473" s="59">
        <f>RAB!B86</f>
        <v>3</v>
      </c>
      <c r="C473" s="60" t="str">
        <f>RAB!C86</f>
        <v>Acian</v>
      </c>
      <c r="D473" s="338"/>
      <c r="E473" s="338"/>
      <c r="F473" s="338"/>
      <c r="G473" s="338"/>
      <c r="H473" s="338"/>
      <c r="I473" s="338"/>
      <c r="J473" s="638"/>
      <c r="K473" s="339"/>
      <c r="L473" s="638"/>
      <c r="M473" s="339"/>
      <c r="N473" s="638"/>
      <c r="O473" s="339"/>
      <c r="P473" s="638"/>
      <c r="Q473" s="339"/>
      <c r="R473" s="638"/>
      <c r="S473" s="340"/>
      <c r="T473" s="18">
        <f>ROUNDDOWN(Q480,2)</f>
        <v>546.52</v>
      </c>
      <c r="U473" s="2" t="s">
        <v>2</v>
      </c>
      <c r="V473" s="43"/>
    </row>
    <row r="474" spans="2:22" s="1" customFormat="1" x14ac:dyDescent="0.3">
      <c r="B474" s="59"/>
      <c r="C474" s="60"/>
      <c r="D474" s="8" t="s">
        <v>95</v>
      </c>
      <c r="E474" s="154" t="s">
        <v>150</v>
      </c>
      <c r="F474" s="493"/>
      <c r="G474" s="154" t="s">
        <v>151</v>
      </c>
      <c r="H474" s="493"/>
      <c r="I474" s="154" t="s">
        <v>152</v>
      </c>
      <c r="J474" s="493"/>
      <c r="K474" s="154" t="s">
        <v>153</v>
      </c>
      <c r="L474" s="493"/>
      <c r="M474" s="169" t="s">
        <v>32</v>
      </c>
      <c r="N474" s="493"/>
      <c r="O474" s="154" t="s">
        <v>163</v>
      </c>
      <c r="P474" s="493"/>
      <c r="Q474" s="154" t="s">
        <v>151</v>
      </c>
      <c r="R474" s="493"/>
      <c r="S474" s="226" t="s">
        <v>143</v>
      </c>
      <c r="T474" s="66"/>
      <c r="U474" s="2"/>
      <c r="V474" s="43"/>
    </row>
    <row r="475" spans="2:22" s="1" customFormat="1" x14ac:dyDescent="0.3">
      <c r="B475" s="59"/>
      <c r="C475" s="60"/>
      <c r="D475" s="647" t="s">
        <v>719</v>
      </c>
      <c r="E475" s="632"/>
      <c r="F475" s="633"/>
      <c r="G475" s="632"/>
      <c r="H475" s="633"/>
      <c r="I475" s="632"/>
      <c r="J475" s="633"/>
      <c r="K475" s="632"/>
      <c r="L475" s="633"/>
      <c r="M475" s="632"/>
      <c r="N475" s="633"/>
      <c r="O475" s="632"/>
      <c r="P475" s="633"/>
      <c r="Q475" s="632"/>
      <c r="R475" s="633"/>
      <c r="S475" s="634"/>
      <c r="T475" s="66"/>
      <c r="U475" s="2"/>
      <c r="V475" s="43"/>
    </row>
    <row r="476" spans="2:22" s="1" customFormat="1" x14ac:dyDescent="0.3">
      <c r="B476" s="59"/>
      <c r="C476" s="60"/>
      <c r="D476" s="648" t="s">
        <v>730</v>
      </c>
      <c r="E476" s="329"/>
      <c r="F476" s="518"/>
      <c r="G476" s="329"/>
      <c r="H476" s="518"/>
      <c r="I476" s="329"/>
      <c r="J476" s="518"/>
      <c r="K476" s="329"/>
      <c r="L476" s="517"/>
      <c r="M476" s="329"/>
      <c r="N476" s="518"/>
      <c r="O476" s="329"/>
      <c r="P476" s="518"/>
      <c r="Q476" s="329">
        <f>Q221</f>
        <v>433.024</v>
      </c>
      <c r="R476" s="518"/>
      <c r="S476" s="519"/>
      <c r="T476" s="66"/>
      <c r="U476" s="2"/>
      <c r="V476" s="43"/>
    </row>
    <row r="477" spans="2:22" s="1" customFormat="1" x14ac:dyDescent="0.3">
      <c r="B477" s="36"/>
      <c r="C477" s="17"/>
      <c r="D477" s="651" t="s">
        <v>742</v>
      </c>
      <c r="E477" s="554"/>
      <c r="F477" s="558"/>
      <c r="G477" s="554"/>
      <c r="H477" s="558"/>
      <c r="I477" s="619"/>
      <c r="J477" s="558"/>
      <c r="K477" s="619"/>
      <c r="L477" s="558"/>
      <c r="M477" s="619"/>
      <c r="N477" s="558"/>
      <c r="O477" s="619"/>
      <c r="P477" s="558"/>
      <c r="Q477" s="619"/>
      <c r="R477" s="558"/>
      <c r="S477" s="620"/>
      <c r="T477" s="66"/>
      <c r="U477" s="2"/>
      <c r="V477" s="43"/>
    </row>
    <row r="478" spans="2:22" s="1" customFormat="1" x14ac:dyDescent="0.3">
      <c r="B478" s="36"/>
      <c r="C478" s="17"/>
      <c r="D478" s="650" t="s">
        <v>1331</v>
      </c>
      <c r="E478" s="554"/>
      <c r="F478" s="558"/>
      <c r="G478" s="554"/>
      <c r="H478" s="558"/>
      <c r="I478" s="619"/>
      <c r="J478" s="558"/>
      <c r="K478" s="619">
        <f>Q401+Q402</f>
        <v>113.50399999999999</v>
      </c>
      <c r="L478" s="558"/>
      <c r="M478" s="619"/>
      <c r="N478" s="558"/>
      <c r="O478" s="619"/>
      <c r="P478" s="518" t="s">
        <v>114</v>
      </c>
      <c r="Q478" s="619">
        <f>K478</f>
        <v>113.50399999999999</v>
      </c>
      <c r="R478" s="558"/>
      <c r="S478" s="620"/>
      <c r="T478" s="66"/>
      <c r="U478" s="2"/>
      <c r="V478" s="43"/>
    </row>
    <row r="479" spans="2:22" s="1" customFormat="1" x14ac:dyDescent="0.3">
      <c r="B479" s="59"/>
      <c r="C479" s="60"/>
      <c r="D479" s="649"/>
      <c r="E479" s="330"/>
      <c r="F479" s="512"/>
      <c r="G479" s="330"/>
      <c r="H479" s="512"/>
      <c r="I479" s="330"/>
      <c r="J479" s="512"/>
      <c r="K479" s="330"/>
      <c r="L479" s="512"/>
      <c r="M479" s="330"/>
      <c r="N479" s="512"/>
      <c r="O479" s="330"/>
      <c r="P479" s="512"/>
      <c r="Q479" s="330"/>
      <c r="R479" s="512"/>
      <c r="S479" s="559"/>
      <c r="T479" s="66"/>
      <c r="U479" s="2"/>
      <c r="V479" s="43"/>
    </row>
    <row r="480" spans="2:22" s="1" customFormat="1" ht="17.25" thickBot="1" x14ac:dyDescent="0.35">
      <c r="B480" s="59"/>
      <c r="C480" s="60"/>
      <c r="D480" s="3096" t="s">
        <v>164</v>
      </c>
      <c r="E480" s="3097"/>
      <c r="F480" s="3097"/>
      <c r="G480" s="3097"/>
      <c r="H480" s="3097"/>
      <c r="I480" s="3097"/>
      <c r="J480" s="637"/>
      <c r="K480" s="196"/>
      <c r="L480" s="637"/>
      <c r="M480" s="196"/>
      <c r="N480" s="637"/>
      <c r="O480" s="196"/>
      <c r="P480" s="637"/>
      <c r="Q480" s="639">
        <f>SUM(Q476:Q479)</f>
        <v>546.52800000000002</v>
      </c>
      <c r="R480" s="637"/>
      <c r="S480" s="253"/>
      <c r="T480" s="66"/>
      <c r="U480" s="2"/>
      <c r="V480" s="43"/>
    </row>
    <row r="481" spans="2:22" s="1" customFormat="1" x14ac:dyDescent="0.3">
      <c r="B481" s="59"/>
      <c r="C481" s="60"/>
      <c r="D481" s="338"/>
      <c r="E481" s="338"/>
      <c r="F481" s="338"/>
      <c r="G481" s="338"/>
      <c r="H481" s="338"/>
      <c r="I481" s="338"/>
      <c r="J481" s="638"/>
      <c r="K481" s="339"/>
      <c r="L481" s="638"/>
      <c r="M481" s="339"/>
      <c r="N481" s="638"/>
      <c r="O481" s="339"/>
      <c r="P481" s="638"/>
      <c r="Q481" s="339"/>
      <c r="R481" s="638"/>
      <c r="S481" s="340"/>
      <c r="T481" s="66"/>
      <c r="U481" s="2"/>
      <c r="V481" s="43"/>
    </row>
    <row r="482" spans="2:22" s="1" customFormat="1" ht="17.25" thickBot="1" x14ac:dyDescent="0.35">
      <c r="B482" s="59">
        <f>RAB!B87</f>
        <v>4</v>
      </c>
      <c r="C482" s="60" t="str">
        <f>RAB!C87</f>
        <v>Pekerjaan Benangan Lobang Kusen Alumunium</v>
      </c>
      <c r="E482" s="153"/>
      <c r="F482" s="480"/>
      <c r="G482" s="153"/>
      <c r="H482" s="480"/>
      <c r="I482" s="153"/>
      <c r="J482" s="480"/>
      <c r="K482" s="153"/>
      <c r="L482" s="480"/>
      <c r="M482" s="162"/>
      <c r="N482" s="480"/>
      <c r="O482" s="153"/>
      <c r="P482" s="480"/>
      <c r="Q482" s="153"/>
      <c r="R482" s="480"/>
      <c r="S482" s="224"/>
      <c r="T482" s="18">
        <f>ROUNDDOWN(S487,2)</f>
        <v>228</v>
      </c>
      <c r="U482" s="2" t="s">
        <v>27</v>
      </c>
      <c r="V482" s="43"/>
    </row>
    <row r="483" spans="2:22" s="1" customFormat="1" x14ac:dyDescent="0.3">
      <c r="B483" s="59"/>
      <c r="C483" s="60"/>
      <c r="D483" s="8" t="s">
        <v>95</v>
      </c>
      <c r="E483" s="154" t="s">
        <v>150</v>
      </c>
      <c r="F483" s="493"/>
      <c r="G483" s="154" t="s">
        <v>151</v>
      </c>
      <c r="H483" s="493"/>
      <c r="I483" s="154" t="s">
        <v>152</v>
      </c>
      <c r="J483" s="493"/>
      <c r="K483" s="154" t="s">
        <v>153</v>
      </c>
      <c r="L483" s="493"/>
      <c r="M483" s="169" t="s">
        <v>32</v>
      </c>
      <c r="N483" s="493"/>
      <c r="O483" s="154" t="s">
        <v>163</v>
      </c>
      <c r="P483" s="493"/>
      <c r="Q483" s="154" t="s">
        <v>151</v>
      </c>
      <c r="R483" s="493"/>
      <c r="S483" s="226" t="s">
        <v>143</v>
      </c>
      <c r="T483" s="66"/>
      <c r="U483" s="2"/>
      <c r="V483" s="43"/>
    </row>
    <row r="484" spans="2:22" s="1" customFormat="1" x14ac:dyDescent="0.3">
      <c r="B484" s="59"/>
      <c r="C484" s="60"/>
      <c r="D484" s="139" t="str">
        <f>D448</f>
        <v>Jendela Type J.1</v>
      </c>
      <c r="E484" s="329">
        <f>(E448+I448)*2</f>
        <v>9.1999999999999993</v>
      </c>
      <c r="F484" s="518" t="s">
        <v>185</v>
      </c>
      <c r="G484" s="329"/>
      <c r="H484" s="518"/>
      <c r="I484" s="329"/>
      <c r="J484" s="518"/>
      <c r="K484" s="329">
        <f>K448</f>
        <v>22</v>
      </c>
      <c r="L484" s="517"/>
      <c r="M484" s="329"/>
      <c r="N484" s="518"/>
      <c r="O484" s="329"/>
      <c r="P484" s="518"/>
      <c r="Q484" s="329"/>
      <c r="R484" s="518" t="s">
        <v>114</v>
      </c>
      <c r="S484" s="519">
        <f>K484*E484</f>
        <v>202.39999999999998</v>
      </c>
      <c r="T484" s="66"/>
      <c r="U484" s="2"/>
      <c r="V484" s="43"/>
    </row>
    <row r="485" spans="2:22" s="1" customFormat="1" x14ac:dyDescent="0.3">
      <c r="B485" s="59"/>
      <c r="C485" s="60"/>
      <c r="D485" s="139" t="str">
        <f>D449</f>
        <v>Jendela Type J2</v>
      </c>
      <c r="E485" s="329">
        <f>(E449+I449)*2</f>
        <v>6.4</v>
      </c>
      <c r="F485" s="518" t="s">
        <v>185</v>
      </c>
      <c r="G485" s="329"/>
      <c r="H485" s="518"/>
      <c r="I485" s="329"/>
      <c r="J485" s="518"/>
      <c r="K485" s="329">
        <f>K449</f>
        <v>4</v>
      </c>
      <c r="L485" s="517"/>
      <c r="M485" s="329"/>
      <c r="N485" s="518"/>
      <c r="O485" s="329"/>
      <c r="P485" s="518"/>
      <c r="Q485" s="329"/>
      <c r="R485" s="518" t="s">
        <v>114</v>
      </c>
      <c r="S485" s="519">
        <f>K485*E485</f>
        <v>25.6</v>
      </c>
      <c r="T485" s="66"/>
      <c r="U485" s="2"/>
      <c r="V485" s="43"/>
    </row>
    <row r="486" spans="2:22" s="1" customFormat="1" x14ac:dyDescent="0.3">
      <c r="B486" s="59"/>
      <c r="C486" s="60"/>
      <c r="D486" s="143"/>
      <c r="E486" s="330"/>
      <c r="F486" s="512"/>
      <c r="G486" s="330"/>
      <c r="H486" s="512"/>
      <c r="I486" s="330"/>
      <c r="J486" s="512"/>
      <c r="K486" s="330"/>
      <c r="L486" s="512"/>
      <c r="M486" s="330"/>
      <c r="N486" s="512"/>
      <c r="O486" s="330"/>
      <c r="P486" s="512"/>
      <c r="Q486" s="330"/>
      <c r="R486" s="512"/>
      <c r="S486" s="559"/>
      <c r="T486" s="66"/>
      <c r="U486" s="2"/>
      <c r="V486" s="43"/>
    </row>
    <row r="487" spans="2:22" s="1" customFormat="1" ht="17.25" thickBot="1" x14ac:dyDescent="0.35">
      <c r="B487" s="59"/>
      <c r="C487" s="60"/>
      <c r="D487" s="3096" t="s">
        <v>164</v>
      </c>
      <c r="E487" s="3097"/>
      <c r="F487" s="3097"/>
      <c r="G487" s="3097"/>
      <c r="H487" s="3097"/>
      <c r="I487" s="3097"/>
      <c r="J487" s="637"/>
      <c r="K487" s="196"/>
      <c r="L487" s="637"/>
      <c r="M487" s="196"/>
      <c r="N487" s="637"/>
      <c r="O487" s="196"/>
      <c r="P487" s="637"/>
      <c r="Q487" s="639"/>
      <c r="R487" s="637"/>
      <c r="S487" s="253">
        <f>SUM(S484:S486)</f>
        <v>227.99999999999997</v>
      </c>
      <c r="T487" s="66"/>
      <c r="U487" s="2"/>
      <c r="V487" s="43"/>
    </row>
    <row r="488" spans="2:22" s="1" customFormat="1" x14ac:dyDescent="0.3">
      <c r="B488" s="59"/>
      <c r="C488" s="60"/>
      <c r="D488" s="338"/>
      <c r="E488" s="338"/>
      <c r="F488" s="338"/>
      <c r="G488" s="338"/>
      <c r="H488" s="338"/>
      <c r="I488" s="338"/>
      <c r="J488" s="638"/>
      <c r="K488" s="339"/>
      <c r="L488" s="638"/>
      <c r="M488" s="339"/>
      <c r="N488" s="638"/>
      <c r="O488" s="339"/>
      <c r="P488" s="638"/>
      <c r="Q488" s="339"/>
      <c r="R488" s="638"/>
      <c r="S488" s="340"/>
      <c r="T488" s="66"/>
      <c r="U488" s="2"/>
      <c r="V488" s="43"/>
    </row>
    <row r="489" spans="2:22" s="1" customFormat="1" ht="17.25" thickBot="1" x14ac:dyDescent="0.35">
      <c r="B489" s="59">
        <f>RAB!B88</f>
        <v>5</v>
      </c>
      <c r="C489" s="60" t="str">
        <f>RAB!C88</f>
        <v>Railing Tangga Belakang Pipa Galvanis Finsh. Cat minyak (Avian)</v>
      </c>
      <c r="E489" s="153"/>
      <c r="F489" s="480"/>
      <c r="G489" s="153"/>
      <c r="H489" s="480"/>
      <c r="I489" s="153"/>
      <c r="J489" s="480"/>
      <c r="K489" s="153"/>
      <c r="L489" s="480"/>
      <c r="M489" s="162"/>
      <c r="N489" s="480"/>
      <c r="O489" s="153"/>
      <c r="P489" s="480"/>
      <c r="Q489" s="153"/>
      <c r="R489" s="480"/>
      <c r="S489" s="224"/>
      <c r="T489" s="18">
        <f>ROUNDDOWN(S494,2)</f>
        <v>8.4</v>
      </c>
      <c r="U489" s="2" t="s">
        <v>27</v>
      </c>
      <c r="V489" s="43"/>
    </row>
    <row r="490" spans="2:22" s="1" customFormat="1" x14ac:dyDescent="0.3">
      <c r="B490" s="59"/>
      <c r="C490" s="60"/>
      <c r="D490" s="8" t="s">
        <v>95</v>
      </c>
      <c r="E490" s="154" t="s">
        <v>150</v>
      </c>
      <c r="F490" s="493"/>
      <c r="G490" s="154" t="s">
        <v>151</v>
      </c>
      <c r="H490" s="493"/>
      <c r="I490" s="154" t="s">
        <v>152</v>
      </c>
      <c r="J490" s="493"/>
      <c r="K490" s="154" t="s">
        <v>153</v>
      </c>
      <c r="L490" s="494"/>
      <c r="M490" s="163" t="s">
        <v>32</v>
      </c>
      <c r="N490" s="494"/>
      <c r="O490" s="201" t="s">
        <v>163</v>
      </c>
      <c r="P490" s="494"/>
      <c r="Q490" s="201" t="s">
        <v>151</v>
      </c>
      <c r="R490" s="494"/>
      <c r="S490" s="226" t="s">
        <v>143</v>
      </c>
      <c r="T490" s="66"/>
      <c r="U490" s="2"/>
      <c r="V490" s="43"/>
    </row>
    <row r="491" spans="2:22" s="1" customFormat="1" x14ac:dyDescent="0.3">
      <c r="B491" s="59"/>
      <c r="C491" s="60"/>
      <c r="D491" s="146" t="s">
        <v>742</v>
      </c>
      <c r="E491" s="691">
        <f>E379</f>
        <v>6.8</v>
      </c>
      <c r="F491" s="517"/>
      <c r="G491" s="691"/>
      <c r="H491" s="517"/>
      <c r="I491" s="691"/>
      <c r="J491" s="517"/>
      <c r="K491" s="691"/>
      <c r="L491" s="517"/>
      <c r="M491" s="691"/>
      <c r="N491" s="517"/>
      <c r="O491" s="691"/>
      <c r="P491" s="517"/>
      <c r="Q491" s="691"/>
      <c r="R491" s="517" t="s">
        <v>114</v>
      </c>
      <c r="S491" s="519">
        <f>E491</f>
        <v>6.8</v>
      </c>
      <c r="T491" s="66"/>
      <c r="U491" s="2"/>
      <c r="V491" s="43"/>
    </row>
    <row r="492" spans="2:22" s="1" customFormat="1" x14ac:dyDescent="0.3">
      <c r="B492" s="59"/>
      <c r="C492" s="60"/>
      <c r="D492" s="146" t="s">
        <v>271</v>
      </c>
      <c r="E492" s="691">
        <f>G381</f>
        <v>1.6</v>
      </c>
      <c r="F492" s="517"/>
      <c r="G492" s="691"/>
      <c r="H492" s="517"/>
      <c r="I492" s="691"/>
      <c r="J492" s="517"/>
      <c r="K492" s="691"/>
      <c r="L492" s="517"/>
      <c r="M492" s="691"/>
      <c r="N492" s="517"/>
      <c r="O492" s="691"/>
      <c r="P492" s="517"/>
      <c r="Q492" s="691"/>
      <c r="R492" s="517" t="s">
        <v>114</v>
      </c>
      <c r="S492" s="519">
        <f>E492</f>
        <v>1.6</v>
      </c>
      <c r="T492" s="66"/>
      <c r="U492" s="2"/>
      <c r="V492" s="43"/>
    </row>
    <row r="493" spans="2:22" s="1" customFormat="1" x14ac:dyDescent="0.3">
      <c r="B493" s="59"/>
      <c r="C493" s="60"/>
      <c r="D493" s="148"/>
      <c r="E493" s="619"/>
      <c r="F493" s="526"/>
      <c r="G493" s="619"/>
      <c r="H493" s="526"/>
      <c r="I493" s="619"/>
      <c r="J493" s="526"/>
      <c r="K493" s="619"/>
      <c r="L493" s="526"/>
      <c r="M493" s="619"/>
      <c r="N493" s="526"/>
      <c r="O493" s="619"/>
      <c r="P493" s="526"/>
      <c r="Q493" s="619"/>
      <c r="R493" s="526"/>
      <c r="S493" s="620"/>
      <c r="T493" s="66"/>
      <c r="U493" s="2"/>
      <c r="V493" s="43"/>
    </row>
    <row r="494" spans="2:22" s="1" customFormat="1" ht="17.25" thickBot="1" x14ac:dyDescent="0.35">
      <c r="B494" s="59"/>
      <c r="C494" s="60"/>
      <c r="D494" s="3096" t="s">
        <v>164</v>
      </c>
      <c r="E494" s="3097"/>
      <c r="F494" s="3097"/>
      <c r="G494" s="3097"/>
      <c r="H494" s="3097"/>
      <c r="I494" s="3097"/>
      <c r="J494" s="637"/>
      <c r="K494" s="196"/>
      <c r="L494" s="637"/>
      <c r="M494" s="196"/>
      <c r="N494" s="637"/>
      <c r="O494" s="196"/>
      <c r="P494" s="637"/>
      <c r="Q494" s="196"/>
      <c r="R494" s="637"/>
      <c r="S494" s="703">
        <f>SUM(S491:S493)</f>
        <v>8.4</v>
      </c>
      <c r="T494" s="66"/>
      <c r="U494" s="2"/>
      <c r="V494" s="43"/>
    </row>
    <row r="495" spans="2:22" x14ac:dyDescent="0.3">
      <c r="B495" s="341"/>
      <c r="C495" s="342"/>
      <c r="D495" s="343"/>
      <c r="E495" s="471"/>
      <c r="F495" s="489"/>
      <c r="G495" s="471"/>
      <c r="H495" s="489"/>
      <c r="I495" s="471"/>
      <c r="J495" s="489"/>
      <c r="K495" s="438"/>
      <c r="L495" s="482"/>
      <c r="M495" s="439"/>
      <c r="N495" s="482"/>
      <c r="O495" s="438"/>
      <c r="P495" s="482"/>
      <c r="Q495" s="438"/>
      <c r="R495" s="482"/>
      <c r="S495" s="454"/>
    </row>
    <row r="496" spans="2:22" s="134" customFormat="1" x14ac:dyDescent="0.3">
      <c r="B496" s="134" t="str">
        <f>RAB!B91</f>
        <v>IV</v>
      </c>
      <c r="C496" s="134" t="str">
        <f>RAB!C91</f>
        <v>PEKERJAAN PINTU &amp; JENDELA</v>
      </c>
      <c r="E496" s="198"/>
      <c r="F496" s="652"/>
      <c r="G496" s="198"/>
      <c r="H496" s="652"/>
      <c r="I496" s="198"/>
      <c r="J496" s="652"/>
      <c r="K496" s="198"/>
      <c r="L496" s="652"/>
      <c r="M496" s="198"/>
      <c r="N496" s="652"/>
      <c r="O496" s="198"/>
      <c r="P496" s="652"/>
      <c r="Q496" s="198"/>
      <c r="R496" s="652"/>
      <c r="S496" s="232"/>
      <c r="U496" s="2"/>
      <c r="V496" s="675"/>
    </row>
    <row r="497" spans="2:22" s="1" customFormat="1" ht="17.25" thickBot="1" x14ac:dyDescent="0.35">
      <c r="B497" s="59">
        <f>RAB!B92</f>
        <v>1</v>
      </c>
      <c r="C497" s="60" t="str">
        <f>RAB!C92</f>
        <v>Pintu Type P1</v>
      </c>
      <c r="E497" s="153"/>
      <c r="F497" s="480"/>
      <c r="G497" s="153"/>
      <c r="H497" s="480"/>
      <c r="I497" s="153"/>
      <c r="J497" s="480"/>
      <c r="K497" s="153"/>
      <c r="L497" s="480"/>
      <c r="M497" s="162"/>
      <c r="N497" s="480"/>
      <c r="O497" s="153"/>
      <c r="P497" s="480"/>
      <c r="Q497" s="153"/>
      <c r="R497" s="480"/>
      <c r="S497" s="224"/>
      <c r="T497" s="18">
        <f>ROUNDDOWN(S501,2)</f>
        <v>8</v>
      </c>
      <c r="U497" s="2" t="s">
        <v>32</v>
      </c>
      <c r="V497" s="43"/>
    </row>
    <row r="498" spans="2:22" s="1" customFormat="1" x14ac:dyDescent="0.3">
      <c r="B498" s="59"/>
      <c r="C498" s="60"/>
      <c r="D498" s="125" t="s">
        <v>95</v>
      </c>
      <c r="E498" s="161" t="s">
        <v>150</v>
      </c>
      <c r="F498" s="654"/>
      <c r="G498" s="161" t="s">
        <v>151</v>
      </c>
      <c r="H498" s="654"/>
      <c r="I498" s="161" t="s">
        <v>152</v>
      </c>
      <c r="J498" s="654"/>
      <c r="K498" s="161" t="s">
        <v>153</v>
      </c>
      <c r="L498" s="654"/>
      <c r="M498" s="171" t="s">
        <v>32</v>
      </c>
      <c r="N498" s="654"/>
      <c r="O498" s="161" t="s">
        <v>163</v>
      </c>
      <c r="P498" s="654"/>
      <c r="Q498" s="161" t="s">
        <v>151</v>
      </c>
      <c r="R498" s="654"/>
      <c r="S498" s="254" t="s">
        <v>143</v>
      </c>
      <c r="T498" s="66"/>
      <c r="U498" s="2"/>
      <c r="V498" s="43"/>
    </row>
    <row r="499" spans="2:22" s="1" customFormat="1" x14ac:dyDescent="0.3">
      <c r="B499" s="59"/>
      <c r="C499" s="60"/>
      <c r="D499" s="142"/>
      <c r="E499" s="197"/>
      <c r="F499" s="640"/>
      <c r="G499" s="197"/>
      <c r="H499" s="640"/>
      <c r="I499" s="197"/>
      <c r="J499" s="640"/>
      <c r="K499" s="323">
        <f>K445</f>
        <v>8</v>
      </c>
      <c r="L499" s="640"/>
      <c r="M499" s="197"/>
      <c r="N499" s="640"/>
      <c r="O499" s="197"/>
      <c r="P499" s="640"/>
      <c r="Q499" s="197">
        <f>I445*E445</f>
        <v>4.5</v>
      </c>
      <c r="R499" s="640"/>
      <c r="S499" s="248">
        <f>K499</f>
        <v>8</v>
      </c>
      <c r="T499" s="66"/>
      <c r="U499" s="2"/>
      <c r="V499" s="43"/>
    </row>
    <row r="500" spans="2:22" s="1" customFormat="1" x14ac:dyDescent="0.3">
      <c r="B500" s="59"/>
      <c r="C500" s="60"/>
      <c r="D500" s="143"/>
      <c r="E500" s="170"/>
      <c r="F500" s="630"/>
      <c r="G500" s="170"/>
      <c r="H500" s="630"/>
      <c r="I500" s="170"/>
      <c r="J500" s="630"/>
      <c r="K500" s="170"/>
      <c r="L500" s="630"/>
      <c r="M500" s="170"/>
      <c r="N500" s="630"/>
      <c r="O500" s="170"/>
      <c r="P500" s="630"/>
      <c r="Q500" s="170"/>
      <c r="R500" s="630"/>
      <c r="S500" s="251"/>
      <c r="T500" s="66"/>
      <c r="U500" s="2"/>
      <c r="V500" s="43"/>
    </row>
    <row r="501" spans="2:22" s="1" customFormat="1" ht="17.25" thickBot="1" x14ac:dyDescent="0.35">
      <c r="B501" s="59"/>
      <c r="C501" s="60"/>
      <c r="D501" s="3091" t="s">
        <v>164</v>
      </c>
      <c r="E501" s="3092"/>
      <c r="F501" s="3092"/>
      <c r="G501" s="3092"/>
      <c r="H501" s="3092"/>
      <c r="I501" s="3092"/>
      <c r="J501" s="622"/>
      <c r="K501" s="190"/>
      <c r="L501" s="622"/>
      <c r="M501" s="190"/>
      <c r="N501" s="622"/>
      <c r="O501" s="190"/>
      <c r="P501" s="622"/>
      <c r="Q501" s="190"/>
      <c r="R501" s="622"/>
      <c r="S501" s="247">
        <f>SUM(S499:S500)</f>
        <v>8</v>
      </c>
      <c r="T501" s="66"/>
      <c r="U501" s="2"/>
      <c r="V501" s="43"/>
    </row>
    <row r="502" spans="2:22" x14ac:dyDescent="0.3">
      <c r="B502" s="341"/>
      <c r="C502" s="342"/>
      <c r="D502" s="343"/>
      <c r="E502" s="471"/>
      <c r="F502" s="489"/>
      <c r="G502" s="471"/>
      <c r="H502" s="489"/>
      <c r="I502" s="471"/>
      <c r="J502" s="489"/>
      <c r="K502" s="438"/>
      <c r="L502" s="482"/>
      <c r="M502" s="439"/>
      <c r="N502" s="482"/>
      <c r="O502" s="438"/>
      <c r="P502" s="482"/>
      <c r="Q502" s="438"/>
      <c r="R502" s="482"/>
      <c r="S502" s="454"/>
    </row>
    <row r="503" spans="2:22" s="1" customFormat="1" ht="17.25" thickBot="1" x14ac:dyDescent="0.35">
      <c r="B503" s="59">
        <f>RAB!B99</f>
        <v>2</v>
      </c>
      <c r="C503" s="60" t="str">
        <f>RAB!C99</f>
        <v>Pintu Type P2</v>
      </c>
      <c r="E503" s="153"/>
      <c r="F503" s="480"/>
      <c r="G503" s="153"/>
      <c r="H503" s="480"/>
      <c r="I503" s="153"/>
      <c r="J503" s="480"/>
      <c r="K503" s="153"/>
      <c r="L503" s="480"/>
      <c r="M503" s="162"/>
      <c r="N503" s="480"/>
      <c r="O503" s="153"/>
      <c r="P503" s="480"/>
      <c r="Q503" s="153"/>
      <c r="R503" s="480"/>
      <c r="S503" s="224"/>
      <c r="T503" s="18"/>
      <c r="U503" s="2"/>
      <c r="V503" s="43"/>
    </row>
    <row r="504" spans="2:22" s="1" customFormat="1" x14ac:dyDescent="0.3">
      <c r="B504" s="59"/>
      <c r="C504" s="60"/>
      <c r="D504" s="125" t="s">
        <v>95</v>
      </c>
      <c r="E504" s="161" t="s">
        <v>150</v>
      </c>
      <c r="F504" s="654"/>
      <c r="G504" s="161" t="s">
        <v>151</v>
      </c>
      <c r="H504" s="654"/>
      <c r="I504" s="161" t="s">
        <v>152</v>
      </c>
      <c r="J504" s="654"/>
      <c r="K504" s="161" t="s">
        <v>153</v>
      </c>
      <c r="L504" s="654"/>
      <c r="M504" s="171" t="s">
        <v>32</v>
      </c>
      <c r="N504" s="654"/>
      <c r="O504" s="161" t="s">
        <v>163</v>
      </c>
      <c r="P504" s="654"/>
      <c r="Q504" s="161" t="s">
        <v>151</v>
      </c>
      <c r="R504" s="654"/>
      <c r="S504" s="254" t="s">
        <v>143</v>
      </c>
      <c r="T504" s="66"/>
      <c r="U504" s="2"/>
      <c r="V504" s="43"/>
    </row>
    <row r="505" spans="2:22" s="1" customFormat="1" x14ac:dyDescent="0.3">
      <c r="B505" s="59"/>
      <c r="C505" s="60"/>
      <c r="D505" s="643" t="str">
        <f>RAB!D100</f>
        <v>- Kusen Kayu kelas 1</v>
      </c>
      <c r="E505" s="331">
        <f>2*(1.2+2.7)</f>
        <v>7.8000000000000007</v>
      </c>
      <c r="F505" s="575" t="s">
        <v>185</v>
      </c>
      <c r="G505" s="331">
        <v>0.13</v>
      </c>
      <c r="H505" s="575" t="s">
        <v>185</v>
      </c>
      <c r="I505" s="331">
        <v>0.05</v>
      </c>
      <c r="J505" s="575"/>
      <c r="K505" s="331">
        <v>4</v>
      </c>
      <c r="L505" s="575"/>
      <c r="M505" s="331"/>
      <c r="N505" s="575"/>
      <c r="O505" s="331"/>
      <c r="P505" s="575"/>
      <c r="Q505" s="331"/>
      <c r="R505" s="575" t="s">
        <v>114</v>
      </c>
      <c r="S505" s="577">
        <f>K505*E505*I505*G505</f>
        <v>0.20280000000000004</v>
      </c>
      <c r="T505" s="18">
        <f>ROUNDDOWN(S505,2)</f>
        <v>0.2</v>
      </c>
      <c r="U505" s="2" t="s">
        <v>3</v>
      </c>
      <c r="V505" s="43"/>
    </row>
    <row r="506" spans="2:22" s="1" customFormat="1" x14ac:dyDescent="0.3">
      <c r="B506" s="59"/>
      <c r="C506" s="60"/>
      <c r="D506" s="324" t="str">
        <f>RAB!D101</f>
        <v>- Daun Pintu Kayu panel kelas II</v>
      </c>
      <c r="E506" s="589"/>
      <c r="F506" s="629"/>
      <c r="G506" s="589">
        <v>1.5</v>
      </c>
      <c r="H506" s="629" t="s">
        <v>185</v>
      </c>
      <c r="I506" s="589">
        <v>2.1</v>
      </c>
      <c r="J506" s="629" t="s">
        <v>185</v>
      </c>
      <c r="K506" s="589">
        <v>8</v>
      </c>
      <c r="L506" s="629"/>
      <c r="M506" s="589"/>
      <c r="N506" s="629"/>
      <c r="O506" s="589"/>
      <c r="P506" s="629" t="s">
        <v>114</v>
      </c>
      <c r="Q506" s="589">
        <f>K506*I506*G506</f>
        <v>25.200000000000003</v>
      </c>
      <c r="R506" s="629"/>
      <c r="S506" s="590"/>
      <c r="T506" s="18">
        <f>ROUNDDOWN(Q506,2)</f>
        <v>25.2</v>
      </c>
      <c r="U506" s="2" t="s">
        <v>2</v>
      </c>
      <c r="V506" s="43"/>
    </row>
    <row r="507" spans="2:22" s="1" customFormat="1" x14ac:dyDescent="0.3">
      <c r="B507" s="59"/>
      <c r="C507" s="60"/>
      <c r="D507" s="324" t="e">
        <f>RAB!#REF!</f>
        <v>#REF!</v>
      </c>
      <c r="E507" s="589"/>
      <c r="F507" s="629"/>
      <c r="G507" s="589">
        <v>1.1000000000000001</v>
      </c>
      <c r="H507" s="629" t="s">
        <v>185</v>
      </c>
      <c r="I507" s="589">
        <v>0.5</v>
      </c>
      <c r="J507" s="629" t="s">
        <v>185</v>
      </c>
      <c r="K507" s="589">
        <f t="shared" ref="K507:K514" si="8">K506</f>
        <v>8</v>
      </c>
      <c r="L507" s="629"/>
      <c r="M507" s="589"/>
      <c r="N507" s="629"/>
      <c r="O507" s="589"/>
      <c r="P507" s="629" t="s">
        <v>114</v>
      </c>
      <c r="Q507" s="589">
        <f>K507*I507*G507</f>
        <v>4.4000000000000004</v>
      </c>
      <c r="R507" s="629"/>
      <c r="S507" s="590"/>
      <c r="T507" s="18">
        <v>0</v>
      </c>
      <c r="U507" s="2" t="s">
        <v>2</v>
      </c>
      <c r="V507" s="43"/>
    </row>
    <row r="508" spans="2:22" s="1" customFormat="1" x14ac:dyDescent="0.3">
      <c r="B508" s="59"/>
      <c r="C508" s="60"/>
      <c r="D508" s="324" t="str">
        <f>RAB!D102</f>
        <v>- Engsel Pintu 4 inc</v>
      </c>
      <c r="E508" s="589"/>
      <c r="F508" s="629"/>
      <c r="G508" s="589"/>
      <c r="H508" s="629"/>
      <c r="I508" s="589"/>
      <c r="J508" s="629"/>
      <c r="K508" s="589">
        <f t="shared" si="8"/>
        <v>8</v>
      </c>
      <c r="L508" s="629" t="s">
        <v>185</v>
      </c>
      <c r="M508" s="589">
        <v>2</v>
      </c>
      <c r="N508" s="629" t="s">
        <v>185</v>
      </c>
      <c r="O508" s="589">
        <v>3</v>
      </c>
      <c r="P508" s="629"/>
      <c r="Q508" s="589"/>
      <c r="R508" s="629" t="s">
        <v>114</v>
      </c>
      <c r="S508" s="590">
        <f>O508*K508*M508</f>
        <v>48</v>
      </c>
      <c r="T508" s="18">
        <f>ROUNDDOWN(S508,2)</f>
        <v>48</v>
      </c>
      <c r="U508" s="2" t="s">
        <v>9</v>
      </c>
      <c r="V508" s="43"/>
    </row>
    <row r="509" spans="2:22" s="1" customFormat="1" x14ac:dyDescent="0.3">
      <c r="B509" s="59"/>
      <c r="C509" s="60"/>
      <c r="D509" s="324" t="e">
        <f>RAB!#REF!</f>
        <v>#REF!</v>
      </c>
      <c r="E509" s="589"/>
      <c r="F509" s="629"/>
      <c r="G509" s="589"/>
      <c r="H509" s="629"/>
      <c r="I509" s="589"/>
      <c r="J509" s="629"/>
      <c r="K509" s="589">
        <f t="shared" si="8"/>
        <v>8</v>
      </c>
      <c r="L509" s="629" t="s">
        <v>185</v>
      </c>
      <c r="M509" s="589">
        <v>1</v>
      </c>
      <c r="N509" s="629" t="s">
        <v>185</v>
      </c>
      <c r="O509" s="589">
        <v>2</v>
      </c>
      <c r="P509" s="629"/>
      <c r="Q509" s="589"/>
      <c r="R509" s="629" t="s">
        <v>114</v>
      </c>
      <c r="S509" s="590">
        <f>O509*K509*M509</f>
        <v>16</v>
      </c>
      <c r="T509" s="18">
        <v>0</v>
      </c>
      <c r="U509" s="2" t="s">
        <v>9</v>
      </c>
      <c r="V509" s="43"/>
    </row>
    <row r="510" spans="2:22" s="1" customFormat="1" x14ac:dyDescent="0.3">
      <c r="B510" s="59"/>
      <c r="C510" s="60"/>
      <c r="D510" s="324" t="str">
        <f>RAB!D103</f>
        <v>- Kunci Tanam ex. Ses</v>
      </c>
      <c r="E510" s="589"/>
      <c r="F510" s="629"/>
      <c r="G510" s="589"/>
      <c r="H510" s="629"/>
      <c r="I510" s="589"/>
      <c r="J510" s="629"/>
      <c r="K510" s="589">
        <f t="shared" si="8"/>
        <v>8</v>
      </c>
      <c r="L510" s="629"/>
      <c r="M510" s="589"/>
      <c r="N510" s="629"/>
      <c r="O510" s="589"/>
      <c r="P510" s="629"/>
      <c r="Q510" s="589"/>
      <c r="R510" s="629"/>
      <c r="S510" s="590"/>
      <c r="T510" s="18">
        <f>ROUNDDOWN(K510,2)</f>
        <v>8</v>
      </c>
      <c r="U510" s="2" t="s">
        <v>115</v>
      </c>
      <c r="V510" s="43"/>
    </row>
    <row r="511" spans="2:22" s="1" customFormat="1" x14ac:dyDescent="0.3">
      <c r="B511" s="59"/>
      <c r="C511" s="60"/>
      <c r="D511" s="324" t="e">
        <f>RAB!#REF!</f>
        <v>#REF!</v>
      </c>
      <c r="E511" s="589"/>
      <c r="F511" s="629"/>
      <c r="G511" s="589"/>
      <c r="H511" s="629"/>
      <c r="I511" s="589"/>
      <c r="J511" s="629"/>
      <c r="K511" s="589">
        <f t="shared" si="8"/>
        <v>8</v>
      </c>
      <c r="L511" s="629"/>
      <c r="M511" s="589"/>
      <c r="N511" s="629"/>
      <c r="O511" s="589"/>
      <c r="P511" s="629"/>
      <c r="Q511" s="589"/>
      <c r="R511" s="629"/>
      <c r="S511" s="590"/>
      <c r="T511" s="18">
        <f>ROUNDDOWN(K511,2)</f>
        <v>8</v>
      </c>
      <c r="U511" s="2" t="s">
        <v>9</v>
      </c>
      <c r="V511" s="43"/>
    </row>
    <row r="512" spans="2:22" s="1" customFormat="1" x14ac:dyDescent="0.3">
      <c r="B512" s="59"/>
      <c r="C512" s="60"/>
      <c r="D512" s="324" t="e">
        <f>RAB!#REF!</f>
        <v>#REF!</v>
      </c>
      <c r="E512" s="589"/>
      <c r="F512" s="629"/>
      <c r="G512" s="589"/>
      <c r="H512" s="629"/>
      <c r="I512" s="589"/>
      <c r="J512" s="629"/>
      <c r="K512" s="589">
        <f t="shared" si="8"/>
        <v>8</v>
      </c>
      <c r="L512" s="629"/>
      <c r="M512" s="589"/>
      <c r="N512" s="629"/>
      <c r="O512" s="589"/>
      <c r="P512" s="629"/>
      <c r="Q512" s="589"/>
      <c r="R512" s="629"/>
      <c r="S512" s="590"/>
      <c r="T512" s="18">
        <v>0</v>
      </c>
      <c r="U512" s="2" t="s">
        <v>129</v>
      </c>
      <c r="V512" s="43"/>
    </row>
    <row r="513" spans="2:22" s="1" customFormat="1" x14ac:dyDescent="0.3">
      <c r="B513" s="59"/>
      <c r="C513" s="60"/>
      <c r="D513" s="324" t="str">
        <f>RAB!D104</f>
        <v>- Door Stoop</v>
      </c>
      <c r="E513" s="656"/>
      <c r="F513" s="517"/>
      <c r="G513" s="656"/>
      <c r="H513" s="517"/>
      <c r="I513" s="656"/>
      <c r="J513" s="517"/>
      <c r="K513" s="589">
        <f t="shared" si="8"/>
        <v>8</v>
      </c>
      <c r="L513" s="629"/>
      <c r="M513" s="589"/>
      <c r="N513" s="629"/>
      <c r="O513" s="589"/>
      <c r="P513" s="629"/>
      <c r="Q513" s="589"/>
      <c r="R513" s="629"/>
      <c r="S513" s="590"/>
      <c r="T513" s="18">
        <f>ROUNDDOWN(K513,2)</f>
        <v>8</v>
      </c>
      <c r="U513" s="2" t="s">
        <v>132</v>
      </c>
      <c r="V513" s="43"/>
    </row>
    <row r="514" spans="2:22" s="1" customFormat="1" x14ac:dyDescent="0.3">
      <c r="B514" s="59"/>
      <c r="C514" s="60"/>
      <c r="D514" s="324" t="str">
        <f>RAB!D105</f>
        <v>- Grendel Pintu 8 Inc Stainless Stail</v>
      </c>
      <c r="E514" s="619"/>
      <c r="F514" s="526"/>
      <c r="G514" s="619"/>
      <c r="H514" s="526"/>
      <c r="I514" s="619"/>
      <c r="J514" s="526"/>
      <c r="K514" s="589">
        <f t="shared" si="8"/>
        <v>8</v>
      </c>
      <c r="L514" s="1041"/>
      <c r="M514" s="1040"/>
      <c r="N514" s="1041"/>
      <c r="O514" s="1040"/>
      <c r="P514" s="1041"/>
      <c r="Q514" s="1040"/>
      <c r="R514" s="1041"/>
      <c r="S514" s="1042"/>
      <c r="T514" s="18">
        <f>ROUNDDOWN(K514,2)</f>
        <v>8</v>
      </c>
      <c r="U514" s="2" t="s">
        <v>132</v>
      </c>
      <c r="V514" s="43"/>
    </row>
    <row r="515" spans="2:22" s="1" customFormat="1" x14ac:dyDescent="0.3">
      <c r="B515" s="59"/>
      <c r="C515" s="60"/>
      <c r="D515" s="143"/>
      <c r="E515" s="330"/>
      <c r="F515" s="512"/>
      <c r="G515" s="330"/>
      <c r="H515" s="512"/>
      <c r="I515" s="330"/>
      <c r="J515" s="512"/>
      <c r="K515" s="330"/>
      <c r="L515" s="512"/>
      <c r="M515" s="330"/>
      <c r="N515" s="512"/>
      <c r="O515" s="330"/>
      <c r="P515" s="512"/>
      <c r="Q515" s="330"/>
      <c r="R515" s="512"/>
      <c r="S515" s="559"/>
      <c r="T515" s="66"/>
      <c r="U515" s="2"/>
      <c r="V515" s="43"/>
    </row>
    <row r="516" spans="2:22" x14ac:dyDescent="0.3">
      <c r="B516" s="341"/>
      <c r="C516" s="342"/>
      <c r="D516" s="343"/>
      <c r="E516" s="471"/>
      <c r="F516" s="489"/>
      <c r="G516" s="471"/>
      <c r="H516" s="489"/>
      <c r="I516" s="471"/>
      <c r="J516" s="489"/>
      <c r="K516" s="438"/>
      <c r="L516" s="482"/>
      <c r="M516" s="439"/>
      <c r="N516" s="482"/>
      <c r="O516" s="438"/>
      <c r="P516" s="482"/>
      <c r="Q516" s="438"/>
      <c r="R516" s="482"/>
      <c r="S516" s="454"/>
    </row>
    <row r="517" spans="2:22" x14ac:dyDescent="0.3">
      <c r="B517" s="341"/>
      <c r="C517" s="342"/>
      <c r="D517" s="16"/>
      <c r="E517" s="216"/>
      <c r="F517" s="602"/>
      <c r="G517" s="216"/>
      <c r="H517" s="602"/>
      <c r="I517" s="216"/>
      <c r="J517" s="602"/>
      <c r="K517" s="156"/>
      <c r="L517" s="501"/>
      <c r="M517" s="165"/>
      <c r="N517" s="501"/>
      <c r="O517" s="156"/>
      <c r="P517" s="501"/>
      <c r="Q517" s="156"/>
      <c r="R517" s="501"/>
      <c r="S517" s="232"/>
    </row>
    <row r="518" spans="2:22" s="1" customFormat="1" ht="17.25" thickBot="1" x14ac:dyDescent="0.35">
      <c r="B518" s="59">
        <f>RAB!B106</f>
        <v>3</v>
      </c>
      <c r="C518" s="60" t="str">
        <f>RAB!C106</f>
        <v>Jendela Type J.1</v>
      </c>
      <c r="E518" s="153"/>
      <c r="F518" s="480"/>
      <c r="G518" s="153"/>
      <c r="H518" s="480"/>
      <c r="I518" s="153"/>
      <c r="J518" s="480"/>
      <c r="K518" s="153"/>
      <c r="L518" s="480"/>
      <c r="M518" s="162"/>
      <c r="N518" s="480"/>
      <c r="O518" s="153"/>
      <c r="P518" s="480"/>
      <c r="Q518" s="153"/>
      <c r="R518" s="480"/>
      <c r="S518" s="224"/>
      <c r="T518" s="18">
        <f>ROUNDDOWN(S522,2)</f>
        <v>114.4</v>
      </c>
      <c r="U518" s="2" t="s">
        <v>2</v>
      </c>
      <c r="V518" s="43"/>
    </row>
    <row r="519" spans="2:22" s="1" customFormat="1" x14ac:dyDescent="0.3">
      <c r="B519" s="59"/>
      <c r="C519" s="60"/>
      <c r="D519" s="141" t="s">
        <v>95</v>
      </c>
      <c r="E519" s="158" t="s">
        <v>150</v>
      </c>
      <c r="F519" s="641"/>
      <c r="G519" s="158" t="s">
        <v>151</v>
      </c>
      <c r="H519" s="641"/>
      <c r="I519" s="158" t="s">
        <v>152</v>
      </c>
      <c r="J519" s="641"/>
      <c r="K519" s="158" t="s">
        <v>153</v>
      </c>
      <c r="L519" s="641"/>
      <c r="M519" s="167" t="s">
        <v>32</v>
      </c>
      <c r="N519" s="641"/>
      <c r="O519" s="158" t="s">
        <v>163</v>
      </c>
      <c r="P519" s="641"/>
      <c r="Q519" s="158" t="s">
        <v>151</v>
      </c>
      <c r="R519" s="641"/>
      <c r="S519" s="242" t="s">
        <v>143</v>
      </c>
      <c r="T519" s="66"/>
      <c r="U519" s="2"/>
      <c r="V519" s="43"/>
    </row>
    <row r="520" spans="2:22" s="1" customFormat="1" x14ac:dyDescent="0.3">
      <c r="B520" s="59"/>
      <c r="C520" s="60"/>
      <c r="D520" s="142" t="str">
        <f>C518</f>
        <v>Jendela Type J.1</v>
      </c>
      <c r="E520" s="323">
        <f>E448</f>
        <v>2</v>
      </c>
      <c r="F520" s="640"/>
      <c r="G520" s="323">
        <f>I448</f>
        <v>2.6</v>
      </c>
      <c r="H520" s="640"/>
      <c r="I520" s="197"/>
      <c r="J520" s="640"/>
      <c r="K520" s="197"/>
      <c r="L520" s="640"/>
      <c r="M520" s="323">
        <f>K448</f>
        <v>22</v>
      </c>
      <c r="N520" s="640"/>
      <c r="O520" s="197"/>
      <c r="P520" s="640"/>
      <c r="Q520" s="197"/>
      <c r="R520" s="640" t="s">
        <v>114</v>
      </c>
      <c r="S520" s="248">
        <f>E520*G520*M520</f>
        <v>114.4</v>
      </c>
      <c r="T520" s="66"/>
      <c r="U520" s="2"/>
      <c r="V520" s="43"/>
    </row>
    <row r="521" spans="2:22" s="1" customFormat="1" x14ac:dyDescent="0.3">
      <c r="B521" s="59"/>
      <c r="C521" s="60"/>
      <c r="D521" s="143"/>
      <c r="E521" s="170"/>
      <c r="F521" s="630"/>
      <c r="G521" s="170"/>
      <c r="H521" s="630"/>
      <c r="I521" s="170"/>
      <c r="J521" s="630"/>
      <c r="K521" s="170"/>
      <c r="L521" s="630"/>
      <c r="M521" s="170"/>
      <c r="N521" s="630"/>
      <c r="O521" s="170"/>
      <c r="P521" s="630"/>
      <c r="Q521" s="170"/>
      <c r="R521" s="630"/>
      <c r="S521" s="251"/>
      <c r="T521" s="66"/>
      <c r="U521" s="2"/>
      <c r="V521" s="43"/>
    </row>
    <row r="522" spans="2:22" s="1" customFormat="1" ht="17.25" thickBot="1" x14ac:dyDescent="0.35">
      <c r="B522" s="59"/>
      <c r="C522" s="60"/>
      <c r="D522" s="3091" t="s">
        <v>164</v>
      </c>
      <c r="E522" s="3092"/>
      <c r="F522" s="3092"/>
      <c r="G522" s="3092"/>
      <c r="H522" s="3092"/>
      <c r="I522" s="3092"/>
      <c r="J522" s="622"/>
      <c r="K522" s="190"/>
      <c r="L522" s="622"/>
      <c r="M522" s="190"/>
      <c r="N522" s="622"/>
      <c r="O522" s="190"/>
      <c r="P522" s="622"/>
      <c r="Q522" s="190"/>
      <c r="R522" s="622"/>
      <c r="S522" s="247">
        <f>SUM(S520:S521)</f>
        <v>114.4</v>
      </c>
      <c r="T522" s="66"/>
      <c r="U522" s="2"/>
      <c r="V522" s="43"/>
    </row>
    <row r="523" spans="2:22" s="1" customFormat="1" x14ac:dyDescent="0.3">
      <c r="B523" s="59"/>
      <c r="C523" s="60"/>
      <c r="D523" s="16"/>
      <c r="E523" s="216"/>
      <c r="F523" s="602"/>
      <c r="G523" s="216"/>
      <c r="H523" s="602"/>
      <c r="I523" s="216"/>
      <c r="J523" s="602"/>
      <c r="K523" s="156"/>
      <c r="L523" s="501"/>
      <c r="M523" s="165"/>
      <c r="N523" s="501"/>
      <c r="O523" s="156"/>
      <c r="P523" s="501"/>
      <c r="Q523" s="156"/>
      <c r="R523" s="501"/>
      <c r="S523" s="232"/>
      <c r="T523" s="66"/>
      <c r="U523" s="2"/>
      <c r="V523" s="43"/>
    </row>
    <row r="524" spans="2:22" s="1" customFormat="1" ht="17.25" thickBot="1" x14ac:dyDescent="0.35">
      <c r="B524" s="59">
        <f>RAB!B107</f>
        <v>4</v>
      </c>
      <c r="C524" s="60" t="str">
        <f>RAB!C107</f>
        <v>Jendela Type J2</v>
      </c>
      <c r="E524" s="153"/>
      <c r="F524" s="480"/>
      <c r="G524" s="153"/>
      <c r="H524" s="480"/>
      <c r="I524" s="153"/>
      <c r="J524" s="480"/>
      <c r="K524" s="153"/>
      <c r="L524" s="480"/>
      <c r="M524" s="162"/>
      <c r="N524" s="480"/>
      <c r="O524" s="153"/>
      <c r="P524" s="480"/>
      <c r="Q524" s="153"/>
      <c r="R524" s="480"/>
      <c r="S524" s="224"/>
      <c r="T524" s="18">
        <f>ROUNDDOWN(S528,2)</f>
        <v>6.24</v>
      </c>
      <c r="U524" s="2" t="s">
        <v>32</v>
      </c>
      <c r="V524" s="43"/>
    </row>
    <row r="525" spans="2:22" s="1" customFormat="1" x14ac:dyDescent="0.3">
      <c r="B525" s="59"/>
      <c r="C525" s="60"/>
      <c r="D525" s="125" t="s">
        <v>95</v>
      </c>
      <c r="E525" s="161" t="s">
        <v>150</v>
      </c>
      <c r="F525" s="654"/>
      <c r="G525" s="161" t="s">
        <v>151</v>
      </c>
      <c r="H525" s="654"/>
      <c r="I525" s="161" t="s">
        <v>152</v>
      </c>
      <c r="J525" s="654"/>
      <c r="K525" s="161" t="s">
        <v>153</v>
      </c>
      <c r="L525" s="654"/>
      <c r="M525" s="171" t="s">
        <v>32</v>
      </c>
      <c r="N525" s="654"/>
      <c r="O525" s="161" t="s">
        <v>163</v>
      </c>
      <c r="P525" s="654"/>
      <c r="Q525" s="161" t="s">
        <v>151</v>
      </c>
      <c r="R525" s="654"/>
      <c r="S525" s="254" t="s">
        <v>143</v>
      </c>
      <c r="T525" s="66"/>
      <c r="U525" s="2"/>
      <c r="V525" s="43"/>
    </row>
    <row r="526" spans="2:22" s="1" customFormat="1" x14ac:dyDescent="0.3">
      <c r="B526" s="59"/>
      <c r="C526" s="60"/>
      <c r="D526" s="662" t="str">
        <f>C524</f>
        <v>Jendela Type J2</v>
      </c>
      <c r="E526" s="323">
        <f>E449</f>
        <v>0.6</v>
      </c>
      <c r="F526" s="640"/>
      <c r="G526" s="323">
        <f>I449</f>
        <v>2.6</v>
      </c>
      <c r="H526" s="640"/>
      <c r="I526" s="197"/>
      <c r="J526" s="640"/>
      <c r="K526" s="197"/>
      <c r="L526" s="640"/>
      <c r="M526" s="323">
        <f>K449</f>
        <v>4</v>
      </c>
      <c r="N526" s="640"/>
      <c r="O526" s="197"/>
      <c r="P526" s="640"/>
      <c r="Q526" s="197"/>
      <c r="R526" s="640" t="s">
        <v>114</v>
      </c>
      <c r="S526" s="248">
        <f>E526*G526*M526</f>
        <v>6.24</v>
      </c>
      <c r="T526" s="66"/>
      <c r="U526" s="2"/>
      <c r="V526" s="43"/>
    </row>
    <row r="527" spans="2:22" s="1" customFormat="1" x14ac:dyDescent="0.3">
      <c r="B527" s="59"/>
      <c r="C527" s="60"/>
      <c r="D527" s="666"/>
      <c r="E527" s="667"/>
      <c r="F527" s="668"/>
      <c r="G527" s="667"/>
      <c r="H527" s="668"/>
      <c r="I527" s="667"/>
      <c r="J527" s="668"/>
      <c r="K527" s="667"/>
      <c r="L527" s="668"/>
      <c r="M527" s="667"/>
      <c r="N527" s="668"/>
      <c r="O527" s="667"/>
      <c r="P527" s="668"/>
      <c r="Q527" s="667"/>
      <c r="R527" s="668"/>
      <c r="S527" s="669"/>
      <c r="T527" s="66"/>
      <c r="U527" s="2"/>
      <c r="V527" s="43"/>
    </row>
    <row r="528" spans="2:22" s="1" customFormat="1" ht="17.25" thickBot="1" x14ac:dyDescent="0.35">
      <c r="B528" s="59"/>
      <c r="C528" s="60"/>
      <c r="D528" s="3091" t="s">
        <v>164</v>
      </c>
      <c r="E528" s="3092"/>
      <c r="F528" s="3092"/>
      <c r="G528" s="3092"/>
      <c r="H528" s="3092"/>
      <c r="I528" s="3092"/>
      <c r="J528" s="622"/>
      <c r="K528" s="190"/>
      <c r="L528" s="622"/>
      <c r="M528" s="190"/>
      <c r="N528" s="622"/>
      <c r="O528" s="190"/>
      <c r="P528" s="622"/>
      <c r="Q528" s="190"/>
      <c r="R528" s="622"/>
      <c r="S528" s="247">
        <f>SUM(S526:S527)</f>
        <v>6.24</v>
      </c>
      <c r="T528" s="66"/>
      <c r="U528" s="2"/>
      <c r="V528" s="43"/>
    </row>
    <row r="529" spans="2:22" x14ac:dyDescent="0.3">
      <c r="B529" s="341"/>
      <c r="C529" s="342"/>
      <c r="D529" s="453"/>
      <c r="E529" s="455"/>
      <c r="F529" s="485"/>
      <c r="G529" s="455"/>
      <c r="H529" s="485"/>
      <c r="I529" s="455"/>
      <c r="J529" s="492"/>
      <c r="K529" s="477"/>
      <c r="L529" s="492"/>
      <c r="M529" s="477"/>
      <c r="N529" s="492"/>
      <c r="O529" s="477"/>
      <c r="P529" s="492"/>
      <c r="Q529" s="477"/>
      <c r="R529" s="492"/>
      <c r="S529" s="479"/>
    </row>
    <row r="530" spans="2:22" s="1" customFormat="1" x14ac:dyDescent="0.3">
      <c r="B530" s="134" t="str">
        <f>RAB!B110</f>
        <v>V</v>
      </c>
      <c r="C530" s="134" t="str">
        <f>RAB!C110</f>
        <v>PEKERJAAN PENUTUP LANTAI &amp; DINDING</v>
      </c>
      <c r="E530" s="153"/>
      <c r="F530" s="480"/>
      <c r="G530" s="153"/>
      <c r="H530" s="480"/>
      <c r="I530" s="153"/>
      <c r="J530" s="480"/>
      <c r="K530" s="153"/>
      <c r="L530" s="480"/>
      <c r="M530" s="162"/>
      <c r="N530" s="480"/>
      <c r="O530" s="153"/>
      <c r="P530" s="480"/>
      <c r="Q530" s="200"/>
      <c r="R530" s="480"/>
      <c r="S530" s="224"/>
      <c r="T530" s="66"/>
      <c r="U530" s="2"/>
      <c r="V530" s="43"/>
    </row>
    <row r="531" spans="2:22" s="1" customFormat="1" x14ac:dyDescent="0.3">
      <c r="B531" s="36" t="e">
        <f>RAB!#REF!</f>
        <v>#REF!</v>
      </c>
      <c r="C531" s="17" t="e">
        <f>RAB!#REF!</f>
        <v>#REF!</v>
      </c>
      <c r="E531" s="153"/>
      <c r="F531" s="480"/>
      <c r="G531" s="153"/>
      <c r="H531" s="480"/>
      <c r="I531" s="153"/>
      <c r="J531" s="480"/>
      <c r="K531" s="153"/>
      <c r="L531" s="480"/>
      <c r="M531" s="162"/>
      <c r="N531" s="480"/>
      <c r="O531" s="153"/>
      <c r="P531" s="480"/>
      <c r="Q531" s="200"/>
      <c r="R531" s="480"/>
      <c r="S531" s="224"/>
      <c r="T531" s="18">
        <v>0</v>
      </c>
      <c r="U531" s="2" t="s">
        <v>3</v>
      </c>
      <c r="V531" s="43"/>
    </row>
    <row r="532" spans="2:22" s="1" customFormat="1" ht="17.25" thickBot="1" x14ac:dyDescent="0.35">
      <c r="B532" s="36"/>
      <c r="C532" s="17"/>
      <c r="D532" s="1" t="e">
        <f>RAB!#REF!</f>
        <v>#REF!</v>
      </c>
      <c r="E532" s="153"/>
      <c r="F532" s="480"/>
      <c r="G532" s="153"/>
      <c r="H532" s="480"/>
      <c r="I532" s="153"/>
      <c r="J532" s="480"/>
      <c r="K532" s="153"/>
      <c r="L532" s="480"/>
      <c r="M532" s="162"/>
      <c r="N532" s="480"/>
      <c r="O532" s="153"/>
      <c r="P532" s="480"/>
      <c r="Q532" s="200"/>
      <c r="R532" s="480"/>
      <c r="S532" s="224"/>
      <c r="T532" s="18"/>
      <c r="U532" s="2"/>
      <c r="V532" s="43"/>
    </row>
    <row r="533" spans="2:22" s="1" customFormat="1" x14ac:dyDescent="0.3">
      <c r="B533" s="325"/>
      <c r="C533" s="17"/>
      <c r="D533" s="8" t="s">
        <v>95</v>
      </c>
      <c r="E533" s="154" t="s">
        <v>150</v>
      </c>
      <c r="F533" s="493"/>
      <c r="G533" s="154" t="s">
        <v>151</v>
      </c>
      <c r="H533" s="493"/>
      <c r="I533" s="154" t="s">
        <v>152</v>
      </c>
      <c r="J533" s="493"/>
      <c r="K533" s="154" t="s">
        <v>153</v>
      </c>
      <c r="L533" s="494"/>
      <c r="M533" s="163" t="s">
        <v>32</v>
      </c>
      <c r="N533" s="494"/>
      <c r="O533" s="201" t="s">
        <v>163</v>
      </c>
      <c r="P533" s="494"/>
      <c r="Q533" s="202" t="s">
        <v>151</v>
      </c>
      <c r="R533" s="494"/>
      <c r="S533" s="226" t="s">
        <v>143</v>
      </c>
      <c r="T533" s="66"/>
      <c r="U533" s="2"/>
      <c r="V533" s="43"/>
    </row>
    <row r="534" spans="2:22" s="1" customFormat="1" x14ac:dyDescent="0.3">
      <c r="B534" s="325"/>
      <c r="C534" s="17"/>
      <c r="D534" s="142" t="s">
        <v>771</v>
      </c>
      <c r="E534" s="197"/>
      <c r="F534" s="516"/>
      <c r="G534" s="197"/>
      <c r="H534" s="516"/>
      <c r="I534" s="331">
        <v>0.05</v>
      </c>
      <c r="J534" s="565" t="s">
        <v>185</v>
      </c>
      <c r="K534" s="331">
        <v>1</v>
      </c>
      <c r="L534" s="575"/>
      <c r="M534" s="331"/>
      <c r="N534" s="575"/>
      <c r="O534" s="331"/>
      <c r="P534" s="565"/>
      <c r="Q534" s="331">
        <f>Q68</f>
        <v>212.54399999999998</v>
      </c>
      <c r="R534" s="565" t="s">
        <v>114</v>
      </c>
      <c r="S534" s="577">
        <f>I534*K534*Q534</f>
        <v>10.6272</v>
      </c>
      <c r="T534" s="66"/>
      <c r="U534" s="2"/>
      <c r="V534" s="43"/>
    </row>
    <row r="535" spans="2:22" s="1" customFormat="1" x14ac:dyDescent="0.3">
      <c r="B535" s="325"/>
      <c r="C535" s="17"/>
      <c r="D535" s="698" t="s">
        <v>770</v>
      </c>
      <c r="E535" s="700"/>
      <c r="F535" s="699"/>
      <c r="G535" s="700"/>
      <c r="H535" s="521"/>
      <c r="I535" s="691">
        <v>0.05</v>
      </c>
      <c r="J535" s="518" t="s">
        <v>185</v>
      </c>
      <c r="K535" s="691">
        <v>1</v>
      </c>
      <c r="L535" s="517"/>
      <c r="M535" s="691"/>
      <c r="N535" s="517"/>
      <c r="O535" s="691"/>
      <c r="P535" s="518"/>
      <c r="Q535" s="691">
        <v>4.4000000000000004</v>
      </c>
      <c r="R535" s="518" t="s">
        <v>114</v>
      </c>
      <c r="S535" s="519">
        <f>I535*K535*Q535</f>
        <v>0.22000000000000003</v>
      </c>
      <c r="T535" s="66"/>
      <c r="U535" s="2"/>
      <c r="V535" s="43"/>
    </row>
    <row r="536" spans="2:22" s="1" customFormat="1" x14ac:dyDescent="0.3">
      <c r="B536" s="325"/>
      <c r="C536" s="17"/>
      <c r="D536" s="148"/>
      <c r="E536" s="192"/>
      <c r="F536" s="631"/>
      <c r="G536" s="192"/>
      <c r="H536" s="631"/>
      <c r="I536" s="192"/>
      <c r="J536" s="631"/>
      <c r="K536" s="192"/>
      <c r="L536" s="631"/>
      <c r="M536" s="192"/>
      <c r="N536" s="631"/>
      <c r="O536" s="192"/>
      <c r="P536" s="631"/>
      <c r="Q536" s="192"/>
      <c r="R536" s="631"/>
      <c r="S536" s="252"/>
      <c r="T536" s="66"/>
      <c r="U536" s="2"/>
      <c r="V536" s="43"/>
    </row>
    <row r="537" spans="2:22" s="1" customFormat="1" ht="17.25" thickBot="1" x14ac:dyDescent="0.35">
      <c r="B537" s="325"/>
      <c r="C537" s="17"/>
      <c r="D537" s="3096" t="s">
        <v>164</v>
      </c>
      <c r="E537" s="3097"/>
      <c r="F537" s="3097"/>
      <c r="G537" s="3097"/>
      <c r="H537" s="3097"/>
      <c r="I537" s="3097"/>
      <c r="J537" s="637"/>
      <c r="K537" s="196"/>
      <c r="L537" s="637"/>
      <c r="M537" s="196"/>
      <c r="N537" s="637"/>
      <c r="O537" s="196"/>
      <c r="P537" s="637"/>
      <c r="Q537" s="196"/>
      <c r="R537" s="637"/>
      <c r="S537" s="253">
        <f>SUM(S534:S536)</f>
        <v>10.847200000000001</v>
      </c>
      <c r="T537" s="66"/>
      <c r="U537" s="2"/>
      <c r="V537" s="43"/>
    </row>
    <row r="538" spans="2:22" x14ac:dyDescent="0.3">
      <c r="B538" s="473"/>
      <c r="C538" s="465"/>
      <c r="D538" s="453"/>
      <c r="E538" s="455"/>
      <c r="F538" s="485"/>
      <c r="G538" s="455"/>
      <c r="H538" s="485"/>
      <c r="I538" s="455"/>
      <c r="J538" s="485"/>
      <c r="K538" s="477"/>
      <c r="L538" s="492"/>
      <c r="M538" s="477"/>
      <c r="N538" s="492"/>
      <c r="O538" s="477"/>
      <c r="P538" s="492"/>
      <c r="Q538" s="477"/>
      <c r="R538" s="492"/>
      <c r="S538" s="479"/>
    </row>
    <row r="539" spans="2:22" s="1" customFormat="1" ht="17.25" thickBot="1" x14ac:dyDescent="0.35">
      <c r="B539" s="36"/>
      <c r="C539" s="1" t="e">
        <f>RAB!#REF!</f>
        <v>#REF!</v>
      </c>
      <c r="E539" s="153"/>
      <c r="F539" s="480"/>
      <c r="G539" s="153"/>
      <c r="H539" s="480"/>
      <c r="I539" s="153"/>
      <c r="J539" s="480"/>
      <c r="K539" s="153"/>
      <c r="L539" s="480"/>
      <c r="M539" s="162"/>
      <c r="N539" s="480"/>
      <c r="O539" s="153"/>
      <c r="P539" s="480"/>
      <c r="Q539" s="200"/>
      <c r="R539" s="480"/>
      <c r="S539" s="224"/>
      <c r="T539" s="18">
        <v>0</v>
      </c>
      <c r="U539" s="2" t="s">
        <v>130</v>
      </c>
      <c r="V539" s="43"/>
    </row>
    <row r="540" spans="2:22" s="1" customFormat="1" x14ac:dyDescent="0.3">
      <c r="B540" s="325"/>
      <c r="C540" s="17"/>
      <c r="D540" s="141" t="s">
        <v>95</v>
      </c>
      <c r="E540" s="158" t="s">
        <v>150</v>
      </c>
      <c r="F540" s="641"/>
      <c r="G540" s="158" t="s">
        <v>151</v>
      </c>
      <c r="H540" s="641"/>
      <c r="I540" s="158" t="s">
        <v>152</v>
      </c>
      <c r="J540" s="641"/>
      <c r="K540" s="158" t="s">
        <v>153</v>
      </c>
      <c r="L540" s="641"/>
      <c r="M540" s="167" t="s">
        <v>32</v>
      </c>
      <c r="N540" s="641"/>
      <c r="O540" s="158" t="s">
        <v>163</v>
      </c>
      <c r="P540" s="641"/>
      <c r="Q540" s="222" t="s">
        <v>151</v>
      </c>
      <c r="R540" s="641"/>
      <c r="S540" s="242" t="s">
        <v>143</v>
      </c>
      <c r="T540" s="66"/>
      <c r="U540" s="2"/>
      <c r="V540" s="43"/>
    </row>
    <row r="541" spans="2:22" s="1" customFormat="1" x14ac:dyDescent="0.3">
      <c r="B541" s="325"/>
      <c r="C541" s="17"/>
      <c r="D541" s="142" t="str">
        <f>D534</f>
        <v>Bawah Lantai</v>
      </c>
      <c r="E541" s="197"/>
      <c r="F541" s="640"/>
      <c r="G541" s="197"/>
      <c r="H541" s="640"/>
      <c r="I541" s="331">
        <v>7.0000000000000007E-2</v>
      </c>
      <c r="J541" s="575" t="s">
        <v>185</v>
      </c>
      <c r="K541" s="331">
        <v>1</v>
      </c>
      <c r="L541" s="575" t="s">
        <v>185</v>
      </c>
      <c r="M541" s="331"/>
      <c r="N541" s="575"/>
      <c r="O541" s="331"/>
      <c r="P541" s="575"/>
      <c r="Q541" s="331">
        <f>Q534</f>
        <v>212.54399999999998</v>
      </c>
      <c r="R541" s="575" t="s">
        <v>114</v>
      </c>
      <c r="S541" s="577">
        <f>I541*K541*Q541</f>
        <v>14.878080000000001</v>
      </c>
      <c r="T541" s="66"/>
      <c r="U541" s="2"/>
      <c r="V541" s="43"/>
    </row>
    <row r="542" spans="2:22" s="1" customFormat="1" x14ac:dyDescent="0.3">
      <c r="B542" s="325"/>
      <c r="C542" s="17"/>
      <c r="D542" s="698"/>
      <c r="E542" s="700"/>
      <c r="F542" s="701"/>
      <c r="G542" s="700"/>
      <c r="H542" s="603"/>
      <c r="I542" s="691">
        <v>7.0000000000000007E-2</v>
      </c>
      <c r="J542" s="517" t="s">
        <v>185</v>
      </c>
      <c r="K542" s="691">
        <v>1</v>
      </c>
      <c r="L542" s="517" t="s">
        <v>185</v>
      </c>
      <c r="M542" s="691"/>
      <c r="N542" s="517"/>
      <c r="O542" s="691"/>
      <c r="P542" s="517"/>
      <c r="Q542" s="691">
        <f>Q535</f>
        <v>4.4000000000000004</v>
      </c>
      <c r="R542" s="517" t="s">
        <v>114</v>
      </c>
      <c r="S542" s="519">
        <f>I542*K542*Q542</f>
        <v>0.30800000000000005</v>
      </c>
      <c r="T542" s="66"/>
      <c r="U542" s="2"/>
      <c r="V542" s="43"/>
    </row>
    <row r="543" spans="2:22" s="1" customFormat="1" x14ac:dyDescent="0.3">
      <c r="B543" s="325"/>
      <c r="C543" s="17"/>
      <c r="D543" s="143"/>
      <c r="E543" s="170"/>
      <c r="F543" s="630"/>
      <c r="G543" s="170"/>
      <c r="H543" s="630"/>
      <c r="I543" s="330"/>
      <c r="J543" s="512"/>
      <c r="K543" s="330"/>
      <c r="L543" s="512"/>
      <c r="M543" s="330"/>
      <c r="N543" s="512"/>
      <c r="O543" s="330"/>
      <c r="P543" s="512"/>
      <c r="Q543" s="330"/>
      <c r="R543" s="512"/>
      <c r="S543" s="559"/>
      <c r="T543" s="66"/>
      <c r="U543" s="2"/>
      <c r="V543" s="43"/>
    </row>
    <row r="544" spans="2:22" s="1" customFormat="1" ht="17.25" thickBot="1" x14ac:dyDescent="0.35">
      <c r="B544" s="325"/>
      <c r="C544" s="17"/>
      <c r="D544" s="3089" t="s">
        <v>164</v>
      </c>
      <c r="E544" s="3090"/>
      <c r="F544" s="3090"/>
      <c r="G544" s="3090"/>
      <c r="H544" s="3090"/>
      <c r="I544" s="3090"/>
      <c r="J544" s="622"/>
      <c r="K544" s="190"/>
      <c r="L544" s="622"/>
      <c r="M544" s="190"/>
      <c r="N544" s="622"/>
      <c r="O544" s="190"/>
      <c r="P544" s="622"/>
      <c r="Q544" s="644">
        <f>SUM(Q541:Q541)</f>
        <v>212.54399999999998</v>
      </c>
      <c r="R544" s="704"/>
      <c r="S544" s="705">
        <f>SUM(S541:S543)</f>
        <v>15.18608</v>
      </c>
      <c r="T544" s="66"/>
      <c r="U544" s="2"/>
      <c r="V544" s="43"/>
    </row>
    <row r="545" spans="2:22" x14ac:dyDescent="0.3">
      <c r="B545" s="473"/>
      <c r="C545" s="465"/>
      <c r="D545" s="453"/>
      <c r="E545" s="455"/>
      <c r="F545" s="485"/>
      <c r="G545" s="455"/>
      <c r="H545" s="485"/>
      <c r="I545" s="455"/>
      <c r="J545" s="485"/>
      <c r="K545" s="477"/>
      <c r="L545" s="492"/>
      <c r="M545" s="477"/>
      <c r="N545" s="492"/>
      <c r="O545" s="477"/>
      <c r="P545" s="492"/>
      <c r="Q545" s="477"/>
      <c r="R545" s="492"/>
      <c r="S545" s="479"/>
    </row>
    <row r="546" spans="2:22" s="1" customFormat="1" ht="17.25" thickBot="1" x14ac:dyDescent="0.35">
      <c r="B546" s="59"/>
      <c r="C546" s="60" t="e">
        <f>RAB!#REF!</f>
        <v>#REF!</v>
      </c>
      <c r="D546" s="16"/>
      <c r="E546" s="16"/>
      <c r="F546" s="61"/>
      <c r="G546" s="16"/>
      <c r="H546" s="61"/>
      <c r="I546" s="16"/>
      <c r="J546" s="61"/>
      <c r="K546" s="30"/>
      <c r="L546" s="45"/>
      <c r="M546" s="39"/>
      <c r="N546" s="46"/>
      <c r="O546" s="40"/>
      <c r="P546" s="46"/>
      <c r="Q546" s="74"/>
      <c r="R546" s="46"/>
      <c r="S546" s="42"/>
      <c r="T546" s="18">
        <v>0</v>
      </c>
      <c r="U546" s="2" t="s">
        <v>0</v>
      </c>
      <c r="V546" s="43"/>
    </row>
    <row r="547" spans="2:22" s="1" customFormat="1" x14ac:dyDescent="0.3">
      <c r="B547" s="59"/>
      <c r="C547" s="60"/>
      <c r="D547" s="8" t="s">
        <v>95</v>
      </c>
      <c r="E547" s="4" t="s">
        <v>150</v>
      </c>
      <c r="F547" s="48"/>
      <c r="G547" s="4" t="s">
        <v>151</v>
      </c>
      <c r="H547" s="48"/>
      <c r="I547" s="4" t="s">
        <v>152</v>
      </c>
      <c r="J547" s="48"/>
      <c r="K547" s="4" t="s">
        <v>153</v>
      </c>
      <c r="L547" s="44"/>
      <c r="M547" s="5" t="s">
        <v>32</v>
      </c>
      <c r="N547" s="44"/>
      <c r="O547" s="6" t="s">
        <v>163</v>
      </c>
      <c r="P547" s="44"/>
      <c r="Q547" s="57" t="s">
        <v>151</v>
      </c>
      <c r="R547" s="44"/>
      <c r="S547" s="7" t="s">
        <v>143</v>
      </c>
      <c r="T547" s="66"/>
      <c r="U547" s="2"/>
      <c r="V547" s="43"/>
    </row>
    <row r="548" spans="2:22" s="1" customFormat="1" x14ac:dyDescent="0.3">
      <c r="D548" s="115" t="s">
        <v>717</v>
      </c>
      <c r="E548" s="22"/>
      <c r="F548" s="23"/>
      <c r="G548" s="22"/>
      <c r="H548" s="24"/>
      <c r="I548" s="22"/>
      <c r="J548" s="24"/>
      <c r="K548" s="20">
        <v>1</v>
      </c>
      <c r="L548" s="116"/>
      <c r="M548" s="418"/>
      <c r="N548" s="116"/>
      <c r="O548" s="418">
        <v>3.07</v>
      </c>
      <c r="P548" s="116"/>
      <c r="Q548" s="418">
        <f>SUM(Q544)</f>
        <v>212.54399999999998</v>
      </c>
      <c r="R548" s="19"/>
      <c r="S548" s="21">
        <f>K548*O548*Q548</f>
        <v>652.5100799999999</v>
      </c>
      <c r="T548" s="99"/>
      <c r="U548" s="2"/>
      <c r="V548" s="43"/>
    </row>
    <row r="549" spans="2:22" s="1" customFormat="1" x14ac:dyDescent="0.3">
      <c r="B549" s="59"/>
      <c r="C549" s="60"/>
      <c r="D549" s="41"/>
      <c r="E549" s="25"/>
      <c r="F549" s="31"/>
      <c r="G549" s="25"/>
      <c r="H549" s="31"/>
      <c r="I549" s="25"/>
      <c r="J549" s="31"/>
      <c r="K549" s="25"/>
      <c r="L549" s="47"/>
      <c r="M549" s="26"/>
      <c r="N549" s="47"/>
      <c r="O549" s="25"/>
      <c r="P549" s="47"/>
      <c r="Q549" s="58"/>
      <c r="R549" s="31"/>
      <c r="S549" s="27"/>
      <c r="T549" s="66"/>
      <c r="U549" s="2"/>
      <c r="V549" s="43"/>
    </row>
    <row r="550" spans="2:22" s="1" customFormat="1" ht="17.25" thickBot="1" x14ac:dyDescent="0.35">
      <c r="B550" s="59"/>
      <c r="C550" s="60"/>
      <c r="D550" s="3093" t="s">
        <v>164</v>
      </c>
      <c r="E550" s="3094"/>
      <c r="F550" s="3094"/>
      <c r="G550" s="3094"/>
      <c r="H550" s="3094"/>
      <c r="I550" s="3095"/>
      <c r="J550" s="65"/>
      <c r="K550" s="68"/>
      <c r="L550" s="69"/>
      <c r="M550" s="70"/>
      <c r="N550" s="71"/>
      <c r="O550" s="72"/>
      <c r="P550" s="71"/>
      <c r="Q550" s="73"/>
      <c r="R550" s="71"/>
      <c r="S550" s="28">
        <f>SUM(S548:S549)</f>
        <v>652.5100799999999</v>
      </c>
      <c r="T550" s="66"/>
      <c r="U550" s="2"/>
      <c r="V550" s="43"/>
    </row>
    <row r="551" spans="2:22" x14ac:dyDescent="0.3">
      <c r="B551" s="341"/>
      <c r="C551" s="342"/>
      <c r="D551" s="343"/>
      <c r="E551" s="343"/>
      <c r="F551" s="344"/>
      <c r="G551" s="343"/>
      <c r="H551" s="344"/>
      <c r="I551" s="343"/>
      <c r="J551" s="344"/>
      <c r="K551" s="345"/>
      <c r="L551" s="346"/>
      <c r="M551" s="347"/>
      <c r="N551" s="348"/>
      <c r="O551" s="349"/>
      <c r="P551" s="348"/>
      <c r="Q551" s="353"/>
      <c r="R551" s="348"/>
      <c r="S551" s="350"/>
    </row>
    <row r="552" spans="2:22" s="1" customFormat="1" ht="17.25" thickBot="1" x14ac:dyDescent="0.35">
      <c r="B552" s="325">
        <f>RAB!B111</f>
        <v>1</v>
      </c>
      <c r="C552" s="17" t="str">
        <f>RAB!C111</f>
        <v xml:space="preserve">Lantai Keramik Polish Uk. (60 x 60) Cm </v>
      </c>
      <c r="D552" s="38"/>
      <c r="E552" s="208"/>
      <c r="F552" s="551"/>
      <c r="G552" s="208"/>
      <c r="H552" s="551"/>
      <c r="I552" s="208"/>
      <c r="J552" s="551"/>
      <c r="K552" s="137"/>
      <c r="L552" s="642"/>
      <c r="M552" s="137"/>
      <c r="N552" s="642"/>
      <c r="O552" s="137"/>
      <c r="P552" s="642"/>
      <c r="Q552" s="137"/>
      <c r="R552" s="642"/>
      <c r="S552" s="241"/>
      <c r="T552" s="18">
        <f>ROUNDDOWN(Q564,2)</f>
        <v>678.92</v>
      </c>
      <c r="U552" s="2" t="s">
        <v>2</v>
      </c>
      <c r="V552" s="43"/>
    </row>
    <row r="553" spans="2:22" s="1" customFormat="1" x14ac:dyDescent="0.3">
      <c r="B553" s="325"/>
      <c r="C553" s="17"/>
      <c r="D553" s="141" t="s">
        <v>95</v>
      </c>
      <c r="E553" s="158" t="s">
        <v>150</v>
      </c>
      <c r="F553" s="641"/>
      <c r="G553" s="158" t="s">
        <v>151</v>
      </c>
      <c r="H553" s="641"/>
      <c r="I553" s="158" t="s">
        <v>152</v>
      </c>
      <c r="J553" s="641"/>
      <c r="K553" s="158" t="s">
        <v>153</v>
      </c>
      <c r="L553" s="641"/>
      <c r="M553" s="167" t="s">
        <v>32</v>
      </c>
      <c r="N553" s="641"/>
      <c r="O553" s="158" t="s">
        <v>163</v>
      </c>
      <c r="P553" s="641"/>
      <c r="Q553" s="222" t="s">
        <v>151</v>
      </c>
      <c r="R553" s="641"/>
      <c r="S553" s="242" t="s">
        <v>143</v>
      </c>
      <c r="T553" s="66"/>
      <c r="U553" s="2"/>
      <c r="V553" s="43"/>
    </row>
    <row r="554" spans="2:22" s="1" customFormat="1" x14ac:dyDescent="0.3">
      <c r="B554" s="325"/>
      <c r="C554" s="60"/>
      <c r="D554" s="643" t="s">
        <v>1336</v>
      </c>
      <c r="E554" s="331"/>
      <c r="F554" s="565"/>
      <c r="G554" s="331">
        <v>92.96</v>
      </c>
      <c r="H554" s="565"/>
      <c r="I554" s="331"/>
      <c r="J554" s="565"/>
      <c r="K554" s="331">
        <v>4</v>
      </c>
      <c r="L554" s="575"/>
      <c r="M554" s="331"/>
      <c r="N554" s="575"/>
      <c r="O554" s="331"/>
      <c r="P554" s="565"/>
      <c r="Q554" s="331">
        <f>G554*K554</f>
        <v>371.84</v>
      </c>
      <c r="R554" s="565"/>
      <c r="S554" s="577"/>
      <c r="T554" s="66"/>
      <c r="U554" s="2"/>
      <c r="V554" s="43"/>
    </row>
    <row r="555" spans="2:22" s="1" customFormat="1" x14ac:dyDescent="0.3">
      <c r="B555" s="325"/>
      <c r="C555" s="60"/>
      <c r="D555" s="324" t="s">
        <v>1337</v>
      </c>
      <c r="E555" s="589"/>
      <c r="F555" s="588"/>
      <c r="G555" s="1161">
        <v>4</v>
      </c>
      <c r="H555" s="518"/>
      <c r="I555" s="1161"/>
      <c r="J555" s="518"/>
      <c r="K555" s="1161">
        <v>36</v>
      </c>
      <c r="L555" s="517"/>
      <c r="M555" s="1161"/>
      <c r="N555" s="517"/>
      <c r="O555" s="1161"/>
      <c r="P555" s="518"/>
      <c r="Q555" s="1161">
        <f>G555*K555</f>
        <v>144</v>
      </c>
      <c r="R555" s="588"/>
      <c r="S555" s="590"/>
      <c r="T555" s="66"/>
      <c r="U555" s="2"/>
      <c r="V555" s="43"/>
    </row>
    <row r="556" spans="2:22" s="1" customFormat="1" x14ac:dyDescent="0.3">
      <c r="B556" s="325"/>
      <c r="C556" s="60"/>
      <c r="D556" s="324"/>
      <c r="E556" s="589"/>
      <c r="F556" s="588"/>
      <c r="G556" s="1161">
        <v>4</v>
      </c>
      <c r="H556" s="518"/>
      <c r="I556" s="1161"/>
      <c r="J556" s="518"/>
      <c r="K556" s="1161">
        <v>20</v>
      </c>
      <c r="L556" s="517"/>
      <c r="M556" s="1161"/>
      <c r="N556" s="517"/>
      <c r="O556" s="1161"/>
      <c r="P556" s="518"/>
      <c r="Q556" s="1161">
        <f>G556*K556</f>
        <v>80</v>
      </c>
      <c r="R556" s="588"/>
      <c r="S556" s="590"/>
      <c r="T556" s="66"/>
      <c r="U556" s="2"/>
      <c r="V556" s="43"/>
    </row>
    <row r="557" spans="2:22" s="1" customFormat="1" x14ac:dyDescent="0.3">
      <c r="B557" s="325"/>
      <c r="C557" s="60"/>
      <c r="D557" s="258" t="s">
        <v>1331</v>
      </c>
      <c r="E557" s="329"/>
      <c r="F557" s="518"/>
      <c r="G557" s="329"/>
      <c r="H557" s="518"/>
      <c r="I557" s="329"/>
      <c r="J557" s="518"/>
      <c r="K557" s="329"/>
      <c r="L557" s="517"/>
      <c r="M557" s="329"/>
      <c r="N557" s="517"/>
      <c r="O557" s="329"/>
      <c r="P557" s="518"/>
      <c r="Q557" s="329"/>
      <c r="R557" s="518"/>
      <c r="S557" s="519"/>
      <c r="T557" s="66"/>
      <c r="U557" s="2"/>
      <c r="V557" s="43"/>
    </row>
    <row r="558" spans="2:22" s="1" customFormat="1" x14ac:dyDescent="0.3">
      <c r="B558" s="325"/>
      <c r="C558" s="60"/>
      <c r="D558" s="146" t="s">
        <v>155</v>
      </c>
      <c r="E558" s="329">
        <v>1.82</v>
      </c>
      <c r="F558" s="518" t="s">
        <v>185</v>
      </c>
      <c r="G558" s="329">
        <v>0.48</v>
      </c>
      <c r="H558" s="518" t="s">
        <v>185</v>
      </c>
      <c r="I558" s="329"/>
      <c r="J558" s="518"/>
      <c r="K558" s="329">
        <v>20</v>
      </c>
      <c r="L558" s="517"/>
      <c r="M558" s="329">
        <v>4</v>
      </c>
      <c r="N558" s="517"/>
      <c r="O558" s="329"/>
      <c r="P558" s="518" t="s">
        <v>114</v>
      </c>
      <c r="Q558" s="329">
        <f>K558*G558*E558*M558</f>
        <v>69.888000000000005</v>
      </c>
      <c r="R558" s="518"/>
      <c r="S558" s="519"/>
      <c r="T558" s="66"/>
      <c r="U558" s="2"/>
      <c r="V558" s="43"/>
    </row>
    <row r="559" spans="2:22" s="1" customFormat="1" x14ac:dyDescent="0.3">
      <c r="B559" s="325"/>
      <c r="C559" s="60"/>
      <c r="D559" s="146" t="s">
        <v>158</v>
      </c>
      <c r="E559" s="329">
        <v>4</v>
      </c>
      <c r="F559" s="518" t="s">
        <v>185</v>
      </c>
      <c r="G559" s="329">
        <v>2</v>
      </c>
      <c r="H559" s="518" t="s">
        <v>185</v>
      </c>
      <c r="I559" s="329"/>
      <c r="J559" s="518"/>
      <c r="K559" s="329">
        <v>1</v>
      </c>
      <c r="L559" s="517"/>
      <c r="M559" s="329"/>
      <c r="N559" s="517"/>
      <c r="O559" s="329"/>
      <c r="P559" s="518" t="s">
        <v>114</v>
      </c>
      <c r="Q559" s="329">
        <f>K559*G559*E559</f>
        <v>8</v>
      </c>
      <c r="R559" s="518"/>
      <c r="S559" s="519"/>
      <c r="T559" s="66"/>
      <c r="U559" s="2"/>
      <c r="V559" s="43"/>
    </row>
    <row r="560" spans="2:22" s="1" customFormat="1" x14ac:dyDescent="0.3">
      <c r="B560" s="325"/>
      <c r="C560" s="60"/>
      <c r="D560" s="326" t="s">
        <v>271</v>
      </c>
      <c r="E560" s="1161">
        <v>4</v>
      </c>
      <c r="F560" s="518" t="s">
        <v>185</v>
      </c>
      <c r="G560" s="1161">
        <v>1.62</v>
      </c>
      <c r="H560" s="518" t="s">
        <v>185</v>
      </c>
      <c r="I560" s="1161"/>
      <c r="J560" s="518"/>
      <c r="K560" s="1161">
        <v>1</v>
      </c>
      <c r="L560" s="517"/>
      <c r="M560" s="1161"/>
      <c r="N560" s="517"/>
      <c r="O560" s="1161"/>
      <c r="P560" s="518" t="s">
        <v>114</v>
      </c>
      <c r="Q560" s="1161">
        <f>K560*G560*E560</f>
        <v>6.48</v>
      </c>
      <c r="R560" s="558"/>
      <c r="S560" s="620"/>
      <c r="T560" s="66"/>
      <c r="U560" s="2"/>
      <c r="V560" s="43"/>
    </row>
    <row r="561" spans="2:22" s="1" customFormat="1" x14ac:dyDescent="0.3">
      <c r="B561" s="325"/>
      <c r="C561" s="60"/>
      <c r="D561" s="645" t="s">
        <v>244</v>
      </c>
      <c r="E561" s="619"/>
      <c r="F561" s="558"/>
      <c r="G561" s="619"/>
      <c r="H561" s="558"/>
      <c r="I561" s="619"/>
      <c r="J561" s="558"/>
      <c r="K561" s="619"/>
      <c r="L561" s="526"/>
      <c r="M561" s="619"/>
      <c r="N561" s="526"/>
      <c r="O561" s="619"/>
      <c r="P561" s="558"/>
      <c r="Q561" s="619"/>
      <c r="R561" s="558"/>
      <c r="S561" s="620"/>
      <c r="T561" s="66"/>
      <c r="U561" s="2"/>
      <c r="V561" s="43"/>
    </row>
    <row r="562" spans="2:22" s="1" customFormat="1" x14ac:dyDescent="0.3">
      <c r="B562" s="325"/>
      <c r="C562" s="60"/>
      <c r="D562" s="326" t="s">
        <v>730</v>
      </c>
      <c r="E562" s="328">
        <v>0.4</v>
      </c>
      <c r="F562" s="518" t="s">
        <v>185</v>
      </c>
      <c r="G562" s="328">
        <v>0.4</v>
      </c>
      <c r="H562" s="518" t="s">
        <v>185</v>
      </c>
      <c r="I562" s="329"/>
      <c r="J562" s="518"/>
      <c r="K562" s="329">
        <v>8</v>
      </c>
      <c r="L562" s="518"/>
      <c r="M562" s="329"/>
      <c r="N562" s="518"/>
      <c r="O562" s="329"/>
      <c r="P562" s="518" t="s">
        <v>114</v>
      </c>
      <c r="Q562" s="329">
        <f>K562*G562*E562</f>
        <v>1.2800000000000002</v>
      </c>
      <c r="R562" s="558"/>
      <c r="S562" s="620"/>
      <c r="T562" s="66"/>
      <c r="U562" s="2"/>
      <c r="V562" s="43"/>
    </row>
    <row r="563" spans="2:22" s="1" customFormat="1" x14ac:dyDescent="0.3">
      <c r="B563" s="325"/>
      <c r="C563" s="17"/>
      <c r="D563" s="143"/>
      <c r="E563" s="330"/>
      <c r="F563" s="512"/>
      <c r="G563" s="330"/>
      <c r="H563" s="512"/>
      <c r="I563" s="330"/>
      <c r="J563" s="512"/>
      <c r="K563" s="330"/>
      <c r="L563" s="512"/>
      <c r="M563" s="330"/>
      <c r="N563" s="512"/>
      <c r="O563" s="330"/>
      <c r="P563" s="512"/>
      <c r="Q563" s="330"/>
      <c r="R563" s="512"/>
      <c r="S563" s="559"/>
      <c r="T563" s="66"/>
      <c r="U563" s="2"/>
      <c r="V563" s="43"/>
    </row>
    <row r="564" spans="2:22" s="1" customFormat="1" ht="17.25" thickBot="1" x14ac:dyDescent="0.35">
      <c r="B564" s="325"/>
      <c r="C564" s="17"/>
      <c r="D564" s="3089" t="s">
        <v>164</v>
      </c>
      <c r="E564" s="3090"/>
      <c r="F564" s="3090"/>
      <c r="G564" s="3090"/>
      <c r="H564" s="3090"/>
      <c r="I564" s="3090"/>
      <c r="J564" s="622"/>
      <c r="K564" s="190"/>
      <c r="L564" s="622"/>
      <c r="M564" s="190"/>
      <c r="N564" s="622"/>
      <c r="O564" s="190"/>
      <c r="P564" s="622"/>
      <c r="Q564" s="644">
        <f>SUM(Q554:Q560)-SUM(Q562:Q562)</f>
        <v>678.928</v>
      </c>
      <c r="R564" s="622"/>
      <c r="S564" s="247"/>
      <c r="T564" s="66"/>
      <c r="U564" s="2"/>
      <c r="V564" s="43"/>
    </row>
    <row r="565" spans="2:22" x14ac:dyDescent="0.3">
      <c r="B565" s="473"/>
      <c r="C565" s="465"/>
      <c r="D565" s="453"/>
      <c r="E565" s="455"/>
      <c r="F565" s="485"/>
      <c r="G565" s="455"/>
      <c r="H565" s="485"/>
      <c r="I565" s="455"/>
      <c r="J565" s="485"/>
      <c r="K565" s="477"/>
      <c r="L565" s="492"/>
      <c r="M565" s="477"/>
      <c r="N565" s="492"/>
      <c r="O565" s="477"/>
      <c r="P565" s="492"/>
      <c r="Q565" s="477"/>
      <c r="R565" s="492"/>
      <c r="S565" s="479"/>
    </row>
    <row r="566" spans="2:22" s="1" customFormat="1" ht="17.25" thickBot="1" x14ac:dyDescent="0.35">
      <c r="B566" s="325">
        <f>RAB!B112</f>
        <v>2</v>
      </c>
      <c r="C566" s="17" t="str">
        <f>RAB!C112</f>
        <v xml:space="preserve">Lantai Keramik Unpolish Uk. (60 x 60) Cm </v>
      </c>
      <c r="D566" s="38"/>
      <c r="E566" s="208"/>
      <c r="F566" s="551"/>
      <c r="G566" s="208"/>
      <c r="H566" s="551"/>
      <c r="I566" s="208"/>
      <c r="J566" s="551"/>
      <c r="K566" s="137"/>
      <c r="L566" s="642"/>
      <c r="M566" s="137"/>
      <c r="N566" s="642"/>
      <c r="O566" s="137"/>
      <c r="P566" s="642"/>
      <c r="Q566" s="137"/>
      <c r="R566" s="642"/>
      <c r="S566" s="241"/>
      <c r="T566" s="18">
        <f>ROUNDDOWN(Q571,2)</f>
        <v>66</v>
      </c>
      <c r="U566" s="2" t="s">
        <v>2</v>
      </c>
      <c r="V566" s="43"/>
    </row>
    <row r="567" spans="2:22" s="1" customFormat="1" x14ac:dyDescent="0.3">
      <c r="B567" s="325"/>
      <c r="C567" s="17"/>
      <c r="D567" s="8" t="s">
        <v>95</v>
      </c>
      <c r="E567" s="154" t="s">
        <v>150</v>
      </c>
      <c r="F567" s="493"/>
      <c r="G567" s="154" t="s">
        <v>151</v>
      </c>
      <c r="H567" s="493"/>
      <c r="I567" s="154" t="s">
        <v>152</v>
      </c>
      <c r="J567" s="493"/>
      <c r="K567" s="154" t="s">
        <v>153</v>
      </c>
      <c r="L567" s="494"/>
      <c r="M567" s="163" t="s">
        <v>32</v>
      </c>
      <c r="N567" s="494"/>
      <c r="O567" s="201" t="s">
        <v>163</v>
      </c>
      <c r="P567" s="494"/>
      <c r="Q567" s="202" t="s">
        <v>151</v>
      </c>
      <c r="R567" s="494"/>
      <c r="S567" s="226" t="s">
        <v>143</v>
      </c>
      <c r="T567" s="66"/>
      <c r="U567" s="2"/>
      <c r="V567" s="43"/>
    </row>
    <row r="568" spans="2:22" s="1" customFormat="1" x14ac:dyDescent="0.3">
      <c r="B568" s="325"/>
      <c r="C568" s="17"/>
      <c r="D568" s="643" t="s">
        <v>741</v>
      </c>
      <c r="E568" s="331">
        <v>12</v>
      </c>
      <c r="F568" s="565" t="s">
        <v>185</v>
      </c>
      <c r="G568" s="331">
        <v>3.5</v>
      </c>
      <c r="H568" s="565"/>
      <c r="I568" s="331"/>
      <c r="J568" s="565"/>
      <c r="K568" s="331"/>
      <c r="L568" s="575"/>
      <c r="M568" s="331"/>
      <c r="N568" s="575"/>
      <c r="O568" s="331"/>
      <c r="P568" s="565" t="s">
        <v>114</v>
      </c>
      <c r="Q568" s="331">
        <f>G568*E568</f>
        <v>42</v>
      </c>
      <c r="R568" s="565"/>
      <c r="S568" s="577"/>
      <c r="T568" s="66"/>
      <c r="U568" s="2"/>
      <c r="V568" s="43"/>
    </row>
    <row r="569" spans="2:22" s="1" customFormat="1" x14ac:dyDescent="0.3">
      <c r="B569" s="325"/>
      <c r="C569" s="17"/>
      <c r="D569" s="146" t="s">
        <v>1338</v>
      </c>
      <c r="E569" s="329">
        <f>E568</f>
        <v>12</v>
      </c>
      <c r="F569" s="517" t="s">
        <v>185</v>
      </c>
      <c r="G569" s="329">
        <v>2</v>
      </c>
      <c r="H569" s="517"/>
      <c r="I569" s="329"/>
      <c r="J569" s="517"/>
      <c r="K569" s="329"/>
      <c r="L569" s="517"/>
      <c r="M569" s="329"/>
      <c r="N569" s="517"/>
      <c r="O569" s="329"/>
      <c r="P569" s="517" t="s">
        <v>114</v>
      </c>
      <c r="Q569" s="329">
        <f>G569*E569</f>
        <v>24</v>
      </c>
      <c r="R569" s="517"/>
      <c r="S569" s="519"/>
      <c r="T569" s="66"/>
      <c r="U569" s="2"/>
      <c r="V569" s="43"/>
    </row>
    <row r="570" spans="2:22" s="1" customFormat="1" x14ac:dyDescent="0.3">
      <c r="B570" s="325"/>
      <c r="C570" s="17"/>
      <c r="D570" s="143"/>
      <c r="E570" s="330"/>
      <c r="F570" s="512"/>
      <c r="G570" s="330"/>
      <c r="H570" s="512"/>
      <c r="I570" s="330"/>
      <c r="J570" s="512"/>
      <c r="K570" s="330"/>
      <c r="L570" s="512"/>
      <c r="M570" s="330"/>
      <c r="N570" s="512"/>
      <c r="O570" s="330"/>
      <c r="P570" s="512"/>
      <c r="Q570" s="330"/>
      <c r="R570" s="512"/>
      <c r="S570" s="559"/>
      <c r="T570" s="66"/>
      <c r="U570" s="2"/>
      <c r="V570" s="43"/>
    </row>
    <row r="571" spans="2:22" s="1" customFormat="1" ht="17.25" thickBot="1" x14ac:dyDescent="0.35">
      <c r="B571" s="325"/>
      <c r="C571" s="17"/>
      <c r="D571" s="3089" t="s">
        <v>164</v>
      </c>
      <c r="E571" s="3090"/>
      <c r="F571" s="3090"/>
      <c r="G571" s="3090"/>
      <c r="H571" s="3090"/>
      <c r="I571" s="3090"/>
      <c r="J571" s="622"/>
      <c r="K571" s="190"/>
      <c r="L571" s="622"/>
      <c r="M571" s="190"/>
      <c r="N571" s="622"/>
      <c r="O571" s="190"/>
      <c r="P571" s="622"/>
      <c r="Q571" s="644">
        <f>SUM(Q568:Q570)</f>
        <v>66</v>
      </c>
      <c r="R571" s="622"/>
      <c r="S571" s="247"/>
      <c r="T571" s="66"/>
      <c r="U571" s="2"/>
      <c r="V571" s="43"/>
    </row>
    <row r="572" spans="2:22" x14ac:dyDescent="0.3">
      <c r="B572" s="473"/>
      <c r="C572" s="465"/>
      <c r="D572" s="453"/>
      <c r="E572" s="455"/>
      <c r="F572" s="485"/>
      <c r="G572" s="455"/>
      <c r="H572" s="485"/>
      <c r="I572" s="455"/>
      <c r="J572" s="485"/>
      <c r="K572" s="477"/>
      <c r="L572" s="492"/>
      <c r="M572" s="477"/>
      <c r="N572" s="492"/>
      <c r="O572" s="477"/>
      <c r="P572" s="492"/>
      <c r="Q572" s="477"/>
      <c r="R572" s="492"/>
      <c r="S572" s="479"/>
    </row>
    <row r="573" spans="2:22" s="1" customFormat="1" ht="17.25" thickBot="1" x14ac:dyDescent="0.35">
      <c r="B573" s="325">
        <f>RAB!B113</f>
        <v>3</v>
      </c>
      <c r="C573" s="17" t="str">
        <f>RAB!C113</f>
        <v xml:space="preserve">Dinding Kramik Uk. (40 x 40) Cm polished </v>
      </c>
      <c r="D573" s="38"/>
      <c r="E573" s="208"/>
      <c r="F573" s="551"/>
      <c r="G573" s="208"/>
      <c r="H573" s="551"/>
      <c r="I573" s="208"/>
      <c r="J573" s="551"/>
      <c r="K573" s="137"/>
      <c r="L573" s="642"/>
      <c r="M573" s="137"/>
      <c r="N573" s="642"/>
      <c r="O573" s="137"/>
      <c r="P573" s="642"/>
      <c r="Q573" s="137"/>
      <c r="R573" s="642"/>
      <c r="S573" s="241"/>
      <c r="T573" s="18">
        <f>ROUNDDOWN(Q577,2)</f>
        <v>59.2</v>
      </c>
      <c r="U573" s="2" t="s">
        <v>2</v>
      </c>
      <c r="V573" s="43"/>
    </row>
    <row r="574" spans="2:22" s="1" customFormat="1" x14ac:dyDescent="0.3">
      <c r="B574" s="325"/>
      <c r="C574" s="17"/>
      <c r="D574" s="8" t="s">
        <v>95</v>
      </c>
      <c r="E574" s="154" t="s">
        <v>150</v>
      </c>
      <c r="F574" s="493"/>
      <c r="G574" s="154" t="s">
        <v>151</v>
      </c>
      <c r="H574" s="493"/>
      <c r="I574" s="154" t="s">
        <v>152</v>
      </c>
      <c r="J574" s="493"/>
      <c r="K574" s="154" t="s">
        <v>153</v>
      </c>
      <c r="L574" s="494"/>
      <c r="M574" s="163" t="s">
        <v>32</v>
      </c>
      <c r="N574" s="494"/>
      <c r="O574" s="201" t="s">
        <v>163</v>
      </c>
      <c r="P574" s="494"/>
      <c r="Q574" s="202" t="s">
        <v>151</v>
      </c>
      <c r="R574" s="494"/>
      <c r="S574" s="226" t="s">
        <v>143</v>
      </c>
      <c r="T574" s="66"/>
      <c r="U574" s="2"/>
      <c r="V574" s="43"/>
    </row>
    <row r="575" spans="2:22" s="1" customFormat="1" x14ac:dyDescent="0.3">
      <c r="B575" s="325"/>
      <c r="C575" s="17"/>
      <c r="D575" s="643" t="s">
        <v>1340</v>
      </c>
      <c r="E575" s="331">
        <v>7.4</v>
      </c>
      <c r="F575" s="565" t="s">
        <v>185</v>
      </c>
      <c r="G575" s="331"/>
      <c r="H575" s="565"/>
      <c r="I575" s="331">
        <v>2</v>
      </c>
      <c r="J575" s="565"/>
      <c r="K575" s="331">
        <v>4</v>
      </c>
      <c r="L575" s="575"/>
      <c r="M575" s="331"/>
      <c r="N575" s="575"/>
      <c r="O575" s="331"/>
      <c r="P575" s="565" t="s">
        <v>114</v>
      </c>
      <c r="Q575" s="331">
        <f>I575*E575*K575</f>
        <v>59.2</v>
      </c>
      <c r="R575" s="565"/>
      <c r="S575" s="577"/>
      <c r="T575" s="66"/>
      <c r="U575" s="2"/>
      <c r="V575" s="43"/>
    </row>
    <row r="576" spans="2:22" s="1" customFormat="1" x14ac:dyDescent="0.3">
      <c r="B576" s="325"/>
      <c r="C576" s="17"/>
      <c r="D576" s="143"/>
      <c r="E576" s="330"/>
      <c r="F576" s="512"/>
      <c r="G576" s="330"/>
      <c r="H576" s="512"/>
      <c r="I576" s="330"/>
      <c r="J576" s="512"/>
      <c r="K576" s="330"/>
      <c r="L576" s="512"/>
      <c r="M576" s="330"/>
      <c r="N576" s="512"/>
      <c r="O576" s="330"/>
      <c r="P576" s="512"/>
      <c r="Q576" s="330"/>
      <c r="R576" s="512"/>
      <c r="S576" s="559"/>
      <c r="T576" s="66"/>
      <c r="U576" s="2"/>
      <c r="V576" s="43"/>
    </row>
    <row r="577" spans="2:22" s="1" customFormat="1" ht="17.25" thickBot="1" x14ac:dyDescent="0.35">
      <c r="B577" s="325"/>
      <c r="C577" s="17"/>
      <c r="D577" s="3089" t="s">
        <v>164</v>
      </c>
      <c r="E577" s="3090"/>
      <c r="F577" s="3090"/>
      <c r="G577" s="3090"/>
      <c r="H577" s="3090"/>
      <c r="I577" s="3090"/>
      <c r="J577" s="622"/>
      <c r="K577" s="190"/>
      <c r="L577" s="622"/>
      <c r="M577" s="190"/>
      <c r="N577" s="622"/>
      <c r="O577" s="190"/>
      <c r="P577" s="622"/>
      <c r="Q577" s="644">
        <f>SUM(Q575:Q576)</f>
        <v>59.2</v>
      </c>
      <c r="R577" s="622"/>
      <c r="S577" s="247"/>
      <c r="T577" s="66"/>
      <c r="U577" s="2"/>
      <c r="V577" s="43"/>
    </row>
    <row r="578" spans="2:22" s="1" customFormat="1" x14ac:dyDescent="0.3">
      <c r="B578" s="325"/>
      <c r="C578" s="17"/>
      <c r="D578" s="338"/>
      <c r="E578" s="338"/>
      <c r="F578" s="338"/>
      <c r="G578" s="338"/>
      <c r="H578" s="338"/>
      <c r="I578" s="338"/>
      <c r="J578" s="638"/>
      <c r="K578" s="339"/>
      <c r="L578" s="638"/>
      <c r="M578" s="339"/>
      <c r="N578" s="638"/>
      <c r="O578" s="339"/>
      <c r="P578" s="638"/>
      <c r="Q578" s="339"/>
      <c r="R578" s="638"/>
      <c r="S578" s="340"/>
      <c r="T578" s="66"/>
      <c r="U578" s="2"/>
      <c r="V578" s="43"/>
    </row>
    <row r="579" spans="2:22" s="1" customFormat="1" ht="17.25" thickBot="1" x14ac:dyDescent="0.35">
      <c r="B579" s="325">
        <f>RAB!B114</f>
        <v>4</v>
      </c>
      <c r="C579" s="325" t="str">
        <f>RAB!C114</f>
        <v xml:space="preserve">Lantai Kramik Uk. (40 x 40) Cm unpolished </v>
      </c>
      <c r="D579" s="38"/>
      <c r="E579" s="208"/>
      <c r="F579" s="551"/>
      <c r="G579" s="208"/>
      <c r="H579" s="551"/>
      <c r="I579" s="208"/>
      <c r="J579" s="551"/>
      <c r="K579" s="137"/>
      <c r="L579" s="642"/>
      <c r="M579" s="137"/>
      <c r="N579" s="642"/>
      <c r="O579" s="137"/>
      <c r="P579" s="642"/>
      <c r="Q579" s="137"/>
      <c r="R579" s="642"/>
      <c r="S579" s="241"/>
      <c r="T579" s="18">
        <f>ROUNDDOWN(Q583,2)</f>
        <v>13.6</v>
      </c>
      <c r="U579" s="2" t="s">
        <v>2</v>
      </c>
      <c r="V579" s="43"/>
    </row>
    <row r="580" spans="2:22" s="1" customFormat="1" x14ac:dyDescent="0.3">
      <c r="B580" s="325"/>
      <c r="C580" s="17"/>
      <c r="D580" s="8" t="s">
        <v>95</v>
      </c>
      <c r="E580" s="154" t="s">
        <v>150</v>
      </c>
      <c r="F580" s="493"/>
      <c r="G580" s="154" t="s">
        <v>151</v>
      </c>
      <c r="H580" s="493"/>
      <c r="I580" s="154" t="s">
        <v>152</v>
      </c>
      <c r="J580" s="493"/>
      <c r="K580" s="154" t="s">
        <v>153</v>
      </c>
      <c r="L580" s="494"/>
      <c r="M580" s="163" t="s">
        <v>32</v>
      </c>
      <c r="N580" s="494"/>
      <c r="O580" s="201" t="s">
        <v>163</v>
      </c>
      <c r="P580" s="494"/>
      <c r="Q580" s="202" t="s">
        <v>151</v>
      </c>
      <c r="R580" s="494"/>
      <c r="S580" s="226" t="s">
        <v>143</v>
      </c>
      <c r="T580" s="66"/>
      <c r="U580" s="2"/>
      <c r="V580" s="43"/>
    </row>
    <row r="581" spans="2:22" s="1" customFormat="1" x14ac:dyDescent="0.3">
      <c r="B581" s="325"/>
      <c r="C581" s="17"/>
      <c r="D581" s="643" t="s">
        <v>1340</v>
      </c>
      <c r="E581" s="331">
        <v>3.4</v>
      </c>
      <c r="F581" s="565" t="s">
        <v>185</v>
      </c>
      <c r="G581" s="331"/>
      <c r="H581" s="565"/>
      <c r="I581" s="331">
        <v>1</v>
      </c>
      <c r="J581" s="565"/>
      <c r="K581" s="331">
        <v>4</v>
      </c>
      <c r="L581" s="575"/>
      <c r="M581" s="331"/>
      <c r="N581" s="575"/>
      <c r="O581" s="331"/>
      <c r="P581" s="565" t="s">
        <v>114</v>
      </c>
      <c r="Q581" s="331">
        <f>I581*E581*K581</f>
        <v>13.6</v>
      </c>
      <c r="R581" s="565"/>
      <c r="S581" s="577"/>
      <c r="T581" s="66"/>
      <c r="U581" s="2"/>
      <c r="V581" s="43"/>
    </row>
    <row r="582" spans="2:22" s="1" customFormat="1" x14ac:dyDescent="0.3">
      <c r="B582" s="325"/>
      <c r="C582" s="17"/>
      <c r="D582" s="143"/>
      <c r="E582" s="330"/>
      <c r="F582" s="512"/>
      <c r="G582" s="330"/>
      <c r="H582" s="512"/>
      <c r="I582" s="330"/>
      <c r="J582" s="512"/>
      <c r="K582" s="330"/>
      <c r="L582" s="512"/>
      <c r="M582" s="330"/>
      <c r="N582" s="512"/>
      <c r="O582" s="330"/>
      <c r="P582" s="512"/>
      <c r="Q582" s="330"/>
      <c r="R582" s="512"/>
      <c r="S582" s="559"/>
      <c r="T582" s="66"/>
      <c r="U582" s="2"/>
      <c r="V582" s="43"/>
    </row>
    <row r="583" spans="2:22" s="1" customFormat="1" ht="17.25" thickBot="1" x14ac:dyDescent="0.35">
      <c r="B583" s="325"/>
      <c r="C583" s="17"/>
      <c r="D583" s="3089" t="s">
        <v>164</v>
      </c>
      <c r="E583" s="3090"/>
      <c r="F583" s="3090"/>
      <c r="G583" s="3090"/>
      <c r="H583" s="3090"/>
      <c r="I583" s="3090"/>
      <c r="J583" s="622"/>
      <c r="K583" s="190"/>
      <c r="L583" s="622"/>
      <c r="M583" s="190"/>
      <c r="N583" s="622"/>
      <c r="O583" s="190"/>
      <c r="P583" s="622"/>
      <c r="Q583" s="644">
        <f>SUM(Q581:Q582)</f>
        <v>13.6</v>
      </c>
      <c r="R583" s="622"/>
      <c r="S583" s="247"/>
      <c r="T583" s="66"/>
      <c r="U583" s="2"/>
      <c r="V583" s="43"/>
    </row>
    <row r="584" spans="2:22" x14ac:dyDescent="0.3">
      <c r="B584" s="473"/>
      <c r="C584" s="465"/>
      <c r="D584" s="453"/>
      <c r="E584" s="455"/>
      <c r="F584" s="485"/>
      <c r="G584" s="455"/>
      <c r="H584" s="485"/>
      <c r="I584" s="455"/>
      <c r="J584" s="485"/>
      <c r="K584" s="477"/>
      <c r="L584" s="492"/>
      <c r="M584" s="477"/>
      <c r="N584" s="492"/>
      <c r="O584" s="477"/>
      <c r="P584" s="492"/>
      <c r="Q584" s="477"/>
      <c r="R584" s="492"/>
      <c r="S584" s="479"/>
    </row>
    <row r="585" spans="2:22" s="1" customFormat="1" ht="17.25" thickBot="1" x14ac:dyDescent="0.35">
      <c r="B585" s="325">
        <f>RAB!B115</f>
        <v>5</v>
      </c>
      <c r="C585" s="17" t="str">
        <f>RAB!C115</f>
        <v>Anti Slip Lantai Uk. 7,5 x 60 cm</v>
      </c>
      <c r="D585" s="38"/>
      <c r="E585" s="208"/>
      <c r="F585" s="551"/>
      <c r="G585" s="208"/>
      <c r="H585" s="551"/>
      <c r="I585" s="208"/>
      <c r="J585" s="551"/>
      <c r="K585" s="137"/>
      <c r="L585" s="642"/>
      <c r="M585" s="137"/>
      <c r="N585" s="642"/>
      <c r="O585" s="137"/>
      <c r="P585" s="642"/>
      <c r="Q585" s="137"/>
      <c r="R585" s="642"/>
      <c r="S585" s="241"/>
      <c r="T585" s="18">
        <f>ROUNDDOWN(Q590,2)</f>
        <v>145.6</v>
      </c>
      <c r="U585" s="2" t="s">
        <v>27</v>
      </c>
      <c r="V585" s="43"/>
    </row>
    <row r="586" spans="2:22" s="1" customFormat="1" x14ac:dyDescent="0.3">
      <c r="B586" s="325"/>
      <c r="C586" s="17"/>
      <c r="D586" s="8" t="s">
        <v>95</v>
      </c>
      <c r="E586" s="154" t="s">
        <v>150</v>
      </c>
      <c r="F586" s="493"/>
      <c r="G586" s="154" t="s">
        <v>151</v>
      </c>
      <c r="H586" s="493"/>
      <c r="I586" s="154" t="s">
        <v>152</v>
      </c>
      <c r="J586" s="493"/>
      <c r="K586" s="154" t="s">
        <v>153</v>
      </c>
      <c r="L586" s="494"/>
      <c r="M586" s="163" t="s">
        <v>32</v>
      </c>
      <c r="N586" s="494"/>
      <c r="O586" s="201" t="s">
        <v>163</v>
      </c>
      <c r="P586" s="494"/>
      <c r="Q586" s="202" t="s">
        <v>151</v>
      </c>
      <c r="R586" s="494"/>
      <c r="S586" s="226" t="s">
        <v>143</v>
      </c>
      <c r="T586" s="66"/>
      <c r="U586" s="2"/>
      <c r="V586" s="43"/>
    </row>
    <row r="587" spans="2:22" s="1" customFormat="1" x14ac:dyDescent="0.3">
      <c r="B587" s="325"/>
      <c r="C587" s="17"/>
      <c r="D587" s="138" t="str">
        <f>C375</f>
        <v xml:space="preserve">Tangga </v>
      </c>
      <c r="E587" s="329"/>
      <c r="F587" s="517"/>
      <c r="G587" s="329"/>
      <c r="H587" s="517"/>
      <c r="I587" s="329"/>
      <c r="J587" s="517"/>
      <c r="K587" s="329"/>
      <c r="L587" s="517"/>
      <c r="M587" s="329"/>
      <c r="N587" s="517"/>
      <c r="O587" s="329"/>
      <c r="P587" s="517"/>
      <c r="Q587" s="329"/>
      <c r="R587" s="517"/>
      <c r="S587" s="519"/>
      <c r="T587" s="66"/>
      <c r="U587" s="2"/>
      <c r="V587" s="43"/>
    </row>
    <row r="588" spans="2:22" s="1" customFormat="1" x14ac:dyDescent="0.3">
      <c r="B588" s="325"/>
      <c r="C588" s="17"/>
      <c r="D588" s="140" t="s">
        <v>317</v>
      </c>
      <c r="E588" s="329">
        <f>E378</f>
        <v>1.82</v>
      </c>
      <c r="F588" s="518" t="s">
        <v>185</v>
      </c>
      <c r="G588" s="329"/>
      <c r="H588" s="518"/>
      <c r="I588" s="329"/>
      <c r="J588" s="518"/>
      <c r="K588" s="329">
        <f>K378</f>
        <v>20</v>
      </c>
      <c r="L588" s="518" t="s">
        <v>185</v>
      </c>
      <c r="M588" s="329">
        <v>4</v>
      </c>
      <c r="N588" s="517"/>
      <c r="O588" s="329"/>
      <c r="P588" s="518" t="s">
        <v>114</v>
      </c>
      <c r="Q588" s="329">
        <f>E588*K588*M588</f>
        <v>145.6</v>
      </c>
      <c r="R588" s="517"/>
      <c r="S588" s="519"/>
      <c r="T588" s="66"/>
      <c r="U588" s="2"/>
      <c r="V588" s="43"/>
    </row>
    <row r="589" spans="2:22" s="1" customFormat="1" x14ac:dyDescent="0.3">
      <c r="B589" s="325"/>
      <c r="C589" s="17"/>
      <c r="D589" s="143"/>
      <c r="E589" s="330"/>
      <c r="F589" s="512"/>
      <c r="G589" s="330"/>
      <c r="H589" s="512"/>
      <c r="I589" s="330"/>
      <c r="J589" s="512"/>
      <c r="K589" s="330"/>
      <c r="L589" s="512"/>
      <c r="M589" s="330"/>
      <c r="N589" s="512"/>
      <c r="O589" s="330"/>
      <c r="P589" s="512"/>
      <c r="Q589" s="330"/>
      <c r="R589" s="512"/>
      <c r="S589" s="559"/>
      <c r="T589" s="66"/>
      <c r="U589" s="2"/>
      <c r="V589" s="43"/>
    </row>
    <row r="590" spans="2:22" s="1" customFormat="1" ht="17.25" thickBot="1" x14ac:dyDescent="0.35">
      <c r="B590" s="325"/>
      <c r="C590" s="17"/>
      <c r="D590" s="417" t="s">
        <v>164</v>
      </c>
      <c r="E590" s="190"/>
      <c r="F590" s="622"/>
      <c r="G590" s="190"/>
      <c r="H590" s="622"/>
      <c r="I590" s="190"/>
      <c r="J590" s="622"/>
      <c r="K590" s="190"/>
      <c r="L590" s="622"/>
      <c r="M590" s="190"/>
      <c r="N590" s="622"/>
      <c r="O590" s="190"/>
      <c r="P590" s="622"/>
      <c r="Q590" s="644">
        <f>SUM(Q587:Q588)</f>
        <v>145.6</v>
      </c>
      <c r="R590" s="622"/>
      <c r="S590" s="247"/>
      <c r="T590" s="66"/>
      <c r="U590" s="2"/>
      <c r="V590" s="43"/>
    </row>
    <row r="591" spans="2:22" x14ac:dyDescent="0.3">
      <c r="B591" s="473"/>
      <c r="C591" s="465"/>
      <c r="D591" s="453"/>
      <c r="E591" s="455"/>
      <c r="F591" s="485"/>
      <c r="G591" s="455"/>
      <c r="H591" s="485"/>
      <c r="I591" s="455"/>
      <c r="J591" s="485"/>
      <c r="K591" s="477"/>
      <c r="L591" s="492"/>
      <c r="M591" s="477"/>
      <c r="N591" s="492"/>
      <c r="O591" s="477"/>
      <c r="P591" s="492"/>
      <c r="Q591" s="477"/>
      <c r="R591" s="492"/>
      <c r="S591" s="479"/>
      <c r="T591" s="474"/>
    </row>
    <row r="592" spans="2:22" s="1" customFormat="1" x14ac:dyDescent="0.3">
      <c r="B592" s="1179" t="str">
        <f>RAB!B118</f>
        <v>VI</v>
      </c>
      <c r="C592" s="134" t="str">
        <f>RAB!C118</f>
        <v>PEKERJAAN PLAFON</v>
      </c>
      <c r="E592" s="153"/>
      <c r="F592" s="480"/>
      <c r="G592" s="153"/>
      <c r="H592" s="480"/>
      <c r="I592" s="153"/>
      <c r="J592" s="480"/>
      <c r="K592" s="153"/>
      <c r="L592" s="480"/>
      <c r="M592" s="162"/>
      <c r="N592" s="480"/>
      <c r="O592" s="153"/>
      <c r="P592" s="480"/>
      <c r="Q592" s="200"/>
      <c r="R592" s="480"/>
      <c r="S592" s="224"/>
      <c r="T592" s="134"/>
      <c r="U592" s="2"/>
      <c r="V592" s="43"/>
    </row>
    <row r="593" spans="2:22" s="1" customFormat="1" ht="17.25" thickBot="1" x14ac:dyDescent="0.35">
      <c r="B593" s="36">
        <f>RAB!B119</f>
        <v>1</v>
      </c>
      <c r="C593" s="325" t="str">
        <f>RAB!C119</f>
        <v xml:space="preserve">Pemasangan Rangka Furing Plafond </v>
      </c>
      <c r="E593" s="153"/>
      <c r="F593" s="480"/>
      <c r="G593" s="153"/>
      <c r="H593" s="480"/>
      <c r="I593" s="153"/>
      <c r="J593" s="480"/>
      <c r="K593" s="153"/>
      <c r="L593" s="480"/>
      <c r="M593" s="162"/>
      <c r="N593" s="480"/>
      <c r="O593" s="153"/>
      <c r="P593" s="480"/>
      <c r="Q593" s="200"/>
      <c r="R593" s="480"/>
      <c r="S593" s="224"/>
      <c r="T593" s="18">
        <f>ROUNDDOWN(Q601,2)</f>
        <v>542.55999999999995</v>
      </c>
      <c r="U593" s="2" t="s">
        <v>2</v>
      </c>
      <c r="V593" s="43"/>
    </row>
    <row r="594" spans="2:22" s="1" customFormat="1" x14ac:dyDescent="0.3">
      <c r="B594" s="325"/>
      <c r="C594" s="325"/>
      <c r="D594" s="8" t="s">
        <v>95</v>
      </c>
      <c r="E594" s="154" t="s">
        <v>150</v>
      </c>
      <c r="F594" s="493"/>
      <c r="G594" s="154" t="s">
        <v>151</v>
      </c>
      <c r="H594" s="493"/>
      <c r="I594" s="154" t="s">
        <v>152</v>
      </c>
      <c r="J594" s="493"/>
      <c r="K594" s="154" t="s">
        <v>153</v>
      </c>
      <c r="L594" s="494"/>
      <c r="M594" s="163" t="s">
        <v>32</v>
      </c>
      <c r="N594" s="494"/>
      <c r="O594" s="201" t="s">
        <v>163</v>
      </c>
      <c r="P594" s="494"/>
      <c r="Q594" s="202" t="s">
        <v>151</v>
      </c>
      <c r="R594" s="494"/>
      <c r="S594" s="226" t="s">
        <v>143</v>
      </c>
      <c r="T594" s="66"/>
      <c r="U594" s="2"/>
      <c r="V594" s="43"/>
    </row>
    <row r="595" spans="2:22" s="1" customFormat="1" x14ac:dyDescent="0.3">
      <c r="B595" s="325"/>
      <c r="C595" s="60"/>
      <c r="D595" s="643" t="s">
        <v>1336</v>
      </c>
      <c r="E595" s="331"/>
      <c r="F595" s="565"/>
      <c r="G595" s="331">
        <v>92.96</v>
      </c>
      <c r="H595" s="565"/>
      <c r="I595" s="331"/>
      <c r="J595" s="565"/>
      <c r="K595" s="331">
        <v>1</v>
      </c>
      <c r="L595" s="575"/>
      <c r="M595" s="331">
        <v>4</v>
      </c>
      <c r="N595" s="575"/>
      <c r="O595" s="331"/>
      <c r="P595" s="565"/>
      <c r="Q595" s="331">
        <f>G595*K595*M595</f>
        <v>371.84</v>
      </c>
      <c r="R595" s="565"/>
      <c r="S595" s="577"/>
      <c r="T595" s="66"/>
      <c r="U595" s="2"/>
      <c r="V595" s="43"/>
    </row>
    <row r="596" spans="2:22" s="1" customFormat="1" x14ac:dyDescent="0.3">
      <c r="B596" s="325"/>
      <c r="C596" s="60"/>
      <c r="D596" s="324" t="s">
        <v>1337</v>
      </c>
      <c r="E596" s="589"/>
      <c r="F596" s="588"/>
      <c r="G596" s="1161">
        <v>1.5</v>
      </c>
      <c r="H596" s="518"/>
      <c r="I596" s="1161"/>
      <c r="J596" s="518"/>
      <c r="K596" s="1161">
        <v>16</v>
      </c>
      <c r="L596" s="517"/>
      <c r="M596" s="1161">
        <v>4</v>
      </c>
      <c r="N596" s="517"/>
      <c r="O596" s="1161"/>
      <c r="P596" s="518"/>
      <c r="Q596" s="331">
        <f>G596*K596*M596</f>
        <v>96</v>
      </c>
      <c r="R596" s="588"/>
      <c r="S596" s="590"/>
      <c r="T596" s="66"/>
      <c r="U596" s="2"/>
      <c r="V596" s="43"/>
    </row>
    <row r="597" spans="2:22" s="1" customFormat="1" x14ac:dyDescent="0.3">
      <c r="B597" s="325"/>
      <c r="C597" s="60"/>
      <c r="D597" s="324"/>
      <c r="E597" s="589"/>
      <c r="F597" s="588"/>
      <c r="G597" s="1161">
        <v>4</v>
      </c>
      <c r="H597" s="518"/>
      <c r="I597" s="1161"/>
      <c r="J597" s="518"/>
      <c r="K597" s="1161">
        <v>9.5</v>
      </c>
      <c r="L597" s="517"/>
      <c r="M597" s="1161">
        <v>2</v>
      </c>
      <c r="N597" s="517"/>
      <c r="O597" s="1161"/>
      <c r="P597" s="518"/>
      <c r="Q597" s="331">
        <f>G597*K597*M597</f>
        <v>76</v>
      </c>
      <c r="R597" s="588"/>
      <c r="S597" s="590"/>
      <c r="T597" s="66"/>
      <c r="U597" s="2"/>
      <c r="V597" s="43"/>
    </row>
    <row r="598" spans="2:22" s="1" customFormat="1" x14ac:dyDescent="0.3">
      <c r="B598" s="325"/>
      <c r="C598" s="60"/>
      <c r="D598" s="645" t="s">
        <v>244</v>
      </c>
      <c r="E598" s="619"/>
      <c r="F598" s="558"/>
      <c r="G598" s="619"/>
      <c r="H598" s="558"/>
      <c r="I598" s="619"/>
      <c r="J598" s="558"/>
      <c r="K598" s="619"/>
      <c r="L598" s="526"/>
      <c r="M598" s="619"/>
      <c r="N598" s="526"/>
      <c r="O598" s="619"/>
      <c r="P598" s="558"/>
      <c r="Q598" s="619"/>
      <c r="R598" s="558"/>
      <c r="S598" s="620"/>
      <c r="T598" s="66"/>
      <c r="U598" s="2"/>
      <c r="V598" s="43"/>
    </row>
    <row r="599" spans="2:22" s="1" customFormat="1" x14ac:dyDescent="0.3">
      <c r="B599" s="325"/>
      <c r="C599" s="60"/>
      <c r="D599" s="326" t="s">
        <v>730</v>
      </c>
      <c r="E599" s="328">
        <v>0.4</v>
      </c>
      <c r="F599" s="518" t="s">
        <v>185</v>
      </c>
      <c r="G599" s="328">
        <v>0.4</v>
      </c>
      <c r="H599" s="518" t="s">
        <v>185</v>
      </c>
      <c r="I599" s="1161"/>
      <c r="J599" s="518"/>
      <c r="K599" s="1161">
        <v>8</v>
      </c>
      <c r="L599" s="518"/>
      <c r="M599" s="1161"/>
      <c r="N599" s="518"/>
      <c r="O599" s="1161"/>
      <c r="P599" s="518" t="s">
        <v>114</v>
      </c>
      <c r="Q599" s="1161">
        <f>K599*G599*E599</f>
        <v>1.2800000000000002</v>
      </c>
      <c r="R599" s="558"/>
      <c r="S599" s="620"/>
      <c r="T599" s="66"/>
      <c r="U599" s="2"/>
      <c r="V599" s="43"/>
    </row>
    <row r="600" spans="2:22" s="1" customFormat="1" x14ac:dyDescent="0.3">
      <c r="B600" s="325"/>
      <c r="C600" s="325"/>
      <c r="D600" s="143"/>
      <c r="E600" s="170"/>
      <c r="F600" s="630"/>
      <c r="G600" s="170"/>
      <c r="H600" s="630"/>
      <c r="I600" s="170"/>
      <c r="J600" s="630"/>
      <c r="K600" s="170"/>
      <c r="L600" s="630"/>
      <c r="M600" s="170"/>
      <c r="N600" s="630"/>
      <c r="O600" s="170"/>
      <c r="P600" s="630"/>
      <c r="Q600" s="170"/>
      <c r="R600" s="630"/>
      <c r="S600" s="246"/>
      <c r="T600" s="66"/>
      <c r="U600" s="2"/>
      <c r="V600" s="43"/>
    </row>
    <row r="601" spans="2:22" s="1" customFormat="1" ht="17.25" thickBot="1" x14ac:dyDescent="0.35">
      <c r="B601" s="325"/>
      <c r="C601" s="325"/>
      <c r="D601" s="3093" t="s">
        <v>164</v>
      </c>
      <c r="E601" s="3094"/>
      <c r="F601" s="3094"/>
      <c r="G601" s="3094"/>
      <c r="H601" s="3094"/>
      <c r="I601" s="3095"/>
      <c r="J601" s="637"/>
      <c r="K601" s="196"/>
      <c r="L601" s="637"/>
      <c r="M601" s="196"/>
      <c r="N601" s="637"/>
      <c r="O601" s="196"/>
      <c r="P601" s="637"/>
      <c r="Q601" s="579">
        <f>SUM(Q595:Q597)-Q599</f>
        <v>542.55999999999995</v>
      </c>
      <c r="R601" s="637"/>
      <c r="S601" s="253"/>
      <c r="T601" s="66"/>
      <c r="U601" s="2"/>
      <c r="V601" s="43"/>
    </row>
    <row r="602" spans="2:22" x14ac:dyDescent="0.3">
      <c r="B602" s="464"/>
      <c r="C602" s="464"/>
    </row>
    <row r="603" spans="2:22" s="1" customFormat="1" ht="17.25" thickBot="1" x14ac:dyDescent="0.35">
      <c r="B603" s="36">
        <f>RAB!B120</f>
        <v>2</v>
      </c>
      <c r="C603" s="325" t="str">
        <f>RAB!C120</f>
        <v>Pemasangan Plafond Gybsum board tbl. 9 mm</v>
      </c>
      <c r="E603" s="153"/>
      <c r="F603" s="480"/>
      <c r="G603" s="153"/>
      <c r="H603" s="480"/>
      <c r="I603" s="153"/>
      <c r="J603" s="480"/>
      <c r="K603" s="153"/>
      <c r="L603" s="480"/>
      <c r="M603" s="162"/>
      <c r="N603" s="480"/>
      <c r="O603" s="153"/>
      <c r="P603" s="480"/>
      <c r="Q603" s="200"/>
      <c r="R603" s="480"/>
      <c r="S603" s="224"/>
      <c r="T603" s="18">
        <f>ROUNDDOWN(Q607,2)</f>
        <v>542.55999999999995</v>
      </c>
      <c r="U603" s="2" t="s">
        <v>2</v>
      </c>
      <c r="V603" s="43"/>
    </row>
    <row r="604" spans="2:22" s="1" customFormat="1" x14ac:dyDescent="0.3">
      <c r="B604" s="325"/>
      <c r="C604" s="17"/>
      <c r="D604" s="141" t="s">
        <v>95</v>
      </c>
      <c r="E604" s="158" t="s">
        <v>150</v>
      </c>
      <c r="F604" s="641"/>
      <c r="G604" s="158" t="s">
        <v>151</v>
      </c>
      <c r="H604" s="641"/>
      <c r="I604" s="158" t="s">
        <v>152</v>
      </c>
      <c r="J604" s="641"/>
      <c r="K604" s="158" t="s">
        <v>153</v>
      </c>
      <c r="L604" s="641"/>
      <c r="M604" s="167" t="s">
        <v>32</v>
      </c>
      <c r="N604" s="641"/>
      <c r="O604" s="158" t="s">
        <v>163</v>
      </c>
      <c r="P604" s="641"/>
      <c r="Q604" s="222" t="s">
        <v>151</v>
      </c>
      <c r="R604" s="641"/>
      <c r="S604" s="242" t="s">
        <v>143</v>
      </c>
      <c r="T604" s="66"/>
      <c r="U604" s="2"/>
      <c r="V604" s="43"/>
    </row>
    <row r="605" spans="2:22" s="1" customFormat="1" x14ac:dyDescent="0.3">
      <c r="B605" s="325"/>
      <c r="C605" s="17"/>
      <c r="D605" s="142" t="str">
        <f>C593</f>
        <v xml:space="preserve">Pemasangan Rangka Furing Plafond </v>
      </c>
      <c r="E605" s="197"/>
      <c r="F605" s="516"/>
      <c r="G605" s="197"/>
      <c r="H605" s="516"/>
      <c r="I605" s="197"/>
      <c r="J605" s="516"/>
      <c r="K605" s="197"/>
      <c r="L605" s="640"/>
      <c r="M605" s="197"/>
      <c r="N605" s="640"/>
      <c r="O605" s="197"/>
      <c r="P605" s="516"/>
      <c r="Q605" s="197">
        <f>Q601</f>
        <v>542.55999999999995</v>
      </c>
      <c r="R605" s="516"/>
      <c r="S605" s="255"/>
      <c r="T605" s="66"/>
      <c r="U605" s="2"/>
      <c r="V605" s="43"/>
    </row>
    <row r="606" spans="2:22" s="1" customFormat="1" x14ac:dyDescent="0.3">
      <c r="B606" s="325"/>
      <c r="C606" s="17"/>
      <c r="D606" s="143"/>
      <c r="E606" s="170"/>
      <c r="F606" s="630"/>
      <c r="G606" s="170"/>
      <c r="H606" s="630"/>
      <c r="I606" s="170"/>
      <c r="J606" s="630"/>
      <c r="K606" s="170"/>
      <c r="L606" s="630"/>
      <c r="M606" s="170"/>
      <c r="N606" s="630"/>
      <c r="O606" s="170"/>
      <c r="P606" s="630"/>
      <c r="Q606" s="170"/>
      <c r="R606" s="630"/>
      <c r="S606" s="246"/>
      <c r="T606" s="66"/>
      <c r="U606" s="2"/>
      <c r="V606" s="43"/>
    </row>
    <row r="607" spans="2:22" s="1" customFormat="1" ht="17.25" thickBot="1" x14ac:dyDescent="0.35">
      <c r="B607" s="325"/>
      <c r="C607" s="17"/>
      <c r="D607" s="3091" t="s">
        <v>164</v>
      </c>
      <c r="E607" s="3092"/>
      <c r="F607" s="3092"/>
      <c r="G607" s="3092"/>
      <c r="H607" s="3092"/>
      <c r="I607" s="3092"/>
      <c r="J607" s="622"/>
      <c r="K607" s="190"/>
      <c r="L607" s="622"/>
      <c r="M607" s="190"/>
      <c r="N607" s="622"/>
      <c r="O607" s="190"/>
      <c r="P607" s="622"/>
      <c r="Q607" s="190">
        <f>SUM(Q605:Q606)</f>
        <v>542.55999999999995</v>
      </c>
      <c r="R607" s="622"/>
      <c r="S607" s="247"/>
      <c r="T607" s="66"/>
      <c r="U607" s="2"/>
      <c r="V607" s="43"/>
    </row>
    <row r="608" spans="2:22" x14ac:dyDescent="0.3">
      <c r="B608" s="473"/>
      <c r="C608" s="465"/>
      <c r="D608" s="453"/>
      <c r="E608" s="455"/>
      <c r="F608" s="485"/>
      <c r="G608" s="455"/>
      <c r="H608" s="485"/>
      <c r="I608" s="455"/>
      <c r="J608" s="485"/>
      <c r="K608" s="477"/>
      <c r="L608" s="492"/>
      <c r="M608" s="477"/>
      <c r="N608" s="492"/>
      <c r="O608" s="477"/>
      <c r="P608" s="492"/>
      <c r="Q608" s="477"/>
      <c r="R608" s="492"/>
      <c r="S608" s="479"/>
    </row>
    <row r="609" spans="2:22" s="66" customFormat="1" x14ac:dyDescent="0.3">
      <c r="B609" s="134" t="str">
        <f>RAB!B123</f>
        <v>VII</v>
      </c>
      <c r="C609" s="134" t="str">
        <f>RAB!C123</f>
        <v>PEKERJAAN PENGECATAN</v>
      </c>
      <c r="D609" s="118"/>
      <c r="E609" s="198"/>
      <c r="F609" s="652"/>
      <c r="G609" s="198"/>
      <c r="H609" s="652"/>
      <c r="I609" s="198"/>
      <c r="J609" s="652"/>
      <c r="K609" s="198"/>
      <c r="L609" s="652"/>
      <c r="M609" s="198"/>
      <c r="N609" s="652"/>
      <c r="O609" s="198"/>
      <c r="P609" s="652"/>
      <c r="Q609" s="198"/>
      <c r="R609" s="652"/>
      <c r="S609" s="256"/>
      <c r="U609" s="2"/>
      <c r="V609" s="675"/>
    </row>
    <row r="610" spans="2:22" s="1" customFormat="1" ht="17.25" thickBot="1" x14ac:dyDescent="0.35">
      <c r="B610" s="36">
        <f>RAB!B124</f>
        <v>1</v>
      </c>
      <c r="C610" s="17" t="str">
        <f>RAB!C124</f>
        <v>Pengecatan bidang tembok eksterior (Jotun weathershield)</v>
      </c>
      <c r="E610" s="153"/>
      <c r="F610" s="480"/>
      <c r="G610" s="153"/>
      <c r="H610" s="480"/>
      <c r="I610" s="153"/>
      <c r="J610" s="480"/>
      <c r="K610" s="153"/>
      <c r="L610" s="480"/>
      <c r="M610" s="162"/>
      <c r="N610" s="480"/>
      <c r="O610" s="153"/>
      <c r="P610" s="480"/>
      <c r="Q610" s="200"/>
      <c r="R610" s="480"/>
      <c r="S610" s="224"/>
      <c r="T610" s="18">
        <f>ROUNDDOWN(Q620,2)</f>
        <v>240.56</v>
      </c>
      <c r="U610" s="2" t="s">
        <v>2</v>
      </c>
      <c r="V610" s="43"/>
    </row>
    <row r="611" spans="2:22" s="1" customFormat="1" x14ac:dyDescent="0.3">
      <c r="B611" s="325"/>
      <c r="C611" s="17"/>
      <c r="D611" s="8" t="s">
        <v>95</v>
      </c>
      <c r="E611" s="154" t="s">
        <v>150</v>
      </c>
      <c r="F611" s="493"/>
      <c r="G611" s="154" t="s">
        <v>151</v>
      </c>
      <c r="H611" s="493"/>
      <c r="I611" s="154" t="s">
        <v>152</v>
      </c>
      <c r="J611" s="493"/>
      <c r="K611" s="154" t="s">
        <v>153</v>
      </c>
      <c r="L611" s="494"/>
      <c r="M611" s="163" t="s">
        <v>32</v>
      </c>
      <c r="N611" s="494"/>
      <c r="O611" s="201" t="s">
        <v>163</v>
      </c>
      <c r="P611" s="494"/>
      <c r="Q611" s="202" t="s">
        <v>151</v>
      </c>
      <c r="R611" s="494"/>
      <c r="S611" s="226" t="s">
        <v>143</v>
      </c>
      <c r="T611" s="66"/>
      <c r="U611" s="2"/>
      <c r="V611" s="43"/>
    </row>
    <row r="612" spans="2:22" s="1" customFormat="1" x14ac:dyDescent="0.3">
      <c r="B612" s="325"/>
      <c r="C612" s="17"/>
      <c r="D612" s="138"/>
      <c r="E612" s="329">
        <v>36</v>
      </c>
      <c r="F612" s="517" t="s">
        <v>185</v>
      </c>
      <c r="G612" s="329"/>
      <c r="H612" s="517"/>
      <c r="I612" s="1161">
        <v>3.6</v>
      </c>
      <c r="J612" s="517" t="s">
        <v>185</v>
      </c>
      <c r="K612" s="329">
        <v>2</v>
      </c>
      <c r="L612" s="517"/>
      <c r="M612" s="329"/>
      <c r="N612" s="517"/>
      <c r="O612" s="329"/>
      <c r="P612" s="517" t="s">
        <v>114</v>
      </c>
      <c r="Q612" s="329">
        <f>E612*I612*K612</f>
        <v>259.2</v>
      </c>
      <c r="R612" s="517"/>
      <c r="S612" s="519"/>
      <c r="T612" s="66"/>
      <c r="U612" s="2"/>
      <c r="V612" s="43"/>
    </row>
    <row r="613" spans="2:22" s="1" customFormat="1" x14ac:dyDescent="0.3">
      <c r="B613" s="325"/>
      <c r="C613" s="17"/>
      <c r="D613" s="138"/>
      <c r="E613" s="1161">
        <v>20</v>
      </c>
      <c r="F613" s="517" t="s">
        <v>185</v>
      </c>
      <c r="G613" s="1161"/>
      <c r="H613" s="517"/>
      <c r="I613" s="1161">
        <v>3.6</v>
      </c>
      <c r="J613" s="517" t="s">
        <v>185</v>
      </c>
      <c r="K613" s="1161">
        <v>2</v>
      </c>
      <c r="L613" s="517"/>
      <c r="M613" s="1161"/>
      <c r="N613" s="517"/>
      <c r="O613" s="1161"/>
      <c r="P613" s="517" t="s">
        <v>114</v>
      </c>
      <c r="Q613" s="1161">
        <f>E613*I613*K613</f>
        <v>144</v>
      </c>
      <c r="R613" s="517"/>
      <c r="S613" s="519"/>
      <c r="T613" s="66"/>
      <c r="U613" s="2"/>
      <c r="V613" s="43"/>
    </row>
    <row r="614" spans="2:22" s="1" customFormat="1" x14ac:dyDescent="0.3">
      <c r="B614" s="325"/>
      <c r="C614" s="17"/>
      <c r="D614" s="138" t="s">
        <v>154</v>
      </c>
      <c r="E614" s="329"/>
      <c r="F614" s="517"/>
      <c r="G614" s="329"/>
      <c r="H614" s="517"/>
      <c r="I614" s="329"/>
      <c r="J614" s="517"/>
      <c r="K614" s="329"/>
      <c r="L614" s="517"/>
      <c r="M614" s="329"/>
      <c r="N614" s="517"/>
      <c r="O614" s="329"/>
      <c r="P614" s="517"/>
      <c r="Q614" s="329"/>
      <c r="R614" s="603"/>
      <c r="S614" s="245"/>
      <c r="T614" s="66"/>
      <c r="U614" s="2"/>
      <c r="V614" s="43"/>
    </row>
    <row r="615" spans="2:22" x14ac:dyDescent="0.3">
      <c r="B615" s="473"/>
      <c r="C615" s="465"/>
      <c r="D615" s="146" t="str">
        <f>D445</f>
        <v>Pintu Type P1</v>
      </c>
      <c r="E615" s="1161">
        <v>3</v>
      </c>
      <c r="F615" s="518" t="s">
        <v>185</v>
      </c>
      <c r="G615" s="1161"/>
      <c r="H615" s="518"/>
      <c r="I615" s="1161">
        <v>1.5</v>
      </c>
      <c r="J615" s="518" t="s">
        <v>185</v>
      </c>
      <c r="K615" s="1161">
        <v>8</v>
      </c>
      <c r="L615" s="517"/>
      <c r="M615" s="1161"/>
      <c r="N615" s="517"/>
      <c r="O615" s="1161"/>
      <c r="P615" s="518" t="s">
        <v>114</v>
      </c>
      <c r="Q615" s="1161">
        <f>K615*I615*E615</f>
        <v>36</v>
      </c>
      <c r="R615" s="491"/>
      <c r="S615" s="472"/>
    </row>
    <row r="616" spans="2:22" x14ac:dyDescent="0.3">
      <c r="B616" s="473"/>
      <c r="C616" s="465"/>
      <c r="D616" s="146" t="str">
        <f>D446</f>
        <v>Pintu Type P2</v>
      </c>
      <c r="E616" s="1161">
        <v>3</v>
      </c>
      <c r="F616" s="518" t="s">
        <v>185</v>
      </c>
      <c r="G616" s="1161"/>
      <c r="H616" s="518"/>
      <c r="I616" s="1161">
        <v>2</v>
      </c>
      <c r="J616" s="518" t="s">
        <v>185</v>
      </c>
      <c r="K616" s="1161">
        <v>1</v>
      </c>
      <c r="L616" s="517"/>
      <c r="M616" s="1161"/>
      <c r="N616" s="517"/>
      <c r="O616" s="1161"/>
      <c r="P616" s="518" t="s">
        <v>114</v>
      </c>
      <c r="Q616" s="1161">
        <f>K616*I616*E616</f>
        <v>6</v>
      </c>
      <c r="R616" s="491"/>
      <c r="S616" s="472"/>
    </row>
    <row r="617" spans="2:22" x14ac:dyDescent="0.3">
      <c r="B617" s="473"/>
      <c r="C617" s="465"/>
      <c r="D617" s="146" t="str">
        <f>D448</f>
        <v>Jendela Type J.1</v>
      </c>
      <c r="E617" s="1161">
        <v>2</v>
      </c>
      <c r="F617" s="518" t="s">
        <v>185</v>
      </c>
      <c r="G617" s="1161"/>
      <c r="H617" s="518"/>
      <c r="I617" s="1161">
        <v>2.6</v>
      </c>
      <c r="J617" s="518" t="s">
        <v>185</v>
      </c>
      <c r="K617" s="1161">
        <f>12+10</f>
        <v>22</v>
      </c>
      <c r="L617" s="517"/>
      <c r="M617" s="1161"/>
      <c r="N617" s="517"/>
      <c r="O617" s="1161"/>
      <c r="P617" s="518" t="s">
        <v>114</v>
      </c>
      <c r="Q617" s="1161">
        <f>K617*I617*E617</f>
        <v>114.4</v>
      </c>
      <c r="R617" s="491"/>
      <c r="S617" s="472"/>
    </row>
    <row r="618" spans="2:22" x14ac:dyDescent="0.3">
      <c r="B618" s="473"/>
      <c r="C618" s="465"/>
      <c r="D618" s="146" t="str">
        <f>D449</f>
        <v>Jendela Type J2</v>
      </c>
      <c r="E618" s="1161">
        <v>0.6</v>
      </c>
      <c r="F618" s="518" t="s">
        <v>185</v>
      </c>
      <c r="G618" s="1161"/>
      <c r="H618" s="518"/>
      <c r="I618" s="1161">
        <v>2.6</v>
      </c>
      <c r="J618" s="518" t="s">
        <v>185</v>
      </c>
      <c r="K618" s="1161">
        <v>4</v>
      </c>
      <c r="L618" s="517"/>
      <c r="M618" s="1161"/>
      <c r="N618" s="517"/>
      <c r="O618" s="1161"/>
      <c r="P618" s="518" t="s">
        <v>114</v>
      </c>
      <c r="Q618" s="1161">
        <f>K618*I618*E618</f>
        <v>6.24</v>
      </c>
      <c r="R618" s="491"/>
      <c r="S618" s="472"/>
    </row>
    <row r="619" spans="2:22" x14ac:dyDescent="0.3">
      <c r="B619" s="473"/>
      <c r="C619" s="465"/>
      <c r="D619" s="476"/>
      <c r="E619" s="591"/>
      <c r="F619" s="618"/>
      <c r="G619" s="591"/>
      <c r="H619" s="618"/>
      <c r="I619" s="591"/>
      <c r="J619" s="618"/>
      <c r="K619" s="591"/>
      <c r="L619" s="618"/>
      <c r="M619" s="591"/>
      <c r="N619" s="618"/>
      <c r="O619" s="591"/>
      <c r="P619" s="618"/>
      <c r="Q619" s="591"/>
      <c r="R619" s="490"/>
      <c r="S619" s="478"/>
    </row>
    <row r="620" spans="2:22" s="1" customFormat="1" ht="17.25" thickBot="1" x14ac:dyDescent="0.35">
      <c r="B620" s="325"/>
      <c r="C620" s="17"/>
      <c r="D620" s="3087" t="s">
        <v>164</v>
      </c>
      <c r="E620" s="3088"/>
      <c r="F620" s="3088"/>
      <c r="G620" s="3088"/>
      <c r="H620" s="3088"/>
      <c r="I620" s="3088"/>
      <c r="J620" s="637"/>
      <c r="K620" s="196"/>
      <c r="L620" s="637"/>
      <c r="M620" s="196"/>
      <c r="N620" s="637"/>
      <c r="O620" s="196"/>
      <c r="P620" s="637"/>
      <c r="Q620" s="653">
        <f>SUM(Q612:Q613)-SUM(Q615:Q619)</f>
        <v>240.55999999999997</v>
      </c>
      <c r="R620" s="637"/>
      <c r="S620" s="253"/>
      <c r="T620" s="66"/>
      <c r="U620" s="2"/>
      <c r="V620" s="43"/>
    </row>
    <row r="621" spans="2:22" x14ac:dyDescent="0.3">
      <c r="B621" s="464"/>
      <c r="C621" s="465"/>
      <c r="D621" s="453"/>
      <c r="E621" s="477"/>
      <c r="F621" s="485"/>
      <c r="G621" s="477"/>
      <c r="H621" s="485"/>
      <c r="I621" s="477"/>
      <c r="J621" s="485"/>
      <c r="K621" s="438"/>
      <c r="L621" s="482"/>
      <c r="M621" s="439"/>
      <c r="N621" s="482"/>
      <c r="O621" s="438"/>
      <c r="P621" s="482"/>
      <c r="Q621" s="477"/>
      <c r="R621" s="492"/>
      <c r="S621" s="454"/>
    </row>
    <row r="622" spans="2:22" s="1" customFormat="1" ht="17.25" thickBot="1" x14ac:dyDescent="0.35">
      <c r="B622" s="36">
        <f>RAB!B125</f>
        <v>2</v>
      </c>
      <c r="C622" s="17" t="str">
        <f>RAB!C125</f>
        <v>Pengecatan bidang tembok interior (Jotun Jotaplast)</v>
      </c>
      <c r="E622" s="153"/>
      <c r="F622" s="480"/>
      <c r="G622" s="153"/>
      <c r="H622" s="480"/>
      <c r="I622" s="153"/>
      <c r="J622" s="480"/>
      <c r="K622" s="153"/>
      <c r="L622" s="480"/>
      <c r="M622" s="162"/>
      <c r="N622" s="480"/>
      <c r="O622" s="153"/>
      <c r="P622" s="480"/>
      <c r="Q622" s="200"/>
      <c r="R622" s="480"/>
      <c r="S622" s="224"/>
      <c r="T622" s="18">
        <f>ROUNDDOWN(Q626,2)</f>
        <v>776.56</v>
      </c>
      <c r="U622" s="2" t="s">
        <v>2</v>
      </c>
      <c r="V622" s="43"/>
    </row>
    <row r="623" spans="2:22" s="1" customFormat="1" x14ac:dyDescent="0.3">
      <c r="B623" s="325"/>
      <c r="C623" s="17"/>
      <c r="D623" s="8" t="s">
        <v>95</v>
      </c>
      <c r="E623" s="154" t="s">
        <v>150</v>
      </c>
      <c r="F623" s="493"/>
      <c r="G623" s="154" t="s">
        <v>151</v>
      </c>
      <c r="H623" s="493"/>
      <c r="I623" s="154" t="s">
        <v>152</v>
      </c>
      <c r="J623" s="493"/>
      <c r="K623" s="154" t="s">
        <v>153</v>
      </c>
      <c r="L623" s="494"/>
      <c r="M623" s="163" t="s">
        <v>32</v>
      </c>
      <c r="N623" s="494"/>
      <c r="O623" s="201" t="s">
        <v>163</v>
      </c>
      <c r="P623" s="494"/>
      <c r="Q623" s="202" t="s">
        <v>151</v>
      </c>
      <c r="R623" s="494"/>
      <c r="S623" s="226" t="s">
        <v>143</v>
      </c>
      <c r="T623" s="66"/>
      <c r="U623" s="2"/>
      <c r="V623" s="43"/>
    </row>
    <row r="624" spans="2:22" s="1" customFormat="1" x14ac:dyDescent="0.3">
      <c r="B624" s="325"/>
      <c r="C624" s="17"/>
      <c r="D624" s="643" t="s">
        <v>586</v>
      </c>
      <c r="E624" s="197"/>
      <c r="F624" s="516"/>
      <c r="G624" s="197"/>
      <c r="H624" s="640"/>
      <c r="I624" s="197"/>
      <c r="J624" s="640"/>
      <c r="K624" s="270">
        <f>Q451</f>
        <v>776.56</v>
      </c>
      <c r="L624" s="640"/>
      <c r="M624" s="197"/>
      <c r="N624" s="516"/>
      <c r="O624" s="323"/>
      <c r="P624" s="516" t="s">
        <v>114</v>
      </c>
      <c r="Q624" s="270">
        <f>K624</f>
        <v>776.56</v>
      </c>
      <c r="R624" s="516"/>
      <c r="S624" s="255"/>
      <c r="T624" s="66"/>
      <c r="U624" s="2"/>
      <c r="V624" s="43">
        <f>T622+T610</f>
        <v>1017.1199999999999</v>
      </c>
    </row>
    <row r="625" spans="2:22" s="1" customFormat="1" x14ac:dyDescent="0.3">
      <c r="B625" s="325"/>
      <c r="C625" s="17"/>
      <c r="D625" s="148"/>
      <c r="E625" s="192"/>
      <c r="F625" s="631"/>
      <c r="G625" s="192"/>
      <c r="H625" s="631"/>
      <c r="I625" s="192"/>
      <c r="J625" s="631"/>
      <c r="K625" s="192"/>
      <c r="L625" s="631"/>
      <c r="M625" s="192"/>
      <c r="N625" s="631"/>
      <c r="O625" s="192"/>
      <c r="P625" s="631"/>
      <c r="Q625" s="268"/>
      <c r="R625" s="631"/>
      <c r="S625" s="252"/>
      <c r="T625" s="66"/>
      <c r="U625" s="2"/>
      <c r="V625" s="43"/>
    </row>
    <row r="626" spans="2:22" s="1" customFormat="1" ht="17.25" thickBot="1" x14ac:dyDescent="0.35">
      <c r="B626" s="325"/>
      <c r="C626" s="17"/>
      <c r="D626" s="3087" t="s">
        <v>164</v>
      </c>
      <c r="E626" s="3088"/>
      <c r="F626" s="3088"/>
      <c r="G626" s="3088"/>
      <c r="H626" s="3088"/>
      <c r="I626" s="3088"/>
      <c r="J626" s="637"/>
      <c r="K626" s="196"/>
      <c r="L626" s="637"/>
      <c r="M626" s="196"/>
      <c r="N626" s="637"/>
      <c r="O626" s="196"/>
      <c r="P626" s="637"/>
      <c r="Q626" s="269">
        <f>Q624-(SUM(Q625:Q625))</f>
        <v>776.56</v>
      </c>
      <c r="R626" s="637"/>
      <c r="S626" s="253"/>
      <c r="T626" s="66"/>
      <c r="U626" s="2"/>
      <c r="V626" s="43"/>
    </row>
    <row r="627" spans="2:22" x14ac:dyDescent="0.3">
      <c r="B627" s="473"/>
      <c r="C627" s="465"/>
      <c r="D627" s="453"/>
      <c r="E627" s="455"/>
      <c r="F627" s="485"/>
      <c r="G627" s="455"/>
      <c r="H627" s="485"/>
      <c r="I627" s="455"/>
      <c r="J627" s="485"/>
      <c r="K627" s="477"/>
      <c r="L627" s="492"/>
      <c r="M627" s="477"/>
      <c r="N627" s="492"/>
      <c r="O627" s="477"/>
      <c r="P627" s="492"/>
      <c r="Q627" s="477"/>
      <c r="R627" s="492"/>
      <c r="S627" s="454"/>
    </row>
    <row r="628" spans="2:22" s="1" customFormat="1" ht="17.25" thickBot="1" x14ac:dyDescent="0.35">
      <c r="B628" s="36">
        <f>RAB!B126</f>
        <v>3</v>
      </c>
      <c r="C628" s="17" t="str">
        <f>RAB!C126</f>
        <v>Pengecatan langit-langit (Jotun Jotaplast)</v>
      </c>
      <c r="D628" s="38"/>
      <c r="E628" s="137"/>
      <c r="F628" s="551"/>
      <c r="G628" s="137"/>
      <c r="H628" s="551"/>
      <c r="I628" s="137"/>
      <c r="J628" s="551"/>
      <c r="K628" s="156"/>
      <c r="L628" s="501"/>
      <c r="M628" s="165"/>
      <c r="N628" s="501"/>
      <c r="O628" s="156"/>
      <c r="P628" s="501"/>
      <c r="Q628" s="137"/>
      <c r="R628" s="642"/>
      <c r="S628" s="232"/>
      <c r="T628" s="18">
        <f>Q633</f>
        <v>656.06399999999996</v>
      </c>
      <c r="U628" s="2" t="s">
        <v>2</v>
      </c>
      <c r="V628" s="43"/>
    </row>
    <row r="629" spans="2:22" s="1" customFormat="1" x14ac:dyDescent="0.3">
      <c r="B629" s="325"/>
      <c r="C629" s="17"/>
      <c r="D629" s="8" t="s">
        <v>95</v>
      </c>
      <c r="E629" s="154" t="s">
        <v>150</v>
      </c>
      <c r="F629" s="493"/>
      <c r="G629" s="154" t="s">
        <v>151</v>
      </c>
      <c r="H629" s="493"/>
      <c r="I629" s="154" t="s">
        <v>152</v>
      </c>
      <c r="J629" s="493"/>
      <c r="K629" s="154" t="s">
        <v>153</v>
      </c>
      <c r="L629" s="494"/>
      <c r="M629" s="163" t="s">
        <v>32</v>
      </c>
      <c r="N629" s="494"/>
      <c r="O629" s="201" t="s">
        <v>163</v>
      </c>
      <c r="P629" s="494"/>
      <c r="Q629" s="202" t="s">
        <v>151</v>
      </c>
      <c r="R629" s="494"/>
      <c r="S629" s="226" t="s">
        <v>143</v>
      </c>
      <c r="T629" s="66"/>
      <c r="U629" s="2"/>
      <c r="V629" s="43"/>
    </row>
    <row r="630" spans="2:22" s="1" customFormat="1" x14ac:dyDescent="0.3">
      <c r="B630" s="325"/>
      <c r="C630" s="17"/>
      <c r="D630" s="643" t="s">
        <v>743</v>
      </c>
      <c r="E630" s="197"/>
      <c r="F630" s="640"/>
      <c r="G630" s="197"/>
      <c r="H630" s="640"/>
      <c r="I630" s="197"/>
      <c r="J630" s="640"/>
      <c r="K630" s="197"/>
      <c r="L630" s="640"/>
      <c r="M630" s="197"/>
      <c r="N630" s="640"/>
      <c r="O630" s="197"/>
      <c r="P630" s="640"/>
      <c r="Q630" s="323">
        <f>Q601</f>
        <v>542.55999999999995</v>
      </c>
      <c r="R630" s="640"/>
      <c r="S630" s="255"/>
      <c r="T630" s="66"/>
      <c r="U630" s="2"/>
      <c r="V630" s="43"/>
    </row>
    <row r="631" spans="2:22" s="1" customFormat="1" x14ac:dyDescent="0.3">
      <c r="B631" s="325"/>
      <c r="C631" s="17"/>
      <c r="D631" s="146" t="s">
        <v>744</v>
      </c>
      <c r="E631" s="416"/>
      <c r="F631" s="603"/>
      <c r="G631" s="416"/>
      <c r="H631" s="603"/>
      <c r="I631" s="416"/>
      <c r="J631" s="603"/>
      <c r="K631" s="416"/>
      <c r="L631" s="603"/>
      <c r="M631" s="416"/>
      <c r="N631" s="603"/>
      <c r="O631" s="416"/>
      <c r="P631" s="603"/>
      <c r="Q631" s="646">
        <f>Q478</f>
        <v>113.50399999999999</v>
      </c>
      <c r="R631" s="603"/>
      <c r="S631" s="245"/>
      <c r="T631" s="66"/>
      <c r="U631" s="2"/>
      <c r="V631" s="43"/>
    </row>
    <row r="632" spans="2:22" s="1" customFormat="1" x14ac:dyDescent="0.3">
      <c r="B632" s="325"/>
      <c r="C632" s="17"/>
      <c r="D632" s="148"/>
      <c r="E632" s="192"/>
      <c r="F632" s="631"/>
      <c r="G632" s="192"/>
      <c r="H632" s="631"/>
      <c r="I632" s="192"/>
      <c r="J632" s="631"/>
      <c r="K632" s="192"/>
      <c r="L632" s="631"/>
      <c r="M632" s="192"/>
      <c r="N632" s="631"/>
      <c r="O632" s="192"/>
      <c r="P632" s="631"/>
      <c r="Q632" s="192"/>
      <c r="R632" s="631"/>
      <c r="S632" s="252"/>
      <c r="T632" s="66"/>
      <c r="U632" s="2"/>
      <c r="V632" s="43"/>
    </row>
    <row r="633" spans="2:22" s="1" customFormat="1" ht="17.25" thickBot="1" x14ac:dyDescent="0.35">
      <c r="B633" s="325"/>
      <c r="C633" s="17"/>
      <c r="D633" s="3087" t="s">
        <v>164</v>
      </c>
      <c r="E633" s="3088"/>
      <c r="F633" s="3088"/>
      <c r="G633" s="3088"/>
      <c r="H633" s="3088"/>
      <c r="I633" s="3088"/>
      <c r="J633" s="637"/>
      <c r="K633" s="196"/>
      <c r="L633" s="637"/>
      <c r="M633" s="196"/>
      <c r="N633" s="637"/>
      <c r="O633" s="196"/>
      <c r="P633" s="637"/>
      <c r="Q633" s="196">
        <f>SUM(Q630:Q632)</f>
        <v>656.06399999999996</v>
      </c>
      <c r="R633" s="637"/>
      <c r="S633" s="253"/>
      <c r="T633" s="66"/>
      <c r="U633" s="2"/>
      <c r="V633" s="43"/>
    </row>
    <row r="634" spans="2:22" x14ac:dyDescent="0.3">
      <c r="B634" s="464"/>
      <c r="C634" s="465"/>
      <c r="D634" s="453"/>
      <c r="E634" s="477"/>
      <c r="F634" s="485"/>
      <c r="G634" s="477"/>
      <c r="H634" s="485"/>
      <c r="I634" s="477"/>
      <c r="J634" s="485"/>
      <c r="K634" s="438"/>
      <c r="L634" s="482"/>
      <c r="M634" s="439"/>
      <c r="N634" s="482"/>
      <c r="O634" s="438"/>
      <c r="P634" s="482"/>
      <c r="Q634" s="477"/>
      <c r="R634" s="492"/>
      <c r="S634" s="454"/>
    </row>
    <row r="635" spans="2:22" s="1" customFormat="1" ht="17.25" thickBot="1" x14ac:dyDescent="0.35">
      <c r="B635" s="36">
        <f>RAB!B127</f>
        <v>4</v>
      </c>
      <c r="C635" s="17" t="str">
        <f>RAB!C127</f>
        <v>Pengecatan Minyak bidang besi dan Kayu (Avian)</v>
      </c>
      <c r="D635" s="38"/>
      <c r="E635" s="137"/>
      <c r="F635" s="551"/>
      <c r="G635" s="137"/>
      <c r="H635" s="551"/>
      <c r="I635" s="137"/>
      <c r="J635" s="551"/>
      <c r="K635" s="156"/>
      <c r="L635" s="501"/>
      <c r="M635" s="165"/>
      <c r="N635" s="501"/>
      <c r="O635" s="156"/>
      <c r="P635" s="501"/>
      <c r="Q635" s="137"/>
      <c r="R635" s="642"/>
      <c r="S635" s="232"/>
      <c r="T635" s="18">
        <f>ROUNDDOWN(Q642,2)</f>
        <v>70.92</v>
      </c>
      <c r="U635" s="2" t="s">
        <v>2</v>
      </c>
      <c r="V635" s="43"/>
    </row>
    <row r="636" spans="2:22" s="1" customFormat="1" x14ac:dyDescent="0.3">
      <c r="B636" s="325"/>
      <c r="C636" s="17"/>
      <c r="D636" s="8" t="s">
        <v>95</v>
      </c>
      <c r="E636" s="154" t="s">
        <v>150</v>
      </c>
      <c r="F636" s="493"/>
      <c r="G636" s="154" t="s">
        <v>151</v>
      </c>
      <c r="H636" s="493"/>
      <c r="I636" s="154" t="s">
        <v>152</v>
      </c>
      <c r="J636" s="493"/>
      <c r="K636" s="154" t="s">
        <v>153</v>
      </c>
      <c r="L636" s="494"/>
      <c r="M636" s="163" t="s">
        <v>32</v>
      </c>
      <c r="N636" s="494"/>
      <c r="O636" s="201" t="s">
        <v>163</v>
      </c>
      <c r="P636" s="494"/>
      <c r="Q636" s="202" t="s">
        <v>151</v>
      </c>
      <c r="R636" s="494"/>
      <c r="S636" s="226" t="s">
        <v>143</v>
      </c>
      <c r="T636" s="66"/>
      <c r="U636" s="2"/>
      <c r="V636" s="43"/>
    </row>
    <row r="637" spans="2:22" s="1" customFormat="1" x14ac:dyDescent="0.3">
      <c r="B637" s="325"/>
      <c r="C637" s="17"/>
      <c r="D637" s="643" t="s">
        <v>745</v>
      </c>
      <c r="E637" s="331">
        <f>E491</f>
        <v>6.8</v>
      </c>
      <c r="F637" s="575" t="s">
        <v>185</v>
      </c>
      <c r="G637" s="331"/>
      <c r="H637" s="575"/>
      <c r="I637" s="331">
        <v>1.1000000000000001</v>
      </c>
      <c r="J637" s="575"/>
      <c r="K637" s="331">
        <v>4</v>
      </c>
      <c r="L637" s="575"/>
      <c r="M637" s="331"/>
      <c r="N637" s="575"/>
      <c r="O637" s="331"/>
      <c r="P637" s="575" t="s">
        <v>114</v>
      </c>
      <c r="Q637" s="331">
        <f>I637*E637*K637</f>
        <v>29.92</v>
      </c>
      <c r="R637" s="575"/>
      <c r="S637" s="577"/>
      <c r="T637" s="66"/>
      <c r="U637" s="2"/>
      <c r="V637" s="43"/>
    </row>
    <row r="638" spans="2:22" s="32" customFormat="1" x14ac:dyDescent="0.3">
      <c r="B638" s="124"/>
      <c r="C638" s="114"/>
      <c r="D638" s="676" t="s">
        <v>747</v>
      </c>
      <c r="E638" s="554"/>
      <c r="F638" s="557"/>
      <c r="G638" s="554"/>
      <c r="H638" s="557"/>
      <c r="I638" s="554"/>
      <c r="J638" s="557"/>
      <c r="K638" s="554"/>
      <c r="L638" s="557"/>
      <c r="M638" s="554"/>
      <c r="N638" s="557"/>
      <c r="O638" s="554"/>
      <c r="P638" s="557"/>
      <c r="Q638" s="554"/>
      <c r="R638" s="557"/>
      <c r="S638" s="677"/>
      <c r="T638" s="53"/>
      <c r="U638" s="50"/>
      <c r="V638" s="51"/>
    </row>
    <row r="639" spans="2:22" s="32" customFormat="1" x14ac:dyDescent="0.3">
      <c r="B639" s="124"/>
      <c r="C639" s="114"/>
      <c r="D639" s="678" t="str">
        <f>C503</f>
        <v>Pintu Type P2</v>
      </c>
      <c r="E639" s="554">
        <f>2+2+1.5+1.5+1.5</f>
        <v>8.5</v>
      </c>
      <c r="F639" s="557" t="s">
        <v>185</v>
      </c>
      <c r="G639" s="554">
        <v>0.25</v>
      </c>
      <c r="H639" s="557" t="s">
        <v>185</v>
      </c>
      <c r="I639" s="554"/>
      <c r="J639" s="557"/>
      <c r="K639" s="554">
        <v>8</v>
      </c>
      <c r="L639" s="557"/>
      <c r="M639" s="554"/>
      <c r="N639" s="557"/>
      <c r="O639" s="554"/>
      <c r="P639" s="557" t="s">
        <v>114</v>
      </c>
      <c r="Q639" s="554">
        <f>K639*G639*E639</f>
        <v>17</v>
      </c>
      <c r="R639" s="557"/>
      <c r="S639" s="677"/>
      <c r="T639" s="53"/>
      <c r="U639" s="50"/>
      <c r="V639" s="51"/>
    </row>
    <row r="640" spans="2:22" s="32" customFormat="1" x14ac:dyDescent="0.3">
      <c r="B640" s="124"/>
      <c r="C640" s="114"/>
      <c r="D640" s="678" t="s">
        <v>768</v>
      </c>
      <c r="E640" s="554">
        <f>1.5</f>
        <v>1.5</v>
      </c>
      <c r="F640" s="557" t="s">
        <v>185</v>
      </c>
      <c r="G640" s="554">
        <v>2</v>
      </c>
      <c r="H640" s="557" t="s">
        <v>185</v>
      </c>
      <c r="I640" s="554"/>
      <c r="J640" s="557"/>
      <c r="K640" s="554">
        <v>8</v>
      </c>
      <c r="L640" s="557"/>
      <c r="M640" s="554"/>
      <c r="N640" s="557"/>
      <c r="O640" s="554"/>
      <c r="P640" s="557" t="s">
        <v>114</v>
      </c>
      <c r="Q640" s="554">
        <f>K640*G640*E640</f>
        <v>24</v>
      </c>
      <c r="R640" s="557"/>
      <c r="S640" s="677"/>
      <c r="T640" s="53"/>
      <c r="U640" s="50"/>
      <c r="V640" s="51"/>
    </row>
    <row r="641" spans="2:24" s="32" customFormat="1" x14ac:dyDescent="0.3">
      <c r="B641" s="124"/>
      <c r="C641" s="114"/>
      <c r="D641" s="679"/>
      <c r="E641" s="592"/>
      <c r="F641" s="593"/>
      <c r="G641" s="592"/>
      <c r="H641" s="593"/>
      <c r="I641" s="592"/>
      <c r="J641" s="593"/>
      <c r="K641" s="592"/>
      <c r="L641" s="593"/>
      <c r="M641" s="592"/>
      <c r="N641" s="593"/>
      <c r="O641" s="592"/>
      <c r="P641" s="593"/>
      <c r="Q641" s="592"/>
      <c r="R641" s="593"/>
      <c r="S641" s="599"/>
      <c r="T641" s="53"/>
      <c r="U641" s="50"/>
      <c r="V641" s="51"/>
    </row>
    <row r="642" spans="2:24" s="32" customFormat="1" ht="17.25" thickBot="1" x14ac:dyDescent="0.35">
      <c r="B642" s="124"/>
      <c r="C642" s="114"/>
      <c r="D642" s="3085" t="s">
        <v>164</v>
      </c>
      <c r="E642" s="3086"/>
      <c r="F642" s="3086"/>
      <c r="G642" s="3086"/>
      <c r="H642" s="3086"/>
      <c r="I642" s="3086"/>
      <c r="J642" s="680"/>
      <c r="K642" s="681"/>
      <c r="L642" s="680"/>
      <c r="M642" s="681"/>
      <c r="N642" s="680"/>
      <c r="O642" s="681"/>
      <c r="P642" s="680"/>
      <c r="Q642" s="683">
        <f>SUM(Q637:Q641)</f>
        <v>70.92</v>
      </c>
      <c r="R642" s="680"/>
      <c r="S642" s="682"/>
      <c r="T642" s="53"/>
      <c r="U642" s="50"/>
      <c r="V642" s="51"/>
    </row>
    <row r="643" spans="2:24" s="1" customFormat="1" x14ac:dyDescent="0.3">
      <c r="B643" s="325"/>
      <c r="C643" s="17"/>
      <c r="D643" s="38"/>
      <c r="E643" s="208"/>
      <c r="F643" s="551"/>
      <c r="G643" s="208"/>
      <c r="H643" s="551"/>
      <c r="I643" s="208"/>
      <c r="J643" s="551"/>
      <c r="K643" s="137"/>
      <c r="L643" s="642"/>
      <c r="M643" s="137"/>
      <c r="N643" s="642"/>
      <c r="O643" s="137"/>
      <c r="P643" s="642"/>
      <c r="Q643" s="137"/>
      <c r="R643" s="642"/>
      <c r="S643" s="241"/>
      <c r="T643" s="66"/>
      <c r="U643" s="2"/>
      <c r="V643" s="43"/>
    </row>
    <row r="644" spans="2:24" ht="17.25" thickBot="1" x14ac:dyDescent="0.35">
      <c r="B644" s="977" t="str">
        <f>RAB!B130</f>
        <v>VIII</v>
      </c>
      <c r="C644" s="112" t="str">
        <f>RAB!C130</f>
        <v>PEKERJAAN SANITAIR</v>
      </c>
      <c r="D644" s="1"/>
      <c r="E644" s="153"/>
      <c r="F644" s="480"/>
      <c r="G644" s="153"/>
      <c r="H644" s="480"/>
      <c r="I644" s="153"/>
      <c r="J644" s="480"/>
      <c r="K644" s="153"/>
      <c r="L644" s="480"/>
      <c r="M644" s="162"/>
      <c r="N644" s="480"/>
      <c r="O644" s="153"/>
      <c r="P644" s="480"/>
      <c r="Q644" s="200"/>
      <c r="R644" s="480"/>
      <c r="S644" s="224"/>
      <c r="T644" s="18"/>
      <c r="U644" s="2"/>
    </row>
    <row r="645" spans="2:24" x14ac:dyDescent="0.3">
      <c r="B645" s="325"/>
      <c r="C645" s="17"/>
      <c r="D645" s="141" t="s">
        <v>95</v>
      </c>
      <c r="E645" s="158" t="s">
        <v>150</v>
      </c>
      <c r="F645" s="641"/>
      <c r="G645" s="158" t="s">
        <v>151</v>
      </c>
      <c r="H645" s="641"/>
      <c r="I645" s="158" t="s">
        <v>152</v>
      </c>
      <c r="J645" s="641"/>
      <c r="K645" s="158" t="s">
        <v>153</v>
      </c>
      <c r="L645" s="641"/>
      <c r="M645" s="167" t="s">
        <v>32</v>
      </c>
      <c r="N645" s="641"/>
      <c r="O645" s="158" t="s">
        <v>163</v>
      </c>
      <c r="P645" s="641"/>
      <c r="Q645" s="222" t="s">
        <v>151</v>
      </c>
      <c r="R645" s="641"/>
      <c r="S645" s="242" t="s">
        <v>143</v>
      </c>
      <c r="T645" s="66"/>
      <c r="U645" s="2"/>
    </row>
    <row r="646" spans="2:24" x14ac:dyDescent="0.3">
      <c r="B646" s="325"/>
      <c r="C646" s="17"/>
      <c r="D646" s="978" t="e">
        <f>RAB!#REF!</f>
        <v>#REF!</v>
      </c>
      <c r="E646" s="979"/>
      <c r="F646" s="565"/>
      <c r="G646" s="979"/>
      <c r="H646" s="565"/>
      <c r="I646" s="979"/>
      <c r="J646" s="565"/>
      <c r="K646" s="979">
        <v>2</v>
      </c>
      <c r="L646" s="565"/>
      <c r="M646" s="979"/>
      <c r="N646" s="565"/>
      <c r="O646" s="979"/>
      <c r="P646" s="565"/>
      <c r="Q646" s="979"/>
      <c r="R646" s="565" t="s">
        <v>114</v>
      </c>
      <c r="S646" s="980">
        <f>K646</f>
        <v>2</v>
      </c>
      <c r="T646" s="972">
        <f>ROUNDDOWN(S646,2)</f>
        <v>2</v>
      </c>
      <c r="U646" s="981" t="s">
        <v>32</v>
      </c>
      <c r="W646" s="467"/>
      <c r="X646" s="467"/>
    </row>
    <row r="647" spans="2:24" x14ac:dyDescent="0.3">
      <c r="B647" s="325"/>
      <c r="C647" s="17"/>
      <c r="D647" s="988"/>
      <c r="E647" s="983"/>
      <c r="F647" s="588"/>
      <c r="G647" s="983"/>
      <c r="H647" s="588"/>
      <c r="I647" s="983"/>
      <c r="J647" s="588"/>
      <c r="K647" s="983"/>
      <c r="L647" s="588"/>
      <c r="M647" s="983"/>
      <c r="N647" s="588"/>
      <c r="O647" s="983"/>
      <c r="P647" s="588"/>
      <c r="Q647" s="983"/>
      <c r="R647" s="588"/>
      <c r="S647" s="984"/>
      <c r="T647" s="972"/>
      <c r="U647" s="981"/>
      <c r="W647" s="467"/>
      <c r="X647" s="467"/>
    </row>
    <row r="648" spans="2:24" ht="26.1" customHeight="1" x14ac:dyDescent="0.3">
      <c r="B648" s="325"/>
      <c r="C648" s="17"/>
      <c r="D648" s="982" t="e">
        <f>RAB!#REF!</f>
        <v>#REF!</v>
      </c>
      <c r="E648" s="983">
        <v>15</v>
      </c>
      <c r="F648" s="588"/>
      <c r="G648" s="983"/>
      <c r="H648" s="588"/>
      <c r="I648" s="983"/>
      <c r="J648" s="588"/>
      <c r="K648" s="983"/>
      <c r="L648" s="588"/>
      <c r="M648" s="983"/>
      <c r="N648" s="588"/>
      <c r="O648" s="983"/>
      <c r="P648" s="588"/>
      <c r="Q648" s="983"/>
      <c r="R648" s="588" t="s">
        <v>114</v>
      </c>
      <c r="S648" s="984">
        <f>E648</f>
        <v>15</v>
      </c>
      <c r="T648" s="972">
        <f t="shared" ref="T648:T657" si="9">ROUNDDOWN(S648,2)</f>
        <v>15</v>
      </c>
      <c r="U648" s="987" t="s">
        <v>27</v>
      </c>
      <c r="W648" s="1028"/>
      <c r="X648" s="467"/>
    </row>
    <row r="649" spans="2:24" x14ac:dyDescent="0.3">
      <c r="B649" s="325"/>
      <c r="C649" s="17"/>
      <c r="D649" s="985" t="e">
        <f>RAB!#REF!</f>
        <v>#REF!</v>
      </c>
      <c r="E649" s="702"/>
      <c r="F649" s="518"/>
      <c r="G649" s="702"/>
      <c r="H649" s="518"/>
      <c r="I649" s="702"/>
      <c r="J649" s="518"/>
      <c r="K649" s="702">
        <v>2</v>
      </c>
      <c r="L649" s="518"/>
      <c r="M649" s="702"/>
      <c r="N649" s="518"/>
      <c r="O649" s="702"/>
      <c r="P649" s="518"/>
      <c r="Q649" s="702"/>
      <c r="R649" s="588" t="s">
        <v>114</v>
      </c>
      <c r="S649" s="986">
        <f>K649</f>
        <v>2</v>
      </c>
      <c r="T649" s="972">
        <f t="shared" si="9"/>
        <v>2</v>
      </c>
      <c r="U649" s="987" t="s">
        <v>9</v>
      </c>
      <c r="W649" s="1028"/>
      <c r="X649" s="467"/>
    </row>
    <row r="650" spans="2:24" x14ac:dyDescent="0.3">
      <c r="B650" s="325"/>
      <c r="C650" s="17"/>
      <c r="D650" s="985" t="e">
        <f>RAB!#REF!</f>
        <v>#REF!</v>
      </c>
      <c r="E650" s="702"/>
      <c r="F650" s="518"/>
      <c r="G650" s="702"/>
      <c r="H650" s="518"/>
      <c r="I650" s="702"/>
      <c r="J650" s="518"/>
      <c r="K650" s="702">
        <v>2</v>
      </c>
      <c r="L650" s="518"/>
      <c r="M650" s="702"/>
      <c r="N650" s="518"/>
      <c r="O650" s="702"/>
      <c r="P650" s="518"/>
      <c r="Q650" s="702"/>
      <c r="R650" s="588" t="s">
        <v>114</v>
      </c>
      <c r="S650" s="986">
        <f>K650</f>
        <v>2</v>
      </c>
      <c r="T650" s="972">
        <f t="shared" si="9"/>
        <v>2</v>
      </c>
      <c r="U650" s="987" t="s">
        <v>9</v>
      </c>
      <c r="W650" s="1028"/>
      <c r="X650" s="467"/>
    </row>
    <row r="651" spans="2:24" x14ac:dyDescent="0.3">
      <c r="B651" s="325"/>
      <c r="C651" s="17"/>
      <c r="D651" s="985" t="e">
        <f>RAB!#REF!</f>
        <v>#REF!</v>
      </c>
      <c r="E651" s="702"/>
      <c r="F651" s="518"/>
      <c r="G651" s="702"/>
      <c r="H651" s="518"/>
      <c r="I651" s="702"/>
      <c r="J651" s="518"/>
      <c r="K651" s="702">
        <v>2</v>
      </c>
      <c r="L651" s="518"/>
      <c r="M651" s="702"/>
      <c r="N651" s="518"/>
      <c r="O651" s="702"/>
      <c r="P651" s="518"/>
      <c r="Q651" s="702"/>
      <c r="R651" s="588" t="s">
        <v>114</v>
      </c>
      <c r="S651" s="986">
        <f>K651</f>
        <v>2</v>
      </c>
      <c r="T651" s="972">
        <f t="shared" si="9"/>
        <v>2</v>
      </c>
      <c r="U651" s="987" t="s">
        <v>9</v>
      </c>
      <c r="W651" s="1028"/>
      <c r="X651" s="467"/>
    </row>
    <row r="652" spans="2:24" x14ac:dyDescent="0.3">
      <c r="B652" s="325"/>
      <c r="C652" s="17"/>
      <c r="D652" s="985" t="e">
        <f>RAB!#REF!</f>
        <v>#REF!</v>
      </c>
      <c r="E652" s="702">
        <v>27</v>
      </c>
      <c r="F652" s="518"/>
      <c r="G652" s="702"/>
      <c r="H652" s="518"/>
      <c r="I652" s="702"/>
      <c r="J652" s="518"/>
      <c r="K652" s="702"/>
      <c r="L652" s="518"/>
      <c r="M652" s="702"/>
      <c r="N652" s="518"/>
      <c r="O652" s="702"/>
      <c r="P652" s="518"/>
      <c r="Q652" s="702"/>
      <c r="R652" s="588" t="s">
        <v>114</v>
      </c>
      <c r="S652" s="986">
        <f>E652</f>
        <v>27</v>
      </c>
      <c r="T652" s="972">
        <f t="shared" si="9"/>
        <v>27</v>
      </c>
      <c r="U652" s="987" t="s">
        <v>27</v>
      </c>
      <c r="W652" s="1028"/>
      <c r="X652" s="467"/>
    </row>
    <row r="653" spans="2:24" ht="26.1" customHeight="1" x14ac:dyDescent="0.3">
      <c r="B653" s="325"/>
      <c r="C653" s="17"/>
      <c r="D653" s="985" t="e">
        <f>RAB!#REF!</f>
        <v>#REF!</v>
      </c>
      <c r="E653" s="702"/>
      <c r="F653" s="518"/>
      <c r="G653" s="702"/>
      <c r="H653" s="518"/>
      <c r="I653" s="702"/>
      <c r="J653" s="518"/>
      <c r="K653" s="702">
        <v>2</v>
      </c>
      <c r="L653" s="518"/>
      <c r="M653" s="702"/>
      <c r="N653" s="518"/>
      <c r="O653" s="702"/>
      <c r="P653" s="518"/>
      <c r="Q653" s="702"/>
      <c r="R653" s="588" t="s">
        <v>114</v>
      </c>
      <c r="S653" s="986">
        <f>K653</f>
        <v>2</v>
      </c>
      <c r="T653" s="972">
        <f t="shared" si="9"/>
        <v>2</v>
      </c>
      <c r="U653" s="987" t="s">
        <v>9</v>
      </c>
      <c r="W653" s="1028"/>
      <c r="X653" s="467"/>
    </row>
    <row r="654" spans="2:24" x14ac:dyDescent="0.3">
      <c r="B654" s="325"/>
      <c r="C654" s="17"/>
      <c r="D654" s="985" t="e">
        <f>RAB!#REF!</f>
        <v>#REF!</v>
      </c>
      <c r="E654" s="702"/>
      <c r="F654" s="518"/>
      <c r="G654" s="702"/>
      <c r="H654" s="518"/>
      <c r="I654" s="702"/>
      <c r="J654" s="518"/>
      <c r="K654" s="702">
        <v>2</v>
      </c>
      <c r="L654" s="518"/>
      <c r="M654" s="702"/>
      <c r="N654" s="518"/>
      <c r="O654" s="702"/>
      <c r="P654" s="518"/>
      <c r="Q654" s="702"/>
      <c r="R654" s="588" t="s">
        <v>114</v>
      </c>
      <c r="S654" s="986">
        <f>K654</f>
        <v>2</v>
      </c>
      <c r="T654" s="972">
        <f t="shared" si="9"/>
        <v>2</v>
      </c>
      <c r="U654" s="987" t="s">
        <v>9</v>
      </c>
      <c r="W654" s="1028"/>
      <c r="X654" s="467"/>
    </row>
    <row r="655" spans="2:24" x14ac:dyDescent="0.3">
      <c r="B655" s="325"/>
      <c r="C655" s="17"/>
      <c r="D655" s="985" t="e">
        <f>RAB!#REF!</f>
        <v>#REF!</v>
      </c>
      <c r="E655" s="702">
        <v>12</v>
      </c>
      <c r="F655" s="518"/>
      <c r="G655" s="702"/>
      <c r="H655" s="518"/>
      <c r="I655" s="702"/>
      <c r="J655" s="518"/>
      <c r="K655" s="702"/>
      <c r="L655" s="518"/>
      <c r="M655" s="702"/>
      <c r="N655" s="518"/>
      <c r="O655" s="702"/>
      <c r="P655" s="518"/>
      <c r="Q655" s="702"/>
      <c r="R655" s="588" t="s">
        <v>114</v>
      </c>
      <c r="S655" s="986">
        <f>E655</f>
        <v>12</v>
      </c>
      <c r="T655" s="972">
        <f t="shared" si="9"/>
        <v>12</v>
      </c>
      <c r="U655" s="987" t="s">
        <v>27</v>
      </c>
      <c r="W655" s="1028"/>
      <c r="X655" s="467"/>
    </row>
    <row r="656" spans="2:24" ht="26.1" customHeight="1" x14ac:dyDescent="0.3">
      <c r="B656" s="325"/>
      <c r="C656" s="17"/>
      <c r="D656" s="985" t="e">
        <f>RAB!#REF!</f>
        <v>#REF!</v>
      </c>
      <c r="E656" s="702"/>
      <c r="F656" s="518"/>
      <c r="G656" s="702"/>
      <c r="H656" s="518"/>
      <c r="I656" s="702"/>
      <c r="J656" s="518"/>
      <c r="K656" s="702">
        <v>1</v>
      </c>
      <c r="L656" s="518"/>
      <c r="M656" s="702"/>
      <c r="N656" s="518"/>
      <c r="O656" s="702"/>
      <c r="P656" s="518"/>
      <c r="Q656" s="702"/>
      <c r="R656" s="588" t="s">
        <v>114</v>
      </c>
      <c r="S656" s="986">
        <f>K656</f>
        <v>1</v>
      </c>
      <c r="T656" s="972">
        <f t="shared" si="9"/>
        <v>1</v>
      </c>
      <c r="U656" s="987" t="s">
        <v>837</v>
      </c>
      <c r="W656" s="1028"/>
      <c r="X656" s="467"/>
    </row>
    <row r="657" spans="2:24" ht="26.1" customHeight="1" x14ac:dyDescent="0.3">
      <c r="B657" s="325"/>
      <c r="C657" s="17"/>
      <c r="D657" s="985" t="e">
        <f>RAB!#REF!</f>
        <v>#REF!</v>
      </c>
      <c r="E657" s="702"/>
      <c r="F657" s="518"/>
      <c r="G657" s="702"/>
      <c r="H657" s="518"/>
      <c r="I657" s="702"/>
      <c r="J657" s="518"/>
      <c r="K657" s="702">
        <v>1</v>
      </c>
      <c r="L657" s="518"/>
      <c r="M657" s="702"/>
      <c r="N657" s="518"/>
      <c r="O657" s="702"/>
      <c r="P657" s="518"/>
      <c r="Q657" s="702"/>
      <c r="R657" s="588" t="s">
        <v>114</v>
      </c>
      <c r="S657" s="986">
        <f>K657</f>
        <v>1</v>
      </c>
      <c r="T657" s="972">
        <f t="shared" si="9"/>
        <v>1</v>
      </c>
      <c r="U657" s="987" t="s">
        <v>132</v>
      </c>
      <c r="W657" s="1028"/>
      <c r="X657" s="467"/>
    </row>
    <row r="658" spans="2:24" x14ac:dyDescent="0.3">
      <c r="B658" s="473"/>
      <c r="C658" s="465"/>
      <c r="D658" s="970"/>
      <c r="E658" s="695"/>
      <c r="F658" s="692"/>
      <c r="G658" s="695"/>
      <c r="H658" s="692"/>
      <c r="I658" s="695"/>
      <c r="J658" s="692"/>
      <c r="K658" s="695"/>
      <c r="L658" s="692"/>
      <c r="M658" s="695"/>
      <c r="N658" s="692"/>
      <c r="O658" s="695"/>
      <c r="P658" s="692"/>
      <c r="Q658" s="695"/>
      <c r="R658" s="692"/>
      <c r="S658" s="693"/>
      <c r="T658" s="474"/>
      <c r="W658" s="467"/>
      <c r="X658" s="467"/>
    </row>
    <row r="659" spans="2:24" x14ac:dyDescent="0.3">
      <c r="B659" s="473"/>
      <c r="C659" s="465"/>
      <c r="D659" s="990" t="str">
        <f>RAB!C131</f>
        <v>Instalasi Pipa Air Bersih Pipa PPR PN 10.</v>
      </c>
      <c r="E659" s="691"/>
      <c r="F659" s="517"/>
      <c r="G659" s="691"/>
      <c r="H659" s="517"/>
      <c r="I659" s="691"/>
      <c r="J659" s="517"/>
      <c r="K659" s="691"/>
      <c r="L659" s="517"/>
      <c r="M659" s="691"/>
      <c r="N659" s="517"/>
      <c r="O659" s="691"/>
      <c r="P659" s="517"/>
      <c r="Q659" s="691"/>
      <c r="R659" s="517"/>
      <c r="S659" s="519"/>
      <c r="T659" s="474"/>
      <c r="U659" s="987"/>
      <c r="W659" s="467"/>
      <c r="X659" s="467"/>
    </row>
    <row r="660" spans="2:24" x14ac:dyDescent="0.3">
      <c r="B660" s="473"/>
      <c r="C660" s="465"/>
      <c r="D660" s="991" t="str">
        <f>RAB!D132</f>
        <v>Dia. 20 mm (1/2")</v>
      </c>
      <c r="E660" s="691">
        <v>60</v>
      </c>
      <c r="F660" s="517"/>
      <c r="G660" s="691"/>
      <c r="H660" s="517"/>
      <c r="I660" s="691"/>
      <c r="J660" s="517"/>
      <c r="K660" s="691"/>
      <c r="L660" s="517"/>
      <c r="M660" s="691"/>
      <c r="N660" s="517"/>
      <c r="O660" s="691"/>
      <c r="P660" s="517"/>
      <c r="Q660" s="691"/>
      <c r="R660" s="588" t="s">
        <v>114</v>
      </c>
      <c r="S660" s="986">
        <f>E660</f>
        <v>60</v>
      </c>
      <c r="T660" s="972">
        <f t="shared" ref="T660:T670" si="10">ROUNDDOWN(S660,2)</f>
        <v>60</v>
      </c>
      <c r="U660" s="987" t="s">
        <v>27</v>
      </c>
      <c r="W660" s="1029"/>
      <c r="X660" s="1030"/>
    </row>
    <row r="661" spans="2:24" x14ac:dyDescent="0.3">
      <c r="B661" s="473"/>
      <c r="C661" s="465"/>
      <c r="D661" s="991" t="str">
        <f>RAB!D133</f>
        <v xml:space="preserve">Gate Valve Dia 15 mm (1/2") </v>
      </c>
      <c r="E661" s="691">
        <v>1</v>
      </c>
      <c r="F661" s="517"/>
      <c r="G661" s="691"/>
      <c r="H661" s="517"/>
      <c r="I661" s="691"/>
      <c r="J661" s="517"/>
      <c r="K661" s="691"/>
      <c r="L661" s="517"/>
      <c r="M661" s="691"/>
      <c r="N661" s="517"/>
      <c r="O661" s="691"/>
      <c r="P661" s="517"/>
      <c r="Q661" s="691"/>
      <c r="R661" s="588" t="s">
        <v>114</v>
      </c>
      <c r="S661" s="986">
        <f>E661</f>
        <v>1</v>
      </c>
      <c r="T661" s="972">
        <f t="shared" si="10"/>
        <v>1</v>
      </c>
      <c r="U661" s="987" t="s">
        <v>9</v>
      </c>
      <c r="W661" s="1029"/>
      <c r="X661" s="1030"/>
    </row>
    <row r="662" spans="2:24" x14ac:dyDescent="0.3">
      <c r="B662" s="473"/>
      <c r="C662" s="465"/>
      <c r="D662" s="990"/>
      <c r="E662" s="691"/>
      <c r="F662" s="517"/>
      <c r="G662" s="691"/>
      <c r="H662" s="517"/>
      <c r="I662" s="691"/>
      <c r="J662" s="517"/>
      <c r="K662" s="691"/>
      <c r="L662" s="517"/>
      <c r="M662" s="691"/>
      <c r="N662" s="517"/>
      <c r="O662" s="691"/>
      <c r="P662" s="517"/>
      <c r="Q662" s="691"/>
      <c r="R662" s="588"/>
      <c r="S662" s="986"/>
      <c r="T662" s="972"/>
      <c r="W662" s="1029"/>
      <c r="X662" s="1030"/>
    </row>
    <row r="663" spans="2:24" ht="27" x14ac:dyDescent="0.3">
      <c r="B663" s="473"/>
      <c r="C663" s="465"/>
      <c r="D663" s="992" t="str">
        <f>RAB!C134</f>
        <v>Instalasi Pipa Air kotor dan bekas pipa PVC class AW 10 kg/cm3.</v>
      </c>
      <c r="E663" s="691"/>
      <c r="F663" s="517"/>
      <c r="G663" s="691"/>
      <c r="H663" s="517"/>
      <c r="I663" s="691"/>
      <c r="J663" s="517"/>
      <c r="K663" s="691"/>
      <c r="L663" s="517"/>
      <c r="M663" s="691"/>
      <c r="N663" s="517"/>
      <c r="O663" s="691"/>
      <c r="P663" s="517"/>
      <c r="Q663" s="691"/>
      <c r="R663" s="588"/>
      <c r="S663" s="986"/>
      <c r="T663" s="972"/>
      <c r="W663" s="1028"/>
      <c r="X663" s="971"/>
    </row>
    <row r="664" spans="2:24" x14ac:dyDescent="0.3">
      <c r="B664" s="473"/>
      <c r="C664" s="465"/>
      <c r="D664" s="991" t="str">
        <f>RAB!D135</f>
        <v>Dia. 150 mm (6") tinja</v>
      </c>
      <c r="E664" s="691">
        <v>6</v>
      </c>
      <c r="F664" s="517" t="s">
        <v>185</v>
      </c>
      <c r="G664" s="691"/>
      <c r="H664" s="517"/>
      <c r="I664" s="691"/>
      <c r="J664" s="517"/>
      <c r="K664" s="691">
        <f>2*2+4</f>
        <v>8</v>
      </c>
      <c r="L664" s="517"/>
      <c r="M664" s="691"/>
      <c r="N664" s="517"/>
      <c r="O664" s="691"/>
      <c r="P664" s="517"/>
      <c r="Q664" s="691"/>
      <c r="R664" s="588" t="s">
        <v>114</v>
      </c>
      <c r="S664" s="986">
        <v>15</v>
      </c>
      <c r="T664" s="972">
        <f t="shared" si="10"/>
        <v>15</v>
      </c>
      <c r="U664" s="987" t="s">
        <v>27</v>
      </c>
      <c r="W664" s="1028"/>
      <c r="X664" s="971"/>
    </row>
    <row r="665" spans="2:24" x14ac:dyDescent="0.3">
      <c r="B665" s="473"/>
      <c r="C665" s="465"/>
      <c r="D665" s="991" t="str">
        <f>RAB!D136</f>
        <v>Dia. 150 mm (6") Air kotor</v>
      </c>
      <c r="E665" s="691">
        <v>30</v>
      </c>
      <c r="F665" s="517"/>
      <c r="G665" s="691"/>
      <c r="H665" s="517"/>
      <c r="I665" s="691"/>
      <c r="J665" s="517"/>
      <c r="K665" s="691"/>
      <c r="L665" s="517"/>
      <c r="M665" s="691"/>
      <c r="N665" s="517"/>
      <c r="O665" s="691"/>
      <c r="P665" s="517"/>
      <c r="Q665" s="691"/>
      <c r="R665" s="588" t="s">
        <v>114</v>
      </c>
      <c r="S665" s="986">
        <f>E665</f>
        <v>30</v>
      </c>
      <c r="T665" s="972">
        <f t="shared" si="10"/>
        <v>30</v>
      </c>
      <c r="U665" s="987" t="s">
        <v>27</v>
      </c>
      <c r="W665" s="1028"/>
      <c r="X665" s="971"/>
    </row>
    <row r="666" spans="2:24" x14ac:dyDescent="0.3">
      <c r="B666" s="473"/>
      <c r="C666" s="465"/>
      <c r="D666" s="991" t="str">
        <f>RAB!D137</f>
        <v>Dia. 100 mm (4") Air hujan</v>
      </c>
      <c r="E666" s="691">
        <v>6</v>
      </c>
      <c r="F666" s="517" t="s">
        <v>185</v>
      </c>
      <c r="G666" s="691"/>
      <c r="H666" s="517"/>
      <c r="I666" s="691"/>
      <c r="J666" s="517"/>
      <c r="K666" s="691">
        <v>12</v>
      </c>
      <c r="L666" s="517"/>
      <c r="M666" s="691"/>
      <c r="N666" s="517"/>
      <c r="O666" s="691"/>
      <c r="P666" s="517"/>
      <c r="Q666" s="691"/>
      <c r="R666" s="588" t="s">
        <v>114</v>
      </c>
      <c r="S666" s="986">
        <f>K666*E666</f>
        <v>72</v>
      </c>
      <c r="T666" s="972">
        <f t="shared" si="10"/>
        <v>72</v>
      </c>
      <c r="U666" s="987" t="s">
        <v>27</v>
      </c>
      <c r="W666" s="1028"/>
      <c r="X666" s="971"/>
    </row>
    <row r="667" spans="2:24" x14ac:dyDescent="0.3">
      <c r="B667" s="473"/>
      <c r="C667" s="465"/>
      <c r="D667" s="970"/>
      <c r="E667" s="695"/>
      <c r="F667" s="692"/>
      <c r="G667" s="695"/>
      <c r="H667" s="692"/>
      <c r="I667" s="695"/>
      <c r="J667" s="692"/>
      <c r="K667" s="695"/>
      <c r="L667" s="692"/>
      <c r="M667" s="695"/>
      <c r="N667" s="692"/>
      <c r="O667" s="695"/>
      <c r="P667" s="692"/>
      <c r="Q667" s="695"/>
      <c r="R667" s="692"/>
      <c r="S667" s="693"/>
      <c r="T667" s="474"/>
      <c r="W667" s="467"/>
      <c r="X667" s="467"/>
    </row>
    <row r="668" spans="2:24" s="1" customFormat="1" x14ac:dyDescent="0.3">
      <c r="B668" s="325"/>
      <c r="C668" s="17"/>
      <c r="D668" s="991" t="str">
        <f>RAB!C138</f>
        <v>Kloset Jongkok porselin</v>
      </c>
      <c r="E668" s="691"/>
      <c r="F668" s="517"/>
      <c r="G668" s="691"/>
      <c r="H668" s="517"/>
      <c r="I668" s="691"/>
      <c r="J668" s="517"/>
      <c r="K668" s="691">
        <v>8</v>
      </c>
      <c r="L668" s="517"/>
      <c r="M668" s="691"/>
      <c r="N668" s="517"/>
      <c r="O668" s="691"/>
      <c r="P668" s="517"/>
      <c r="Q668" s="691"/>
      <c r="R668" s="588" t="s">
        <v>114</v>
      </c>
      <c r="S668" s="986">
        <f>K668</f>
        <v>8</v>
      </c>
      <c r="T668" s="972">
        <f t="shared" si="10"/>
        <v>8</v>
      </c>
      <c r="U668" s="987" t="s">
        <v>9</v>
      </c>
      <c r="V668" s="43"/>
    </row>
    <row r="669" spans="2:24" s="1" customFormat="1" x14ac:dyDescent="0.3">
      <c r="B669" s="325"/>
      <c r="C669" s="17"/>
      <c r="D669" s="991" t="str">
        <f>RAB!C139</f>
        <v xml:space="preserve">Floor Drain Stainless staill </v>
      </c>
      <c r="E669" s="691"/>
      <c r="F669" s="517"/>
      <c r="G669" s="691"/>
      <c r="H669" s="517"/>
      <c r="I669" s="691"/>
      <c r="J669" s="517"/>
      <c r="K669" s="691">
        <v>8</v>
      </c>
      <c r="L669" s="517"/>
      <c r="M669" s="691"/>
      <c r="N669" s="517"/>
      <c r="O669" s="691"/>
      <c r="P669" s="517"/>
      <c r="Q669" s="691"/>
      <c r="R669" s="588" t="s">
        <v>114</v>
      </c>
      <c r="S669" s="986">
        <f>K669</f>
        <v>8</v>
      </c>
      <c r="T669" s="972">
        <f t="shared" si="10"/>
        <v>8</v>
      </c>
      <c r="U669" s="987" t="s">
        <v>9</v>
      </c>
      <c r="V669" s="43"/>
    </row>
    <row r="670" spans="2:24" s="1" customFormat="1" x14ac:dyDescent="0.3">
      <c r="B670" s="325"/>
      <c r="C670" s="17"/>
      <c r="D670" s="991" t="str">
        <f>RAB!C140</f>
        <v>Kran air Stainless staill 1/2 inc</v>
      </c>
      <c r="E670" s="691"/>
      <c r="F670" s="517"/>
      <c r="G670" s="691"/>
      <c r="H670" s="517"/>
      <c r="I670" s="691"/>
      <c r="J670" s="517"/>
      <c r="K670" s="691">
        <v>8</v>
      </c>
      <c r="L670" s="517"/>
      <c r="M670" s="691"/>
      <c r="N670" s="517"/>
      <c r="O670" s="691"/>
      <c r="P670" s="517"/>
      <c r="Q670" s="691"/>
      <c r="R670" s="588" t="s">
        <v>114</v>
      </c>
      <c r="S670" s="986">
        <f>K670</f>
        <v>8</v>
      </c>
      <c r="T670" s="972">
        <f t="shared" si="10"/>
        <v>8</v>
      </c>
      <c r="U670" s="987" t="s">
        <v>9</v>
      </c>
      <c r="V670" s="43"/>
    </row>
    <row r="671" spans="2:24" x14ac:dyDescent="0.3">
      <c r="B671" s="473"/>
      <c r="C671" s="465"/>
      <c r="D671" s="989"/>
      <c r="E671" s="695"/>
      <c r="F671" s="692"/>
      <c r="G671" s="695"/>
      <c r="H671" s="692"/>
      <c r="I671" s="695"/>
      <c r="J671" s="692"/>
      <c r="K671" s="695"/>
      <c r="L671" s="692"/>
      <c r="M671" s="695"/>
      <c r="N671" s="692"/>
      <c r="O671" s="695"/>
      <c r="P671" s="692"/>
      <c r="Q671" s="695"/>
      <c r="R671" s="692"/>
      <c r="S671" s="693"/>
      <c r="T671" s="474"/>
    </row>
    <row r="672" spans="2:24" s="1" customFormat="1" x14ac:dyDescent="0.3">
      <c r="B672" s="325"/>
      <c r="C672" s="17"/>
      <c r="D672" s="990" t="str">
        <f>RAB!C141</f>
        <v>Septiktank  &amp; Resapan</v>
      </c>
      <c r="E672" s="691"/>
      <c r="F672" s="517"/>
      <c r="G672" s="691"/>
      <c r="H672" s="517"/>
      <c r="I672" s="691"/>
      <c r="J672" s="517"/>
      <c r="K672" s="691"/>
      <c r="L672" s="517"/>
      <c r="M672" s="691"/>
      <c r="N672" s="517"/>
      <c r="O672" s="691"/>
      <c r="P672" s="517"/>
      <c r="Q672" s="691"/>
      <c r="R672" s="517"/>
      <c r="S672" s="519"/>
      <c r="T672" s="134"/>
      <c r="U672" s="2"/>
      <c r="V672" s="43"/>
    </row>
    <row r="673" spans="2:23" s="1" customFormat="1" x14ac:dyDescent="0.3">
      <c r="B673" s="325"/>
      <c r="C673" s="17"/>
      <c r="D673" s="991" t="str">
        <f>RAB!D142</f>
        <v xml:space="preserve">- Galian Tanah </v>
      </c>
      <c r="E673" s="691"/>
      <c r="F673" s="517"/>
      <c r="G673" s="691"/>
      <c r="H673" s="517"/>
      <c r="I673" s="691"/>
      <c r="J673" s="517"/>
      <c r="K673" s="691"/>
      <c r="L673" s="517"/>
      <c r="M673" s="691"/>
      <c r="N673" s="517"/>
      <c r="O673" s="691"/>
      <c r="P673" s="517"/>
      <c r="Q673" s="691"/>
      <c r="R673" s="517"/>
      <c r="S673" s="519">
        <f>SUM(S674:S675)</f>
        <v>12.600000000000001</v>
      </c>
      <c r="T673" s="972">
        <f>ROUNDDOWN(S673,2)</f>
        <v>12.6</v>
      </c>
      <c r="U673" s="987" t="s">
        <v>3</v>
      </c>
      <c r="V673" s="43"/>
    </row>
    <row r="674" spans="2:23" s="1" customFormat="1" x14ac:dyDescent="0.3">
      <c r="B674" s="325"/>
      <c r="C674" s="17"/>
      <c r="D674" s="991" t="s">
        <v>838</v>
      </c>
      <c r="E674" s="691">
        <v>3</v>
      </c>
      <c r="F674" s="517" t="s">
        <v>185</v>
      </c>
      <c r="G674" s="691">
        <v>1.8</v>
      </c>
      <c r="H674" s="517" t="s">
        <v>185</v>
      </c>
      <c r="I674" s="691">
        <v>1.5</v>
      </c>
      <c r="J674" s="517"/>
      <c r="K674" s="691"/>
      <c r="L674" s="517"/>
      <c r="M674" s="691"/>
      <c r="N674" s="517"/>
      <c r="O674" s="691"/>
      <c r="P674" s="517"/>
      <c r="Q674" s="691"/>
      <c r="R674" s="517" t="s">
        <v>114</v>
      </c>
      <c r="S674" s="519">
        <f>I674*G674*E674</f>
        <v>8.1000000000000014</v>
      </c>
      <c r="T674" s="134"/>
      <c r="U674" s="2"/>
      <c r="V674" s="43"/>
    </row>
    <row r="675" spans="2:23" s="1" customFormat="1" x14ac:dyDescent="0.3">
      <c r="B675" s="325"/>
      <c r="C675" s="17"/>
      <c r="D675" s="991" t="s">
        <v>839</v>
      </c>
      <c r="E675" s="691">
        <v>2</v>
      </c>
      <c r="F675" s="517" t="s">
        <v>185</v>
      </c>
      <c r="G675" s="691">
        <v>1.5</v>
      </c>
      <c r="H675" s="517" t="s">
        <v>185</v>
      </c>
      <c r="I675" s="691">
        <v>1.5</v>
      </c>
      <c r="J675" s="517"/>
      <c r="K675" s="691"/>
      <c r="L675" s="517"/>
      <c r="M675" s="691"/>
      <c r="N675" s="517"/>
      <c r="O675" s="691"/>
      <c r="P675" s="517"/>
      <c r="Q675" s="691"/>
      <c r="R675" s="517" t="s">
        <v>114</v>
      </c>
      <c r="S675" s="519">
        <f>I675*G675*E675</f>
        <v>4.5</v>
      </c>
      <c r="T675" s="134"/>
      <c r="U675" s="2"/>
      <c r="V675" s="43"/>
    </row>
    <row r="676" spans="2:23" s="1" customFormat="1" x14ac:dyDescent="0.3">
      <c r="B676" s="325"/>
      <c r="C676" s="17"/>
      <c r="D676" s="991" t="str">
        <f>RAB!D143</f>
        <v>- Pasangan Batu-Bata 1 : 4</v>
      </c>
      <c r="E676" s="691"/>
      <c r="F676" s="517"/>
      <c r="G676" s="691"/>
      <c r="H676" s="517"/>
      <c r="I676" s="691"/>
      <c r="J676" s="517"/>
      <c r="K676" s="691"/>
      <c r="L676" s="517"/>
      <c r="M676" s="691"/>
      <c r="N676" s="517"/>
      <c r="O676" s="691"/>
      <c r="P676" s="517"/>
      <c r="Q676" s="327">
        <f>SUM(Q677:Q678)</f>
        <v>31.5</v>
      </c>
      <c r="R676" s="517"/>
      <c r="S676" s="519"/>
      <c r="T676" s="972">
        <f>ROUNDDOWN(Q676,2)</f>
        <v>31.5</v>
      </c>
      <c r="U676" s="987" t="s">
        <v>2</v>
      </c>
      <c r="V676" s="43"/>
    </row>
    <row r="677" spans="2:23" s="1" customFormat="1" x14ac:dyDescent="0.3">
      <c r="B677" s="325"/>
      <c r="C677" s="17"/>
      <c r="D677" s="991" t="s">
        <v>838</v>
      </c>
      <c r="E677" s="691">
        <f>(2.6+1.6)*3</f>
        <v>12.600000000000001</v>
      </c>
      <c r="F677" s="517" t="s">
        <v>185</v>
      </c>
      <c r="G677" s="691">
        <v>1.5</v>
      </c>
      <c r="H677" s="517"/>
      <c r="I677" s="691"/>
      <c r="J677" s="517"/>
      <c r="K677" s="691"/>
      <c r="L677" s="517"/>
      <c r="M677" s="691"/>
      <c r="N677" s="517"/>
      <c r="O677" s="691"/>
      <c r="P677" s="517" t="s">
        <v>114</v>
      </c>
      <c r="Q677" s="691">
        <f>G677*E677</f>
        <v>18.900000000000002</v>
      </c>
      <c r="R677" s="517"/>
      <c r="S677" s="519"/>
      <c r="T677" s="134"/>
      <c r="U677" s="2"/>
      <c r="V677" s="43"/>
    </row>
    <row r="678" spans="2:23" s="1" customFormat="1" x14ac:dyDescent="0.3">
      <c r="B678" s="325"/>
      <c r="C678" s="17"/>
      <c r="D678" s="991" t="s">
        <v>839</v>
      </c>
      <c r="E678" s="691">
        <f>(1.6+1.2)*3</f>
        <v>8.3999999999999986</v>
      </c>
      <c r="F678" s="517" t="s">
        <v>185</v>
      </c>
      <c r="G678" s="691">
        <v>1.5</v>
      </c>
      <c r="H678" s="517"/>
      <c r="I678" s="691"/>
      <c r="J678" s="517"/>
      <c r="K678" s="691"/>
      <c r="L678" s="517"/>
      <c r="M678" s="691"/>
      <c r="N678" s="517"/>
      <c r="O678" s="691"/>
      <c r="P678" s="517" t="s">
        <v>114</v>
      </c>
      <c r="Q678" s="691">
        <f>G678*E678</f>
        <v>12.599999999999998</v>
      </c>
      <c r="R678" s="517"/>
      <c r="S678" s="519"/>
      <c r="T678" s="134"/>
      <c r="U678" s="2"/>
      <c r="V678" s="43"/>
    </row>
    <row r="679" spans="2:23" s="1" customFormat="1" x14ac:dyDescent="0.3">
      <c r="B679" s="325"/>
      <c r="C679" s="17"/>
      <c r="D679" s="991" t="str">
        <f>RAB!D144</f>
        <v>- Plasteran 1 : 2 Tebal 1,5 cm</v>
      </c>
      <c r="E679" s="691"/>
      <c r="F679" s="517"/>
      <c r="G679" s="691"/>
      <c r="H679" s="517"/>
      <c r="I679" s="691"/>
      <c r="J679" s="517"/>
      <c r="K679" s="691">
        <f>Q676</f>
        <v>31.5</v>
      </c>
      <c r="L679" s="517" t="s">
        <v>185</v>
      </c>
      <c r="M679" s="691"/>
      <c r="N679" s="517"/>
      <c r="O679" s="691">
        <v>1</v>
      </c>
      <c r="P679" s="517" t="s">
        <v>114</v>
      </c>
      <c r="Q679" s="691">
        <f>O679*K679</f>
        <v>31.5</v>
      </c>
      <c r="R679" s="517"/>
      <c r="S679" s="519"/>
      <c r="T679" s="972">
        <f>ROUNDDOWN(Q679,2)</f>
        <v>31.5</v>
      </c>
      <c r="U679" s="987" t="s">
        <v>2</v>
      </c>
      <c r="V679" s="43"/>
    </row>
    <row r="680" spans="2:23" ht="27" x14ac:dyDescent="0.3">
      <c r="B680" s="473"/>
      <c r="C680" s="465"/>
      <c r="D680" s="993" t="str">
        <f>RAB!D145</f>
        <v>- Beton mutu f'c=14,5 Mpa (K 175) Lantai dan Cover</v>
      </c>
      <c r="E680" s="695"/>
      <c r="F680" s="692"/>
      <c r="G680" s="695"/>
      <c r="H680" s="692"/>
      <c r="I680" s="695"/>
      <c r="J680" s="692"/>
      <c r="K680" s="695"/>
      <c r="L680" s="692"/>
      <c r="M680" s="695"/>
      <c r="N680" s="692"/>
      <c r="O680" s="695"/>
      <c r="P680" s="692"/>
      <c r="Q680" s="695"/>
      <c r="R680" s="692"/>
      <c r="S680" s="519">
        <f>SUM(S681:S682)</f>
        <v>0.67200000000000004</v>
      </c>
      <c r="T680" s="972">
        <f>ROUNDDOWN(S680,2)</f>
        <v>0.67</v>
      </c>
      <c r="U680" s="987" t="s">
        <v>3</v>
      </c>
    </row>
    <row r="681" spans="2:23" s="1" customFormat="1" x14ac:dyDescent="0.3">
      <c r="B681" s="325"/>
      <c r="C681" s="17"/>
      <c r="D681" s="991" t="s">
        <v>838</v>
      </c>
      <c r="E681" s="691">
        <v>3</v>
      </c>
      <c r="F681" s="517" t="s">
        <v>185</v>
      </c>
      <c r="G681" s="691">
        <v>1.8</v>
      </c>
      <c r="H681" s="517" t="s">
        <v>185</v>
      </c>
      <c r="I681" s="691">
        <v>0.08</v>
      </c>
      <c r="J681" s="517"/>
      <c r="K681" s="691"/>
      <c r="L681" s="517"/>
      <c r="M681" s="691"/>
      <c r="N681" s="517"/>
      <c r="O681" s="691"/>
      <c r="P681" s="517"/>
      <c r="Q681" s="691"/>
      <c r="R681" s="517" t="s">
        <v>114</v>
      </c>
      <c r="S681" s="519">
        <f>I681*G681*E681</f>
        <v>0.43200000000000005</v>
      </c>
      <c r="T681" s="134"/>
      <c r="U681" s="2"/>
      <c r="V681" s="43"/>
    </row>
    <row r="682" spans="2:23" s="1" customFormat="1" x14ac:dyDescent="0.3">
      <c r="B682" s="325"/>
      <c r="C682" s="17"/>
      <c r="D682" s="991" t="s">
        <v>839</v>
      </c>
      <c r="E682" s="691">
        <v>2</v>
      </c>
      <c r="F682" s="517" t="s">
        <v>185</v>
      </c>
      <c r="G682" s="691">
        <v>1.5</v>
      </c>
      <c r="H682" s="517" t="s">
        <v>185</v>
      </c>
      <c r="I682" s="691">
        <f>I681</f>
        <v>0.08</v>
      </c>
      <c r="J682" s="517"/>
      <c r="K682" s="691"/>
      <c r="L682" s="517"/>
      <c r="M682" s="691"/>
      <c r="N682" s="517"/>
      <c r="O682" s="691"/>
      <c r="P682" s="517"/>
      <c r="Q682" s="691"/>
      <c r="R682" s="517" t="s">
        <v>114</v>
      </c>
      <c r="S682" s="519">
        <f>I682*G682*E682</f>
        <v>0.24</v>
      </c>
      <c r="T682" s="134"/>
      <c r="U682" s="2"/>
      <c r="V682" s="43"/>
    </row>
    <row r="683" spans="2:23" s="1" customFormat="1" x14ac:dyDescent="0.3">
      <c r="B683" s="325"/>
      <c r="C683" s="17"/>
      <c r="D683" s="991" t="str">
        <f>RAB!D146</f>
        <v>- Pembesian dengan Besi Polos</v>
      </c>
      <c r="E683" s="691"/>
      <c r="F683" s="517"/>
      <c r="G683" s="691"/>
      <c r="H683" s="517"/>
      <c r="I683" s="691"/>
      <c r="J683" s="517"/>
      <c r="K683" s="691"/>
      <c r="L683" s="517"/>
      <c r="M683" s="691"/>
      <c r="N683" s="517"/>
      <c r="O683" s="691"/>
      <c r="P683" s="517"/>
      <c r="Q683" s="691"/>
      <c r="R683" s="517"/>
      <c r="S683" s="519">
        <f>SUM(S684:S689)</f>
        <v>220.06914285714288</v>
      </c>
      <c r="T683" s="972">
        <f>ROUNDDOWN(S683,2)</f>
        <v>220.06</v>
      </c>
      <c r="U683" s="987" t="s">
        <v>0</v>
      </c>
      <c r="V683" s="43"/>
    </row>
    <row r="684" spans="2:23" s="1" customFormat="1" x14ac:dyDescent="0.3">
      <c r="B684" s="325"/>
      <c r="C684" s="17"/>
      <c r="D684" s="991" t="s">
        <v>838</v>
      </c>
      <c r="E684" s="691"/>
      <c r="F684" s="517"/>
      <c r="G684" s="691"/>
      <c r="H684" s="517"/>
      <c r="I684" s="691"/>
      <c r="J684" s="517"/>
      <c r="K684" s="691"/>
      <c r="L684" s="517"/>
      <c r="M684" s="691"/>
      <c r="N684" s="517"/>
      <c r="O684" s="691"/>
      <c r="P684" s="517"/>
      <c r="Q684" s="691"/>
      <c r="R684" s="517"/>
      <c r="S684" s="519"/>
      <c r="T684" s="134"/>
      <c r="U684" s="2"/>
      <c r="V684" s="43"/>
      <c r="W684" s="37">
        <f>E685/0.15</f>
        <v>24</v>
      </c>
    </row>
    <row r="685" spans="2:23" s="1" customFormat="1" x14ac:dyDescent="0.3">
      <c r="B685" s="325"/>
      <c r="C685" s="17"/>
      <c r="D685" s="994" t="s">
        <v>840</v>
      </c>
      <c r="E685" s="691">
        <v>3.6</v>
      </c>
      <c r="F685" s="517" t="s">
        <v>185</v>
      </c>
      <c r="G685" s="691"/>
      <c r="H685" s="517"/>
      <c r="I685" s="691"/>
      <c r="J685" s="517"/>
      <c r="K685" s="691">
        <v>2</v>
      </c>
      <c r="L685" s="517" t="s">
        <v>185</v>
      </c>
      <c r="M685" s="691">
        <v>16</v>
      </c>
      <c r="N685" s="517" t="s">
        <v>185</v>
      </c>
      <c r="O685" s="691">
        <v>7850</v>
      </c>
      <c r="P685" s="517" t="s">
        <v>185</v>
      </c>
      <c r="Q685" s="691">
        <f>22/7*0.005*0.005</f>
        <v>7.857142857142858E-5</v>
      </c>
      <c r="R685" s="517" t="s">
        <v>114</v>
      </c>
      <c r="S685" s="519">
        <f>Q685*O685*M685*K685*E685</f>
        <v>71.053714285714292</v>
      </c>
      <c r="T685" s="134"/>
      <c r="U685" s="2"/>
      <c r="V685" s="43"/>
      <c r="W685" s="37">
        <f>E686/0.15</f>
        <v>16</v>
      </c>
    </row>
    <row r="686" spans="2:23" s="1" customFormat="1" x14ac:dyDescent="0.3">
      <c r="B686" s="325"/>
      <c r="C686" s="17"/>
      <c r="D686" s="994" t="s">
        <v>252</v>
      </c>
      <c r="E686" s="691">
        <v>2.4</v>
      </c>
      <c r="F686" s="517" t="s">
        <v>185</v>
      </c>
      <c r="G686" s="691"/>
      <c r="H686" s="517"/>
      <c r="I686" s="691"/>
      <c r="J686" s="517"/>
      <c r="K686" s="691">
        <v>2</v>
      </c>
      <c r="L686" s="517" t="s">
        <v>185</v>
      </c>
      <c r="M686" s="691">
        <v>24</v>
      </c>
      <c r="N686" s="517" t="s">
        <v>185</v>
      </c>
      <c r="O686" s="691">
        <f>O685</f>
        <v>7850</v>
      </c>
      <c r="P686" s="517" t="s">
        <v>185</v>
      </c>
      <c r="Q686" s="691">
        <f>Q685</f>
        <v>7.857142857142858E-5</v>
      </c>
      <c r="R686" s="517" t="s">
        <v>114</v>
      </c>
      <c r="S686" s="519">
        <f>Q686*O686*M686*K686*E686</f>
        <v>71.053714285714292</v>
      </c>
      <c r="T686" s="134"/>
      <c r="U686" s="2"/>
      <c r="V686" s="43"/>
    </row>
    <row r="687" spans="2:23" s="1" customFormat="1" x14ac:dyDescent="0.3">
      <c r="B687" s="325"/>
      <c r="C687" s="17"/>
      <c r="D687" s="991" t="str">
        <f>D682</f>
        <v>st 2</v>
      </c>
      <c r="E687" s="691"/>
      <c r="F687" s="517"/>
      <c r="G687" s="691"/>
      <c r="H687" s="517"/>
      <c r="I687" s="691"/>
      <c r="J687" s="517"/>
      <c r="K687" s="691"/>
      <c r="L687" s="517"/>
      <c r="M687" s="691"/>
      <c r="N687" s="517"/>
      <c r="O687" s="691"/>
      <c r="P687" s="517"/>
      <c r="Q687" s="691"/>
      <c r="R687" s="517"/>
      <c r="S687" s="519"/>
      <c r="T687" s="134"/>
      <c r="U687" s="2"/>
      <c r="V687" s="43"/>
    </row>
    <row r="688" spans="2:23" s="1" customFormat="1" x14ac:dyDescent="0.3">
      <c r="B688" s="325"/>
      <c r="C688" s="17"/>
      <c r="D688" s="994" t="s">
        <v>840</v>
      </c>
      <c r="E688" s="691">
        <v>2.4</v>
      </c>
      <c r="F688" s="517" t="s">
        <v>185</v>
      </c>
      <c r="G688" s="691"/>
      <c r="H688" s="517"/>
      <c r="I688" s="691"/>
      <c r="J688" s="517"/>
      <c r="K688" s="691">
        <v>2</v>
      </c>
      <c r="L688" s="517" t="s">
        <v>185</v>
      </c>
      <c r="M688" s="691">
        <v>13</v>
      </c>
      <c r="N688" s="517" t="s">
        <v>185</v>
      </c>
      <c r="O688" s="691">
        <v>7850</v>
      </c>
      <c r="P688" s="517" t="s">
        <v>185</v>
      </c>
      <c r="Q688" s="691">
        <f>22/7*0.005*0.005</f>
        <v>7.857142857142858E-5</v>
      </c>
      <c r="R688" s="517" t="s">
        <v>114</v>
      </c>
      <c r="S688" s="519">
        <f>Q688*O688*M688*K688*E688</f>
        <v>38.487428571428573</v>
      </c>
      <c r="T688" s="134"/>
      <c r="U688" s="2"/>
      <c r="V688" s="43"/>
      <c r="W688" s="37">
        <f>E688/0.15</f>
        <v>16</v>
      </c>
    </row>
    <row r="689" spans="2:23" s="1" customFormat="1" x14ac:dyDescent="0.3">
      <c r="B689" s="325"/>
      <c r="C689" s="17"/>
      <c r="D689" s="994" t="s">
        <v>252</v>
      </c>
      <c r="E689" s="691">
        <v>2</v>
      </c>
      <c r="F689" s="517" t="s">
        <v>185</v>
      </c>
      <c r="G689" s="691"/>
      <c r="H689" s="517"/>
      <c r="I689" s="691"/>
      <c r="J689" s="517"/>
      <c r="K689" s="691">
        <v>2</v>
      </c>
      <c r="L689" s="517" t="s">
        <v>185</v>
      </c>
      <c r="M689" s="691">
        <v>16</v>
      </c>
      <c r="N689" s="517" t="s">
        <v>185</v>
      </c>
      <c r="O689" s="691">
        <f>O688</f>
        <v>7850</v>
      </c>
      <c r="P689" s="517" t="s">
        <v>185</v>
      </c>
      <c r="Q689" s="691">
        <f>Q688</f>
        <v>7.857142857142858E-5</v>
      </c>
      <c r="R689" s="517" t="s">
        <v>114</v>
      </c>
      <c r="S689" s="519">
        <f>Q689*O689*M689*K689*E689</f>
        <v>39.47428571428572</v>
      </c>
      <c r="T689" s="134"/>
      <c r="U689" s="2"/>
      <c r="V689" s="43"/>
      <c r="W689" s="37">
        <f>E689/0.15</f>
        <v>13.333333333333334</v>
      </c>
    </row>
    <row r="690" spans="2:23" s="1" customFormat="1" x14ac:dyDescent="0.3">
      <c r="B690" s="325"/>
      <c r="C690" s="17"/>
      <c r="D690" s="991" t="str">
        <f>RAB!D147</f>
        <v>- Bekisting plat</v>
      </c>
      <c r="E690" s="691"/>
      <c r="F690" s="517"/>
      <c r="G690" s="691"/>
      <c r="H690" s="517"/>
      <c r="I690" s="691"/>
      <c r="J690" s="517"/>
      <c r="K690" s="691"/>
      <c r="L690" s="517"/>
      <c r="M690" s="691"/>
      <c r="N690" s="517"/>
      <c r="O690" s="691"/>
      <c r="P690" s="517"/>
      <c r="Q690" s="327">
        <f>SUM(Q691:Q692)</f>
        <v>8.4</v>
      </c>
      <c r="R690" s="517"/>
      <c r="S690" s="519"/>
      <c r="T690" s="972">
        <f>ROUNDDOWN(Q690,2)</f>
        <v>8.4</v>
      </c>
      <c r="U690" s="987" t="s">
        <v>2</v>
      </c>
      <c r="V690" s="43"/>
    </row>
    <row r="691" spans="2:23" s="1" customFormat="1" x14ac:dyDescent="0.3">
      <c r="B691" s="325"/>
      <c r="C691" s="17"/>
      <c r="D691" s="991" t="s">
        <v>838</v>
      </c>
      <c r="E691" s="691">
        <v>3</v>
      </c>
      <c r="F691" s="517" t="s">
        <v>185</v>
      </c>
      <c r="G691" s="691">
        <v>1.8</v>
      </c>
      <c r="H691" s="517"/>
      <c r="I691" s="691"/>
      <c r="J691" s="517"/>
      <c r="K691" s="691"/>
      <c r="L691" s="517"/>
      <c r="M691" s="691"/>
      <c r="N691" s="517"/>
      <c r="O691" s="691"/>
      <c r="P691" s="517" t="s">
        <v>114</v>
      </c>
      <c r="Q691" s="691">
        <f>G691*E691</f>
        <v>5.4</v>
      </c>
      <c r="R691" s="517"/>
      <c r="S691" s="519"/>
      <c r="T691" s="134"/>
      <c r="U691" s="2"/>
      <c r="V691" s="43"/>
    </row>
    <row r="692" spans="2:23" s="1" customFormat="1" x14ac:dyDescent="0.3">
      <c r="B692" s="325"/>
      <c r="C692" s="17"/>
      <c r="D692" s="991" t="s">
        <v>839</v>
      </c>
      <c r="E692" s="691">
        <v>2</v>
      </c>
      <c r="F692" s="517" t="s">
        <v>185</v>
      </c>
      <c r="G692" s="691">
        <v>1.5</v>
      </c>
      <c r="H692" s="517"/>
      <c r="I692" s="691"/>
      <c r="J692" s="517"/>
      <c r="K692" s="691"/>
      <c r="L692" s="517"/>
      <c r="M692" s="691"/>
      <c r="N692" s="517"/>
      <c r="O692" s="691"/>
      <c r="P692" s="517" t="s">
        <v>114</v>
      </c>
      <c r="Q692" s="691">
        <f>G692*E692</f>
        <v>3</v>
      </c>
      <c r="R692" s="517"/>
      <c r="S692" s="519"/>
      <c r="T692" s="134"/>
      <c r="U692" s="2"/>
      <c r="V692" s="43"/>
    </row>
    <row r="693" spans="2:23" s="1" customFormat="1" x14ac:dyDescent="0.3">
      <c r="B693" s="325"/>
      <c r="C693" s="17"/>
      <c r="D693" s="991" t="str">
        <f>RAB!D148</f>
        <v>- Pipa Hawa</v>
      </c>
      <c r="E693" s="691"/>
      <c r="F693" s="517"/>
      <c r="G693" s="691"/>
      <c r="H693" s="517"/>
      <c r="I693" s="691"/>
      <c r="J693" s="517"/>
      <c r="K693" s="691">
        <v>2</v>
      </c>
      <c r="L693" s="517"/>
      <c r="M693" s="691"/>
      <c r="N693" s="517"/>
      <c r="O693" s="691"/>
      <c r="P693" s="517"/>
      <c r="Q693" s="691"/>
      <c r="R693" s="588" t="s">
        <v>114</v>
      </c>
      <c r="S693" s="986">
        <f>K693</f>
        <v>2</v>
      </c>
      <c r="T693" s="972">
        <f>ROUNDDOWN(S693,2)</f>
        <v>2</v>
      </c>
      <c r="U693" s="987" t="s">
        <v>9</v>
      </c>
      <c r="V693" s="43"/>
    </row>
    <row r="694" spans="2:23" s="1" customFormat="1" x14ac:dyDescent="0.3">
      <c r="B694" s="325"/>
      <c r="C694" s="17"/>
      <c r="D694" s="991" t="str">
        <f>RAB!D149</f>
        <v>- Pipa PVC 4 Inc Berlobang 4 inc</v>
      </c>
      <c r="E694" s="691">
        <v>9</v>
      </c>
      <c r="F694" s="517"/>
      <c r="G694" s="691"/>
      <c r="H694" s="517"/>
      <c r="I694" s="691"/>
      <c r="J694" s="517"/>
      <c r="K694" s="691"/>
      <c r="L694" s="517"/>
      <c r="M694" s="691"/>
      <c r="N694" s="517"/>
      <c r="O694" s="691"/>
      <c r="P694" s="517"/>
      <c r="Q694" s="691"/>
      <c r="R694" s="588" t="s">
        <v>114</v>
      </c>
      <c r="S694" s="986">
        <f>E694</f>
        <v>9</v>
      </c>
      <c r="T694" s="972">
        <f>ROUNDDOWN(S694,2)</f>
        <v>9</v>
      </c>
      <c r="U694" s="987" t="s">
        <v>27</v>
      </c>
      <c r="V694" s="43"/>
    </row>
    <row r="695" spans="2:23" s="1" customFormat="1" x14ac:dyDescent="0.3">
      <c r="B695" s="325"/>
      <c r="C695" s="17"/>
      <c r="D695" s="991" t="str">
        <f>RAB!D150</f>
        <v>- Lapisan ijuk</v>
      </c>
      <c r="E695" s="691">
        <v>3</v>
      </c>
      <c r="F695" s="517" t="s">
        <v>185</v>
      </c>
      <c r="G695" s="691">
        <f>22/7*0.2</f>
        <v>0.62857142857142856</v>
      </c>
      <c r="H695" s="517"/>
      <c r="I695" s="691"/>
      <c r="J695" s="517"/>
      <c r="K695" s="691"/>
      <c r="L695" s="517"/>
      <c r="M695" s="691"/>
      <c r="N695" s="517"/>
      <c r="O695" s="691"/>
      <c r="P695" s="517" t="s">
        <v>114</v>
      </c>
      <c r="Q695" s="691">
        <f>G695*E695</f>
        <v>1.8857142857142857</v>
      </c>
      <c r="R695" s="588"/>
      <c r="S695" s="986"/>
      <c r="T695" s="972">
        <f>ROUNDDOWN(Q695,2)</f>
        <v>1.88</v>
      </c>
      <c r="U695" s="987" t="s">
        <v>2</v>
      </c>
      <c r="V695" s="43"/>
    </row>
    <row r="696" spans="2:23" s="1" customFormat="1" x14ac:dyDescent="0.3">
      <c r="B696" s="325"/>
      <c r="C696" s="17"/>
      <c r="D696" s="991" t="str">
        <f>RAB!D151</f>
        <v>- Kerikil</v>
      </c>
      <c r="E696" s="691"/>
      <c r="F696" s="517"/>
      <c r="G696" s="691"/>
      <c r="H696" s="517"/>
      <c r="I696" s="691"/>
      <c r="J696" s="517"/>
      <c r="K696" s="691">
        <v>0.98000000000000009</v>
      </c>
      <c r="L696" s="517"/>
      <c r="M696" s="691"/>
      <c r="N696" s="517"/>
      <c r="O696" s="691"/>
      <c r="P696" s="517"/>
      <c r="Q696" s="691"/>
      <c r="R696" s="588" t="s">
        <v>114</v>
      </c>
      <c r="S696" s="986">
        <f>K696</f>
        <v>0.98000000000000009</v>
      </c>
      <c r="T696" s="972">
        <f>ROUNDDOWN(S696,2)</f>
        <v>0.98</v>
      </c>
      <c r="U696" s="987" t="s">
        <v>3</v>
      </c>
      <c r="V696" s="43"/>
    </row>
    <row r="697" spans="2:23" x14ac:dyDescent="0.3">
      <c r="B697" s="473"/>
      <c r="C697" s="465"/>
      <c r="D697" s="989"/>
      <c r="E697" s="695"/>
      <c r="F697" s="692"/>
      <c r="G697" s="695"/>
      <c r="H697" s="692"/>
      <c r="I697" s="695"/>
      <c r="J697" s="692"/>
      <c r="K697" s="695"/>
      <c r="L697" s="692"/>
      <c r="M697" s="695"/>
      <c r="N697" s="692"/>
      <c r="O697" s="695"/>
      <c r="P697" s="692"/>
      <c r="Q697" s="695"/>
      <c r="R697" s="692"/>
      <c r="S697" s="693"/>
      <c r="T697" s="474"/>
    </row>
    <row r="698" spans="2:23" s="1" customFormat="1" x14ac:dyDescent="0.3">
      <c r="B698" s="325"/>
      <c r="C698" s="17"/>
      <c r="D698" s="995" t="e">
        <f>RAB!#REF!</f>
        <v>#REF!</v>
      </c>
      <c r="E698" s="691"/>
      <c r="F698" s="517"/>
      <c r="G698" s="691"/>
      <c r="H698" s="517"/>
      <c r="I698" s="691"/>
      <c r="J698" s="517"/>
      <c r="K698" s="691"/>
      <c r="L698" s="517"/>
      <c r="M698" s="691"/>
      <c r="N698" s="517"/>
      <c r="O698" s="691"/>
      <c r="P698" s="517"/>
      <c r="Q698" s="691"/>
      <c r="R698" s="517"/>
      <c r="S698" s="519"/>
      <c r="T698" s="134"/>
      <c r="U698" s="2"/>
      <c r="V698" s="43"/>
    </row>
    <row r="699" spans="2:23" s="1" customFormat="1" x14ac:dyDescent="0.3">
      <c r="B699" s="325"/>
      <c r="C699" s="17"/>
      <c r="D699" s="991" t="e">
        <f>RAB!#REF!</f>
        <v>#REF!</v>
      </c>
      <c r="E699" s="691">
        <v>4</v>
      </c>
      <c r="F699" s="517" t="s">
        <v>185</v>
      </c>
      <c r="G699" s="691">
        <v>2</v>
      </c>
      <c r="H699" s="517" t="s">
        <v>185</v>
      </c>
      <c r="I699" s="691">
        <v>1.7</v>
      </c>
      <c r="J699" s="517"/>
      <c r="K699" s="691"/>
      <c r="L699" s="517"/>
      <c r="M699" s="691"/>
      <c r="N699" s="517"/>
      <c r="O699" s="691"/>
      <c r="P699" s="517"/>
      <c r="Q699" s="691"/>
      <c r="R699" s="517" t="s">
        <v>114</v>
      </c>
      <c r="S699" s="519">
        <f>I699*G699*E699</f>
        <v>13.6</v>
      </c>
      <c r="T699" s="972">
        <f>ROUNDDOWN(S699,2)</f>
        <v>13.6</v>
      </c>
      <c r="U699" s="987" t="s">
        <v>3</v>
      </c>
      <c r="V699" s="43"/>
    </row>
    <row r="700" spans="2:23" s="1" customFormat="1" x14ac:dyDescent="0.3">
      <c r="B700" s="325"/>
      <c r="C700" s="17"/>
      <c r="D700" s="991" t="e">
        <f>RAB!#REF!</f>
        <v>#REF!</v>
      </c>
      <c r="E700" s="691">
        <v>4</v>
      </c>
      <c r="F700" s="517" t="s">
        <v>185</v>
      </c>
      <c r="G700" s="691">
        <v>2</v>
      </c>
      <c r="H700" s="517" t="s">
        <v>185</v>
      </c>
      <c r="I700" s="691">
        <v>0.05</v>
      </c>
      <c r="J700" s="517"/>
      <c r="K700" s="691"/>
      <c r="L700" s="517"/>
      <c r="M700" s="691"/>
      <c r="N700" s="517"/>
      <c r="O700" s="691"/>
      <c r="P700" s="517"/>
      <c r="Q700" s="691"/>
      <c r="R700" s="517" t="s">
        <v>114</v>
      </c>
      <c r="S700" s="519">
        <f>I700*G700*E700</f>
        <v>0.4</v>
      </c>
      <c r="T700" s="972">
        <f>ROUNDDOWN(S700,2)</f>
        <v>0.4</v>
      </c>
      <c r="U700" s="987" t="s">
        <v>3</v>
      </c>
      <c r="V700" s="43"/>
    </row>
    <row r="701" spans="2:23" s="1" customFormat="1" x14ac:dyDescent="0.3">
      <c r="B701" s="325"/>
      <c r="C701" s="17"/>
      <c r="D701" s="1031" t="e">
        <f>RAB!#REF!</f>
        <v>#REF!</v>
      </c>
      <c r="E701" s="691">
        <v>4</v>
      </c>
      <c r="F701" s="517" t="s">
        <v>185</v>
      </c>
      <c r="G701" s="691">
        <v>2</v>
      </c>
      <c r="H701" s="517" t="s">
        <v>185</v>
      </c>
      <c r="I701" s="691">
        <v>0.2</v>
      </c>
      <c r="J701" s="517"/>
      <c r="K701" s="691"/>
      <c r="L701" s="517"/>
      <c r="M701" s="691"/>
      <c r="N701" s="517"/>
      <c r="O701" s="691"/>
      <c r="P701" s="517"/>
      <c r="Q701" s="691"/>
      <c r="R701" s="517" t="s">
        <v>114</v>
      </c>
      <c r="S701" s="519">
        <f>I701*G701*E701</f>
        <v>1.6</v>
      </c>
      <c r="T701" s="972">
        <f>ROUNDDOWN(S701,2)</f>
        <v>1.6</v>
      </c>
      <c r="U701" s="987" t="s">
        <v>3</v>
      </c>
      <c r="V701" s="43"/>
    </row>
    <row r="702" spans="2:23" s="1" customFormat="1" x14ac:dyDescent="0.3">
      <c r="B702" s="325"/>
      <c r="C702" s="17"/>
      <c r="D702" s="991" t="e">
        <f>RAB!#REF!</f>
        <v>#REF!</v>
      </c>
      <c r="E702" s="691"/>
      <c r="F702" s="517"/>
      <c r="G702" s="691"/>
      <c r="H702" s="517"/>
      <c r="I702" s="691"/>
      <c r="J702" s="517"/>
      <c r="K702" s="691"/>
      <c r="L702" s="517"/>
      <c r="M702" s="691"/>
      <c r="N702" s="517"/>
      <c r="O702" s="691"/>
      <c r="P702" s="517"/>
      <c r="Q702" s="691"/>
      <c r="R702" s="517"/>
      <c r="S702" s="519">
        <f>SUM(S703:S704)</f>
        <v>135.69285714285718</v>
      </c>
      <c r="T702" s="972">
        <f>ROUNDDOWN(S702,2)</f>
        <v>135.69</v>
      </c>
      <c r="U702" s="987" t="s">
        <v>0</v>
      </c>
      <c r="V702" s="43"/>
    </row>
    <row r="703" spans="2:23" s="1" customFormat="1" x14ac:dyDescent="0.3">
      <c r="B703" s="325"/>
      <c r="C703" s="17"/>
      <c r="D703" s="994" t="s">
        <v>840</v>
      </c>
      <c r="E703" s="691">
        <f>E699</f>
        <v>4</v>
      </c>
      <c r="F703" s="517" t="s">
        <v>185</v>
      </c>
      <c r="G703" s="691"/>
      <c r="H703" s="517"/>
      <c r="I703" s="691"/>
      <c r="J703" s="517"/>
      <c r="K703" s="691">
        <v>2</v>
      </c>
      <c r="L703" s="517" t="s">
        <v>185</v>
      </c>
      <c r="M703" s="691">
        <v>14</v>
      </c>
      <c r="N703" s="517" t="s">
        <v>185</v>
      </c>
      <c r="O703" s="691">
        <v>7850</v>
      </c>
      <c r="P703" s="517" t="s">
        <v>185</v>
      </c>
      <c r="Q703" s="691">
        <f>22/7*0.005*0.005</f>
        <v>7.857142857142858E-5</v>
      </c>
      <c r="R703" s="517" t="s">
        <v>114</v>
      </c>
      <c r="S703" s="519">
        <f>Q703*O703*M703*K703*E703</f>
        <v>69.080000000000013</v>
      </c>
      <c r="T703" s="134"/>
      <c r="U703" s="2"/>
      <c r="V703" s="43"/>
      <c r="W703" s="37">
        <f>E704/0.15</f>
        <v>13.333333333333334</v>
      </c>
    </row>
    <row r="704" spans="2:23" s="1" customFormat="1" x14ac:dyDescent="0.3">
      <c r="B704" s="325"/>
      <c r="C704" s="17"/>
      <c r="D704" s="994" t="s">
        <v>252</v>
      </c>
      <c r="E704" s="691">
        <f>G699</f>
        <v>2</v>
      </c>
      <c r="F704" s="517" t="s">
        <v>185</v>
      </c>
      <c r="G704" s="691"/>
      <c r="H704" s="517"/>
      <c r="I704" s="691"/>
      <c r="J704" s="517"/>
      <c r="K704" s="691">
        <v>2</v>
      </c>
      <c r="L704" s="517" t="s">
        <v>185</v>
      </c>
      <c r="M704" s="691">
        <v>27</v>
      </c>
      <c r="N704" s="517" t="s">
        <v>185</v>
      </c>
      <c r="O704" s="691">
        <f>O703</f>
        <v>7850</v>
      </c>
      <c r="P704" s="517" t="s">
        <v>185</v>
      </c>
      <c r="Q704" s="691">
        <f>Q703</f>
        <v>7.857142857142858E-5</v>
      </c>
      <c r="R704" s="517" t="s">
        <v>114</v>
      </c>
      <c r="S704" s="519">
        <f>Q704*O704*M704*K704*E704</f>
        <v>66.612857142857152</v>
      </c>
      <c r="T704" s="134"/>
      <c r="U704" s="2"/>
      <c r="V704" s="43"/>
      <c r="W704" s="37">
        <f>E703/0.15</f>
        <v>26.666666666666668</v>
      </c>
    </row>
    <row r="705" spans="2:23" s="1" customFormat="1" x14ac:dyDescent="0.3">
      <c r="B705" s="325"/>
      <c r="C705" s="17"/>
      <c r="D705" s="991" t="e">
        <f>RAB!#REF!</f>
        <v>#REF!</v>
      </c>
      <c r="E705" s="691"/>
      <c r="F705" s="517"/>
      <c r="G705" s="691"/>
      <c r="H705" s="517"/>
      <c r="I705" s="691"/>
      <c r="J705" s="517"/>
      <c r="K705" s="691">
        <v>2</v>
      </c>
      <c r="L705" s="517"/>
      <c r="M705" s="691"/>
      <c r="N705" s="517"/>
      <c r="O705" s="691"/>
      <c r="P705" s="517"/>
      <c r="Q705" s="691"/>
      <c r="R705" s="588" t="s">
        <v>114</v>
      </c>
      <c r="S705" s="986">
        <f>K705</f>
        <v>2</v>
      </c>
      <c r="T705" s="972">
        <f>ROUNDDOWN(S705,2)</f>
        <v>2</v>
      </c>
      <c r="U705" s="987" t="s">
        <v>9</v>
      </c>
      <c r="V705" s="43"/>
    </row>
    <row r="706" spans="2:23" s="1" customFormat="1" x14ac:dyDescent="0.3">
      <c r="B706" s="325"/>
      <c r="C706" s="17"/>
      <c r="D706" s="991" t="e">
        <f>RAB!#REF!</f>
        <v>#REF!</v>
      </c>
      <c r="E706" s="619"/>
      <c r="F706" s="526"/>
      <c r="G706" s="619"/>
      <c r="H706" s="526"/>
      <c r="I706" s="619"/>
      <c r="J706" s="526"/>
      <c r="K706" s="619"/>
      <c r="L706" s="526"/>
      <c r="M706" s="619"/>
      <c r="N706" s="526"/>
      <c r="O706" s="619"/>
      <c r="P706" s="526"/>
      <c r="Q706" s="619"/>
      <c r="R706" s="526"/>
      <c r="S706" s="620">
        <f>S699-6</f>
        <v>7.6</v>
      </c>
      <c r="T706" s="972">
        <f>ROUNDDOWN(S706,2)</f>
        <v>7.6</v>
      </c>
      <c r="U706" s="987" t="s">
        <v>3</v>
      </c>
      <c r="V706" s="43"/>
    </row>
    <row r="707" spans="2:23" x14ac:dyDescent="0.3">
      <c r="B707" s="473"/>
      <c r="C707" s="465"/>
      <c r="D707" s="475"/>
      <c r="E707" s="503"/>
      <c r="F707" s="694"/>
      <c r="G707" s="503"/>
      <c r="H707" s="694"/>
      <c r="I707" s="503"/>
      <c r="J707" s="694"/>
      <c r="K707" s="503"/>
      <c r="L707" s="694"/>
      <c r="M707" s="503"/>
      <c r="N707" s="694"/>
      <c r="O707" s="503"/>
      <c r="P707" s="694"/>
      <c r="Q707" s="503"/>
      <c r="R707" s="694"/>
      <c r="S707" s="550"/>
    </row>
    <row r="708" spans="2:23" x14ac:dyDescent="0.3">
      <c r="B708" s="473"/>
      <c r="C708" s="465"/>
      <c r="D708" s="658"/>
      <c r="E708" s="974"/>
      <c r="F708" s="975"/>
      <c r="G708" s="974"/>
      <c r="H708" s="975"/>
      <c r="I708" s="974"/>
      <c r="J708" s="975"/>
      <c r="K708" s="974"/>
      <c r="L708" s="975"/>
      <c r="M708" s="974"/>
      <c r="N708" s="975"/>
      <c r="O708" s="974"/>
      <c r="P708" s="975"/>
      <c r="Q708" s="974"/>
      <c r="R708" s="975"/>
      <c r="S708" s="976"/>
      <c r="W708" s="351">
        <f>2*22/7*1.5*0.8*0.8</f>
        <v>6.0342857142857156</v>
      </c>
    </row>
    <row r="709" spans="2:23" s="1002" customFormat="1" ht="17.25" thickBot="1" x14ac:dyDescent="0.25">
      <c r="B709" s="996" t="str">
        <f>RAB!B154</f>
        <v>IX</v>
      </c>
      <c r="C709" s="112" t="str">
        <f>RAB!C154</f>
        <v>PEKERJAAN ELEKTRIKAL</v>
      </c>
      <c r="D709" s="997"/>
      <c r="E709" s="998"/>
      <c r="F709" s="999"/>
      <c r="G709" s="998"/>
      <c r="H709" s="999"/>
      <c r="I709" s="998"/>
      <c r="J709" s="999"/>
      <c r="K709" s="998"/>
      <c r="L709" s="999"/>
      <c r="M709" s="998"/>
      <c r="N709" s="999"/>
      <c r="O709" s="998"/>
      <c r="P709" s="999"/>
      <c r="Q709" s="998"/>
      <c r="R709" s="999"/>
      <c r="S709" s="1000"/>
      <c r="T709" s="1001"/>
      <c r="U709" s="973"/>
      <c r="V709" s="1157"/>
    </row>
    <row r="710" spans="2:23" s="1" customFormat="1" x14ac:dyDescent="0.3">
      <c r="B710" s="325"/>
      <c r="C710" s="17"/>
      <c r="D710" s="8" t="s">
        <v>95</v>
      </c>
      <c r="E710" s="154" t="s">
        <v>150</v>
      </c>
      <c r="F710" s="493"/>
      <c r="G710" s="154" t="s">
        <v>151</v>
      </c>
      <c r="H710" s="493"/>
      <c r="I710" s="154" t="s">
        <v>152</v>
      </c>
      <c r="J710" s="493"/>
      <c r="K710" s="154" t="s">
        <v>153</v>
      </c>
      <c r="L710" s="494"/>
      <c r="M710" s="163" t="s">
        <v>32</v>
      </c>
      <c r="N710" s="494"/>
      <c r="O710" s="201" t="s">
        <v>163</v>
      </c>
      <c r="P710" s="494"/>
      <c r="Q710" s="202" t="s">
        <v>151</v>
      </c>
      <c r="R710" s="494"/>
      <c r="S710" s="226" t="s">
        <v>143</v>
      </c>
      <c r="T710" s="66"/>
      <c r="U710" s="2"/>
      <c r="V710" s="43"/>
    </row>
    <row r="711" spans="2:23" s="1" customFormat="1" x14ac:dyDescent="0.3">
      <c r="B711" s="325"/>
      <c r="C711" s="17"/>
      <c r="D711" s="1005" t="str">
        <f>RAB!C155</f>
        <v>Pekerjaan Jaringan Distribusi dan KWH Meter</v>
      </c>
      <c r="E711" s="331"/>
      <c r="F711" s="575"/>
      <c r="G711" s="331"/>
      <c r="H711" s="575"/>
      <c r="I711" s="331"/>
      <c r="J711" s="575"/>
      <c r="K711" s="331"/>
      <c r="L711" s="575"/>
      <c r="M711" s="331"/>
      <c r="N711" s="575"/>
      <c r="O711" s="331"/>
      <c r="P711" s="575"/>
      <c r="Q711" s="331"/>
      <c r="R711" s="575"/>
      <c r="S711" s="577"/>
      <c r="T711" s="66"/>
      <c r="U711" s="2"/>
      <c r="V711" s="43"/>
    </row>
    <row r="712" spans="2:23" s="1" customFormat="1" x14ac:dyDescent="0.3">
      <c r="B712" s="325"/>
      <c r="C712" s="17"/>
      <c r="D712" s="1003" t="str">
        <f>RAB!D156</f>
        <v>* Biaya penyambungan baru 41500 VA ; 3 Ph</v>
      </c>
      <c r="E712" s="691"/>
      <c r="F712" s="517"/>
      <c r="G712" s="691"/>
      <c r="H712" s="517"/>
      <c r="I712" s="691"/>
      <c r="J712" s="517"/>
      <c r="K712" s="691">
        <v>53000</v>
      </c>
      <c r="L712" s="517"/>
      <c r="M712" s="691"/>
      <c r="N712" s="517"/>
      <c r="O712" s="691"/>
      <c r="P712" s="517"/>
      <c r="Q712" s="691"/>
      <c r="R712" s="588" t="s">
        <v>114</v>
      </c>
      <c r="S712" s="986">
        <f>K712</f>
        <v>53000</v>
      </c>
      <c r="T712" s="972">
        <f>ROUNDDOWN(S712,2)</f>
        <v>53000</v>
      </c>
      <c r="U712" s="987" t="s">
        <v>841</v>
      </c>
      <c r="V712" s="43"/>
    </row>
    <row r="713" spans="2:23" s="1" customFormat="1" x14ac:dyDescent="0.3">
      <c r="B713" s="325"/>
      <c r="C713" s="17"/>
      <c r="D713" s="1003" t="str">
        <f>RAB!D157</f>
        <v>* Uang jaminan listrik ( UJL ) 41500 VA</v>
      </c>
      <c r="E713" s="619"/>
      <c r="F713" s="517"/>
      <c r="G713" s="691"/>
      <c r="H713" s="517"/>
      <c r="I713" s="691"/>
      <c r="J713" s="517"/>
      <c r="K713" s="691">
        <v>53000</v>
      </c>
      <c r="L713" s="517"/>
      <c r="M713" s="691"/>
      <c r="N713" s="517"/>
      <c r="O713" s="691"/>
      <c r="P713" s="517"/>
      <c r="Q713" s="691"/>
      <c r="R713" s="588" t="s">
        <v>114</v>
      </c>
      <c r="S713" s="986">
        <f>K713</f>
        <v>53000</v>
      </c>
      <c r="T713" s="972">
        <f>ROUNDDOWN(S713,2)</f>
        <v>53000</v>
      </c>
      <c r="U713" s="987" t="s">
        <v>841</v>
      </c>
      <c r="V713" s="43"/>
    </row>
    <row r="714" spans="2:23" s="1" customFormat="1" x14ac:dyDescent="0.3">
      <c r="B714" s="325"/>
      <c r="C714" s="17"/>
      <c r="D714" s="1003" t="str">
        <f>RAB!D158</f>
        <v>* Sertifikat Laik Operasi</v>
      </c>
      <c r="E714" s="619"/>
      <c r="F714" s="517"/>
      <c r="G714" s="691"/>
      <c r="H714" s="517"/>
      <c r="I714" s="691"/>
      <c r="J714" s="517"/>
      <c r="K714" s="691">
        <v>1</v>
      </c>
      <c r="L714" s="517"/>
      <c r="M714" s="691"/>
      <c r="N714" s="517"/>
      <c r="O714" s="691"/>
      <c r="P714" s="517"/>
      <c r="Q714" s="691"/>
      <c r="R714" s="588" t="s">
        <v>114</v>
      </c>
      <c r="S714" s="986">
        <f>K714</f>
        <v>1</v>
      </c>
      <c r="T714" s="972">
        <f>ROUNDDOWN(S714,2)</f>
        <v>1</v>
      </c>
      <c r="U714" s="987" t="s">
        <v>1</v>
      </c>
      <c r="V714" s="43"/>
    </row>
    <row r="715" spans="2:23" s="1" customFormat="1" x14ac:dyDescent="0.3">
      <c r="B715" s="325"/>
      <c r="C715" s="17"/>
      <c r="D715" s="1003" t="str">
        <f>RAB!D159</f>
        <v>* Biaya Administrasi</v>
      </c>
      <c r="E715" s="619"/>
      <c r="F715" s="517"/>
      <c r="G715" s="691"/>
      <c r="H715" s="517"/>
      <c r="I715" s="691"/>
      <c r="J715" s="517"/>
      <c r="K715" s="691">
        <v>1</v>
      </c>
      <c r="L715" s="517"/>
      <c r="M715" s="691"/>
      <c r="N715" s="517"/>
      <c r="O715" s="691"/>
      <c r="P715" s="517"/>
      <c r="Q715" s="691"/>
      <c r="R715" s="588" t="s">
        <v>114</v>
      </c>
      <c r="S715" s="986">
        <f>K715</f>
        <v>1</v>
      </c>
      <c r="T715" s="972">
        <f>ROUNDDOWN(S715,2)</f>
        <v>1</v>
      </c>
      <c r="U715" s="987" t="s">
        <v>1</v>
      </c>
      <c r="V715" s="43"/>
    </row>
    <row r="716" spans="2:23" s="1" customFormat="1" x14ac:dyDescent="0.3">
      <c r="B716" s="325"/>
      <c r="C716" s="17"/>
      <c r="D716" s="1004"/>
      <c r="E716" s="619"/>
      <c r="F716" s="517"/>
      <c r="G716" s="691"/>
      <c r="H716" s="517"/>
      <c r="I716" s="691"/>
      <c r="J716" s="517"/>
      <c r="K716" s="691"/>
      <c r="L716" s="517"/>
      <c r="M716" s="691"/>
      <c r="N716" s="517"/>
      <c r="O716" s="691"/>
      <c r="P716" s="517"/>
      <c r="Q716" s="691"/>
      <c r="R716" s="526"/>
      <c r="S716" s="620"/>
      <c r="T716" s="66"/>
      <c r="U716" s="2"/>
      <c r="V716" s="43"/>
    </row>
    <row r="717" spans="2:23" s="1" customFormat="1" x14ac:dyDescent="0.3">
      <c r="B717" s="325"/>
      <c r="C717" s="17"/>
      <c r="D717" s="1007" t="str">
        <f>RAB!C160</f>
        <v>PANEL</v>
      </c>
      <c r="E717" s="619"/>
      <c r="F717" s="517"/>
      <c r="G717" s="691"/>
      <c r="H717" s="517"/>
      <c r="I717" s="691"/>
      <c r="J717" s="517"/>
      <c r="K717" s="691"/>
      <c r="L717" s="517"/>
      <c r="M717" s="691"/>
      <c r="N717" s="517"/>
      <c r="O717" s="691"/>
      <c r="P717" s="517"/>
      <c r="Q717" s="691"/>
      <c r="R717" s="526"/>
      <c r="S717" s="620"/>
      <c r="T717" s="66"/>
      <c r="U717" s="2"/>
      <c r="V717" s="43"/>
    </row>
    <row r="718" spans="2:23" s="1" customFormat="1" x14ac:dyDescent="0.3">
      <c r="B718" s="325"/>
      <c r="C718" s="17"/>
      <c r="D718" s="1004" t="str">
        <f>RAB!C161</f>
        <v>- Main distribution panel ( MDP ) c/w Interlock COS</v>
      </c>
      <c r="E718" s="619"/>
      <c r="F718" s="517"/>
      <c r="G718" s="691"/>
      <c r="H718" s="517"/>
      <c r="I718" s="691"/>
      <c r="J718" s="517"/>
      <c r="K718" s="691">
        <v>1</v>
      </c>
      <c r="L718" s="517"/>
      <c r="M718" s="691"/>
      <c r="N718" s="517"/>
      <c r="O718" s="691"/>
      <c r="P718" s="517"/>
      <c r="Q718" s="691"/>
      <c r="R718" s="588" t="s">
        <v>114</v>
      </c>
      <c r="S718" s="986">
        <f>K718</f>
        <v>1</v>
      </c>
      <c r="T718" s="972">
        <f>ROUNDDOWN(S718,2)</f>
        <v>1</v>
      </c>
      <c r="U718" s="987" t="s">
        <v>32</v>
      </c>
      <c r="V718" s="43"/>
    </row>
    <row r="719" spans="2:23" s="1" customFormat="1" x14ac:dyDescent="0.3">
      <c r="B719" s="325"/>
      <c r="C719" s="17"/>
      <c r="D719" s="1004" t="str">
        <f>RAB!C162</f>
        <v>- Sub Distribution Panel ( SDP ) Lantai 1</v>
      </c>
      <c r="E719" s="619"/>
      <c r="F719" s="517"/>
      <c r="G719" s="691"/>
      <c r="H719" s="517"/>
      <c r="I719" s="691"/>
      <c r="J719" s="517"/>
      <c r="K719" s="691">
        <v>1</v>
      </c>
      <c r="L719" s="517"/>
      <c r="M719" s="691"/>
      <c r="N719" s="517"/>
      <c r="O719" s="691"/>
      <c r="P719" s="517"/>
      <c r="Q719" s="691"/>
      <c r="R719" s="588" t="s">
        <v>114</v>
      </c>
      <c r="S719" s="986">
        <f>K719</f>
        <v>1</v>
      </c>
      <c r="T719" s="972">
        <f>ROUNDDOWN(S719,2)</f>
        <v>1</v>
      </c>
      <c r="U719" s="987" t="s">
        <v>32</v>
      </c>
      <c r="V719" s="43"/>
    </row>
    <row r="720" spans="2:23" s="1" customFormat="1" x14ac:dyDescent="0.3">
      <c r="B720" s="325"/>
      <c r="C720" s="17"/>
      <c r="D720" s="1026" t="e">
        <f>RAB!#REF!</f>
        <v>#REF!</v>
      </c>
      <c r="E720" s="619"/>
      <c r="F720" s="517"/>
      <c r="G720" s="691"/>
      <c r="H720" s="517"/>
      <c r="I720" s="691"/>
      <c r="J720" s="517"/>
      <c r="K720" s="691">
        <v>1</v>
      </c>
      <c r="L720" s="517"/>
      <c r="M720" s="691"/>
      <c r="N720" s="517"/>
      <c r="O720" s="691"/>
      <c r="P720" s="517"/>
      <c r="Q720" s="691"/>
      <c r="R720" s="588" t="s">
        <v>114</v>
      </c>
      <c r="S720" s="986">
        <f>K720</f>
        <v>1</v>
      </c>
      <c r="T720" s="972">
        <f>ROUNDDOWN(S720,2)</f>
        <v>1</v>
      </c>
      <c r="U720" s="987" t="s">
        <v>32</v>
      </c>
      <c r="V720" s="43"/>
    </row>
    <row r="721" spans="2:22" s="1" customFormat="1" x14ac:dyDescent="0.3">
      <c r="B721" s="325"/>
      <c r="C721" s="17"/>
      <c r="D721" s="1004"/>
      <c r="E721" s="619"/>
      <c r="F721" s="517"/>
      <c r="G721" s="691"/>
      <c r="H721" s="517"/>
      <c r="I721" s="691"/>
      <c r="J721" s="517"/>
      <c r="K721" s="691"/>
      <c r="L721" s="517"/>
      <c r="M721" s="691"/>
      <c r="N721" s="517"/>
      <c r="O721" s="691"/>
      <c r="P721" s="517"/>
      <c r="Q721" s="691"/>
      <c r="R721" s="526"/>
      <c r="S721" s="620"/>
      <c r="T721" s="66"/>
      <c r="U721" s="2"/>
      <c r="V721" s="43"/>
    </row>
    <row r="722" spans="2:22" s="1" customFormat="1" x14ac:dyDescent="0.3">
      <c r="B722" s="325"/>
      <c r="C722" s="17"/>
      <c r="D722" s="1007" t="str">
        <f>RAB!C163</f>
        <v>KABEL</v>
      </c>
      <c r="E722" s="619"/>
      <c r="F722" s="517"/>
      <c r="G722" s="691"/>
      <c r="H722" s="517"/>
      <c r="I722" s="691"/>
      <c r="J722" s="517"/>
      <c r="K722" s="691"/>
      <c r="L722" s="517"/>
      <c r="M722" s="691"/>
      <c r="N722" s="517"/>
      <c r="O722" s="691"/>
      <c r="P722" s="517"/>
      <c r="Q722" s="691"/>
      <c r="R722" s="526"/>
      <c r="S722" s="620"/>
      <c r="T722" s="66"/>
      <c r="U722" s="2"/>
      <c r="V722" s="43"/>
    </row>
    <row r="723" spans="2:22" s="1" customFormat="1" x14ac:dyDescent="0.3">
      <c r="B723" s="325"/>
      <c r="C723" s="17"/>
      <c r="D723" s="1004" t="str">
        <f>RAB!C164</f>
        <v>Kabel dari Box APP PLN ke MDP NYY 4 x 35 mm</v>
      </c>
      <c r="E723" s="619"/>
      <c r="F723" s="517"/>
      <c r="G723" s="691"/>
      <c r="H723" s="517"/>
      <c r="I723" s="691"/>
      <c r="J723" s="517"/>
      <c r="K723" s="691">
        <v>20</v>
      </c>
      <c r="L723" s="517"/>
      <c r="M723" s="691"/>
      <c r="N723" s="517"/>
      <c r="O723" s="691"/>
      <c r="P723" s="517"/>
      <c r="Q723" s="691"/>
      <c r="R723" s="588" t="s">
        <v>114</v>
      </c>
      <c r="S723" s="986">
        <f>K723</f>
        <v>20</v>
      </c>
      <c r="T723" s="972">
        <f>ROUNDDOWN(S723,2)</f>
        <v>20</v>
      </c>
      <c r="U723" s="987" t="s">
        <v>27</v>
      </c>
      <c r="V723" s="43"/>
    </row>
    <row r="724" spans="2:22" s="1" customFormat="1" ht="27" x14ac:dyDescent="0.3">
      <c r="B724" s="325"/>
      <c r="C724" s="17"/>
      <c r="D724" s="1026" t="str">
        <f>RAB!C165</f>
        <v>Kabel dari MDP ke SDP lantai 1  NYY 4 x 10 mm + BC 10 mm.</v>
      </c>
      <c r="E724" s="619"/>
      <c r="F724" s="517"/>
      <c r="G724" s="691"/>
      <c r="H724" s="517"/>
      <c r="I724" s="691"/>
      <c r="J724" s="517"/>
      <c r="K724" s="691">
        <v>6</v>
      </c>
      <c r="L724" s="517"/>
      <c r="M724" s="691"/>
      <c r="N724" s="517"/>
      <c r="O724" s="691"/>
      <c r="P724" s="517"/>
      <c r="Q724" s="691"/>
      <c r="R724" s="588" t="s">
        <v>114</v>
      </c>
      <c r="S724" s="986">
        <f>K724</f>
        <v>6</v>
      </c>
      <c r="T724" s="972">
        <f>ROUNDDOWN(S724,2)</f>
        <v>6</v>
      </c>
      <c r="U724" s="987" t="s">
        <v>27</v>
      </c>
      <c r="V724" s="43"/>
    </row>
    <row r="725" spans="2:22" s="1" customFormat="1" x14ac:dyDescent="0.3">
      <c r="B725" s="325"/>
      <c r="C725" s="17"/>
      <c r="D725" s="1026" t="e">
        <f>RAB!#REF!</f>
        <v>#REF!</v>
      </c>
      <c r="E725" s="619"/>
      <c r="F725" s="517"/>
      <c r="G725" s="691"/>
      <c r="H725" s="517"/>
      <c r="I725" s="691"/>
      <c r="J725" s="517"/>
      <c r="K725" s="691">
        <v>8</v>
      </c>
      <c r="L725" s="517"/>
      <c r="M725" s="691"/>
      <c r="N725" s="517"/>
      <c r="O725" s="691"/>
      <c r="P725" s="517"/>
      <c r="Q725" s="691"/>
      <c r="R725" s="588" t="s">
        <v>114</v>
      </c>
      <c r="S725" s="986">
        <f>K725</f>
        <v>8</v>
      </c>
      <c r="T725" s="972">
        <f>ROUNDDOWN(S725,2)</f>
        <v>8</v>
      </c>
      <c r="U725" s="987" t="s">
        <v>27</v>
      </c>
      <c r="V725" s="43"/>
    </row>
    <row r="726" spans="2:22" s="1" customFormat="1" x14ac:dyDescent="0.3">
      <c r="B726" s="325"/>
      <c r="C726" s="17"/>
      <c r="D726" s="1026" t="e">
        <f>RAB!#REF!</f>
        <v>#REF!</v>
      </c>
      <c r="E726" s="619"/>
      <c r="F726" s="517"/>
      <c r="G726" s="691"/>
      <c r="H726" s="517"/>
      <c r="I726" s="691"/>
      <c r="J726" s="517"/>
      <c r="K726" s="691">
        <v>6</v>
      </c>
      <c r="L726" s="517"/>
      <c r="M726" s="691"/>
      <c r="N726" s="517"/>
      <c r="O726" s="691"/>
      <c r="P726" s="517"/>
      <c r="Q726" s="691"/>
      <c r="R726" s="588" t="s">
        <v>114</v>
      </c>
      <c r="S726" s="986">
        <f>K726</f>
        <v>6</v>
      </c>
      <c r="T726" s="972">
        <f>ROUNDDOWN(S726,2)</f>
        <v>6</v>
      </c>
      <c r="U726" s="987" t="s">
        <v>27</v>
      </c>
      <c r="V726" s="43"/>
    </row>
    <row r="727" spans="2:22" s="1" customFormat="1" x14ac:dyDescent="0.3">
      <c r="B727" s="325"/>
      <c r="C727" s="17"/>
      <c r="D727" s="1004"/>
      <c r="E727" s="619"/>
      <c r="F727" s="517"/>
      <c r="G727" s="691"/>
      <c r="H727" s="517"/>
      <c r="I727" s="691"/>
      <c r="J727" s="517"/>
      <c r="K727" s="691"/>
      <c r="L727" s="517"/>
      <c r="M727" s="691"/>
      <c r="N727" s="517"/>
      <c r="O727" s="691"/>
      <c r="P727" s="517"/>
      <c r="Q727" s="691"/>
      <c r="R727" s="526"/>
      <c r="S727" s="620"/>
      <c r="T727" s="66"/>
      <c r="U727" s="2"/>
      <c r="V727" s="43"/>
    </row>
    <row r="728" spans="2:22" s="1" customFormat="1" x14ac:dyDescent="0.3">
      <c r="B728" s="325"/>
      <c r="C728" s="17"/>
      <c r="D728" s="1004" t="str">
        <f>RAB!C166</f>
        <v>PEKERJAAN GROUNDING SYSTEM ARUS KUAT</v>
      </c>
      <c r="E728" s="619"/>
      <c r="F728" s="517"/>
      <c r="G728" s="691"/>
      <c r="H728" s="517"/>
      <c r="I728" s="691"/>
      <c r="J728" s="517"/>
      <c r="K728" s="691"/>
      <c r="L728" s="517"/>
      <c r="M728" s="691"/>
      <c r="N728" s="517"/>
      <c r="O728" s="691"/>
      <c r="P728" s="517"/>
      <c r="Q728" s="691"/>
      <c r="R728" s="526"/>
      <c r="S728" s="620"/>
      <c r="T728" s="66"/>
      <c r="U728" s="2"/>
      <c r="V728" s="43"/>
    </row>
    <row r="729" spans="2:22" s="1" customFormat="1" ht="27" x14ac:dyDescent="0.3">
      <c r="B729" s="325"/>
      <c r="C729" s="17"/>
      <c r="D729" s="1026" t="str">
        <f>RAB!C167</f>
        <v>Penarikan kabel grounding BC 35 mm dari MDP ke box grounding</v>
      </c>
      <c r="E729" s="619"/>
      <c r="F729" s="517"/>
      <c r="G729" s="691"/>
      <c r="H729" s="517"/>
      <c r="I729" s="691"/>
      <c r="J729" s="517"/>
      <c r="K729" s="691">
        <v>8</v>
      </c>
      <c r="L729" s="517"/>
      <c r="M729" s="691"/>
      <c r="N729" s="517"/>
      <c r="O729" s="691"/>
      <c r="P729" s="517"/>
      <c r="Q729" s="691"/>
      <c r="R729" s="588" t="s">
        <v>114</v>
      </c>
      <c r="S729" s="986">
        <f>K729</f>
        <v>8</v>
      </c>
      <c r="T729" s="972">
        <f>ROUNDDOWN(S729,2)</f>
        <v>8</v>
      </c>
      <c r="U729" s="987" t="s">
        <v>27</v>
      </c>
      <c r="V729" s="43"/>
    </row>
    <row r="730" spans="2:22" s="1" customFormat="1" x14ac:dyDescent="0.3">
      <c r="B730" s="325"/>
      <c r="C730" s="17"/>
      <c r="D730" s="1004" t="str">
        <f>RAB!C168</f>
        <v>Grounding system max  5 ohm</v>
      </c>
      <c r="E730" s="691"/>
      <c r="F730" s="517"/>
      <c r="G730" s="691"/>
      <c r="H730" s="517"/>
      <c r="I730" s="691"/>
      <c r="J730" s="517"/>
      <c r="K730" s="691">
        <v>1</v>
      </c>
      <c r="L730" s="517"/>
      <c r="M730" s="691"/>
      <c r="N730" s="517"/>
      <c r="O730" s="691"/>
      <c r="P730" s="517"/>
      <c r="Q730" s="691"/>
      <c r="R730" s="518" t="s">
        <v>114</v>
      </c>
      <c r="S730" s="986">
        <f>K730</f>
        <v>1</v>
      </c>
      <c r="T730" s="972">
        <f>ROUNDDOWN(S730,2)</f>
        <v>1</v>
      </c>
      <c r="U730" s="987" t="s">
        <v>115</v>
      </c>
      <c r="V730" s="43"/>
    </row>
    <row r="731" spans="2:22" s="1" customFormat="1" x14ac:dyDescent="0.3">
      <c r="B731" s="325"/>
      <c r="C731" s="17"/>
      <c r="D731" s="1004"/>
      <c r="E731" s="691"/>
      <c r="F731" s="517"/>
      <c r="G731" s="691"/>
      <c r="H731" s="517"/>
      <c r="I731" s="691"/>
      <c r="J731" s="517"/>
      <c r="K731" s="691"/>
      <c r="L731" s="517"/>
      <c r="M731" s="691"/>
      <c r="N731" s="517"/>
      <c r="O731" s="691"/>
      <c r="P731" s="517"/>
      <c r="Q731" s="691"/>
      <c r="R731" s="517"/>
      <c r="S731" s="519"/>
      <c r="T731" s="66"/>
      <c r="U731" s="2"/>
      <c r="V731" s="43"/>
    </row>
    <row r="732" spans="2:22" s="1" customFormat="1" x14ac:dyDescent="0.3">
      <c r="B732" s="325"/>
      <c r="C732" s="17"/>
      <c r="D732" s="1007" t="str">
        <f>RAB!C173</f>
        <v>SISTEM PENERANGAN</v>
      </c>
      <c r="E732" s="691"/>
      <c r="F732" s="517"/>
      <c r="G732" s="691"/>
      <c r="H732" s="517"/>
      <c r="I732" s="691"/>
      <c r="J732" s="517"/>
      <c r="K732" s="691"/>
      <c r="L732" s="517"/>
      <c r="M732" s="691"/>
      <c r="N732" s="517"/>
      <c r="O732" s="691"/>
      <c r="P732" s="517"/>
      <c r="Q732" s="691"/>
      <c r="R732" s="517"/>
      <c r="S732" s="519"/>
      <c r="T732" s="66"/>
      <c r="U732" s="2"/>
      <c r="V732" s="43"/>
    </row>
    <row r="733" spans="2:22" s="1" customFormat="1" x14ac:dyDescent="0.3">
      <c r="B733" s="325"/>
      <c r="C733" s="17"/>
      <c r="D733" s="1004" t="str">
        <f>RAB!C174</f>
        <v xml:space="preserve">Fiting duduk + bola Lampu essential LED 5 watt </v>
      </c>
      <c r="E733" s="691"/>
      <c r="F733" s="517"/>
      <c r="G733" s="691"/>
      <c r="H733" s="517"/>
      <c r="I733" s="691"/>
      <c r="J733" s="517"/>
      <c r="K733" s="691">
        <v>11</v>
      </c>
      <c r="L733" s="517"/>
      <c r="M733" s="691"/>
      <c r="N733" s="517"/>
      <c r="O733" s="691"/>
      <c r="P733" s="517"/>
      <c r="Q733" s="691"/>
      <c r="R733" s="518" t="s">
        <v>114</v>
      </c>
      <c r="S733" s="986">
        <f t="shared" ref="S733:S740" si="11">K733</f>
        <v>11</v>
      </c>
      <c r="T733" s="972">
        <f t="shared" ref="T733:T740" si="12">ROUNDDOWN(S733,2)</f>
        <v>11</v>
      </c>
      <c r="U733" s="987" t="s">
        <v>9</v>
      </c>
      <c r="V733" s="43"/>
    </row>
    <row r="734" spans="2:22" s="1" customFormat="1" x14ac:dyDescent="0.3">
      <c r="B734" s="325"/>
      <c r="C734" s="17"/>
      <c r="D734" s="1004" t="str">
        <f>RAB!C175</f>
        <v xml:space="preserve">Fiting duduk + bola Lampu essential  LED 15 watt </v>
      </c>
      <c r="E734" s="691"/>
      <c r="F734" s="517"/>
      <c r="G734" s="691"/>
      <c r="H734" s="517"/>
      <c r="I734" s="691"/>
      <c r="J734" s="517"/>
      <c r="K734" s="691">
        <v>37</v>
      </c>
      <c r="L734" s="517"/>
      <c r="M734" s="691"/>
      <c r="N734" s="517"/>
      <c r="O734" s="691"/>
      <c r="P734" s="517"/>
      <c r="Q734" s="691"/>
      <c r="R734" s="518" t="s">
        <v>114</v>
      </c>
      <c r="S734" s="986">
        <f t="shared" si="11"/>
        <v>37</v>
      </c>
      <c r="T734" s="972">
        <f t="shared" si="12"/>
        <v>37</v>
      </c>
      <c r="U734" s="987" t="s">
        <v>9</v>
      </c>
      <c r="V734" s="43"/>
    </row>
    <row r="735" spans="2:22" s="1" customFormat="1" ht="27" x14ac:dyDescent="0.3">
      <c r="B735" s="325"/>
      <c r="C735" s="17"/>
      <c r="D735" s="1026" t="str">
        <f>RAB!C176</f>
        <v>Fiting duduk + bola Lampu essential AC/DC  LED 15 watt (emergency )</v>
      </c>
      <c r="E735" s="691"/>
      <c r="F735" s="517"/>
      <c r="G735" s="691"/>
      <c r="H735" s="517"/>
      <c r="I735" s="691"/>
      <c r="J735" s="517"/>
      <c r="K735" s="691">
        <v>16</v>
      </c>
      <c r="L735" s="517"/>
      <c r="M735" s="691"/>
      <c r="N735" s="517"/>
      <c r="O735" s="691"/>
      <c r="P735" s="517"/>
      <c r="Q735" s="691"/>
      <c r="R735" s="518" t="s">
        <v>114</v>
      </c>
      <c r="S735" s="986">
        <f t="shared" si="11"/>
        <v>16</v>
      </c>
      <c r="T735" s="972">
        <f t="shared" si="12"/>
        <v>16</v>
      </c>
      <c r="U735" s="987" t="s">
        <v>9</v>
      </c>
      <c r="V735" s="43"/>
    </row>
    <row r="736" spans="2:22" s="1" customFormat="1" x14ac:dyDescent="0.3">
      <c r="B736" s="325"/>
      <c r="C736" s="17"/>
      <c r="D736" s="1004" t="e">
        <f>RAB!#REF!</f>
        <v>#REF!</v>
      </c>
      <c r="E736" s="691"/>
      <c r="F736" s="517"/>
      <c r="G736" s="691"/>
      <c r="H736" s="517"/>
      <c r="I736" s="691"/>
      <c r="J736" s="517"/>
      <c r="K736" s="691">
        <v>0</v>
      </c>
      <c r="L736" s="517"/>
      <c r="M736" s="691"/>
      <c r="N736" s="517"/>
      <c r="O736" s="691"/>
      <c r="P736" s="517"/>
      <c r="Q736" s="691"/>
      <c r="R736" s="518" t="s">
        <v>114</v>
      </c>
      <c r="S736" s="986">
        <f t="shared" si="11"/>
        <v>0</v>
      </c>
      <c r="T736" s="972">
        <f t="shared" si="12"/>
        <v>0</v>
      </c>
      <c r="U736" s="987" t="s">
        <v>9</v>
      </c>
      <c r="V736" s="43"/>
    </row>
    <row r="737" spans="2:22" s="1" customFormat="1" x14ac:dyDescent="0.3">
      <c r="B737" s="325"/>
      <c r="C737" s="17"/>
      <c r="D737" s="1004" t="str">
        <f>RAB!C177</f>
        <v xml:space="preserve">Saklar double </v>
      </c>
      <c r="E737" s="691"/>
      <c r="F737" s="517"/>
      <c r="G737" s="691"/>
      <c r="H737" s="517"/>
      <c r="I737" s="691"/>
      <c r="J737" s="517"/>
      <c r="K737" s="691">
        <v>2</v>
      </c>
      <c r="L737" s="517"/>
      <c r="M737" s="691"/>
      <c r="N737" s="517"/>
      <c r="O737" s="691"/>
      <c r="P737" s="517"/>
      <c r="Q737" s="691"/>
      <c r="R737" s="518" t="s">
        <v>114</v>
      </c>
      <c r="S737" s="986">
        <f t="shared" si="11"/>
        <v>2</v>
      </c>
      <c r="T737" s="972">
        <f t="shared" si="12"/>
        <v>2</v>
      </c>
      <c r="U737" s="987" t="s">
        <v>9</v>
      </c>
      <c r="V737" s="43"/>
    </row>
    <row r="738" spans="2:22" s="32" customFormat="1" x14ac:dyDescent="0.3">
      <c r="B738" s="124"/>
      <c r="C738" s="114"/>
      <c r="D738" s="1004" t="str">
        <f>RAB!C178</f>
        <v>Saklar triple</v>
      </c>
      <c r="E738" s="328"/>
      <c r="F738" s="510"/>
      <c r="G738" s="328"/>
      <c r="H738" s="510"/>
      <c r="I738" s="328"/>
      <c r="J738" s="510"/>
      <c r="K738" s="328">
        <v>10</v>
      </c>
      <c r="L738" s="510"/>
      <c r="M738" s="328"/>
      <c r="N738" s="510"/>
      <c r="O738" s="328"/>
      <c r="P738" s="510"/>
      <c r="Q738" s="328"/>
      <c r="R738" s="518" t="s">
        <v>114</v>
      </c>
      <c r="S738" s="986">
        <f t="shared" si="11"/>
        <v>10</v>
      </c>
      <c r="T738" s="972">
        <f t="shared" si="12"/>
        <v>10</v>
      </c>
      <c r="U738" s="987" t="s">
        <v>9</v>
      </c>
      <c r="V738" s="51"/>
    </row>
    <row r="739" spans="2:22" s="32" customFormat="1" x14ac:dyDescent="0.3">
      <c r="B739" s="124"/>
      <c r="C739" s="114"/>
      <c r="D739" s="1004" t="e">
        <f>RAB!#REF!</f>
        <v>#REF!</v>
      </c>
      <c r="E739" s="328"/>
      <c r="F739" s="510"/>
      <c r="G739" s="328"/>
      <c r="H739" s="510"/>
      <c r="I739" s="328"/>
      <c r="J739" s="510"/>
      <c r="K739" s="328">
        <v>2</v>
      </c>
      <c r="L739" s="510"/>
      <c r="M739" s="328"/>
      <c r="N739" s="510"/>
      <c r="O739" s="328"/>
      <c r="P739" s="510"/>
      <c r="Q739" s="328"/>
      <c r="R739" s="518" t="s">
        <v>114</v>
      </c>
      <c r="S739" s="986">
        <f t="shared" si="11"/>
        <v>2</v>
      </c>
      <c r="T739" s="972">
        <f t="shared" si="12"/>
        <v>2</v>
      </c>
      <c r="U739" s="987" t="s">
        <v>9</v>
      </c>
      <c r="V739" s="51"/>
    </row>
    <row r="740" spans="2:22" s="32" customFormat="1" x14ac:dyDescent="0.3">
      <c r="B740" s="124"/>
      <c r="C740" s="114"/>
      <c r="D740" s="1004" t="e">
        <f>RAB!#REF!</f>
        <v>#REF!</v>
      </c>
      <c r="E740" s="328"/>
      <c r="F740" s="510"/>
      <c r="G740" s="328"/>
      <c r="H740" s="510"/>
      <c r="I740" s="328"/>
      <c r="J740" s="510"/>
      <c r="K740" s="328">
        <v>47</v>
      </c>
      <c r="L740" s="510"/>
      <c r="M740" s="328"/>
      <c r="N740" s="510"/>
      <c r="O740" s="328"/>
      <c r="P740" s="510"/>
      <c r="Q740" s="328"/>
      <c r="R740" s="518" t="s">
        <v>114</v>
      </c>
      <c r="S740" s="986">
        <f t="shared" si="11"/>
        <v>47</v>
      </c>
      <c r="T740" s="972">
        <f t="shared" si="12"/>
        <v>47</v>
      </c>
      <c r="U740" s="987" t="s">
        <v>9</v>
      </c>
      <c r="V740" s="51"/>
    </row>
    <row r="741" spans="2:22" s="32" customFormat="1" ht="9.75" customHeight="1" x14ac:dyDescent="0.3">
      <c r="B741" s="124"/>
      <c r="C741" s="114"/>
      <c r="D741" s="1004"/>
      <c r="E741" s="328"/>
      <c r="F741" s="510"/>
      <c r="G741" s="328"/>
      <c r="H741" s="510"/>
      <c r="I741" s="328"/>
      <c r="J741" s="510"/>
      <c r="K741" s="328"/>
      <c r="L741" s="510"/>
      <c r="M741" s="328"/>
      <c r="N741" s="510"/>
      <c r="O741" s="328"/>
      <c r="P741" s="510"/>
      <c r="Q741" s="328"/>
      <c r="R741" s="510"/>
      <c r="S741" s="596"/>
      <c r="T741" s="53"/>
      <c r="U741" s="50"/>
      <c r="V741" s="51"/>
    </row>
    <row r="742" spans="2:22" s="32" customFormat="1" x14ac:dyDescent="0.3">
      <c r="B742" s="124"/>
      <c r="C742" s="114"/>
      <c r="D742" s="1014" t="str">
        <f>RAB!C179</f>
        <v>INSTALASI KABEL</v>
      </c>
      <c r="E742" s="328"/>
      <c r="F742" s="510"/>
      <c r="G742" s="328"/>
      <c r="H742" s="510"/>
      <c r="I742" s="328"/>
      <c r="J742" s="510"/>
      <c r="K742" s="328"/>
      <c r="L742" s="510"/>
      <c r="M742" s="328"/>
      <c r="N742" s="510"/>
      <c r="O742" s="328"/>
      <c r="P742" s="510"/>
      <c r="Q742" s="328"/>
      <c r="R742" s="510"/>
      <c r="S742" s="596"/>
      <c r="T742" s="53"/>
      <c r="U742" s="50"/>
      <c r="V742" s="51"/>
    </row>
    <row r="743" spans="2:22" s="32" customFormat="1" ht="27.75" x14ac:dyDescent="0.3">
      <c r="B743" s="124"/>
      <c r="C743" s="114"/>
      <c r="D743" s="1015" t="str">
        <f>RAB!C180</f>
        <v xml:space="preserve">Instalasi Penerangan kabel NYM 3 x 1,5 mm dalam pipa counduit high impact </v>
      </c>
      <c r="E743" s="328"/>
      <c r="F743" s="510"/>
      <c r="G743" s="328"/>
      <c r="H743" s="510"/>
      <c r="I743" s="328"/>
      <c r="J743" s="510"/>
      <c r="K743" s="1032">
        <v>48</v>
      </c>
      <c r="L743" s="510"/>
      <c r="M743" s="328"/>
      <c r="N743" s="510"/>
      <c r="O743" s="328"/>
      <c r="P743" s="510"/>
      <c r="Q743" s="328"/>
      <c r="R743" s="518" t="s">
        <v>114</v>
      </c>
      <c r="S743" s="986">
        <f>K743</f>
        <v>48</v>
      </c>
      <c r="T743" s="972">
        <f>ROUNDDOWN(S743,2)</f>
        <v>48</v>
      </c>
      <c r="U743" s="1016" t="s">
        <v>312</v>
      </c>
      <c r="V743" s="133"/>
    </row>
    <row r="744" spans="2:22" s="32" customFormat="1" ht="27.75" x14ac:dyDescent="0.3">
      <c r="B744" s="124"/>
      <c r="C744" s="114"/>
      <c r="D744" s="1015" t="str">
        <f>RAB!C181</f>
        <v>Instalasi saklar kabel NYM 3 x 1,5 mm dalam pipa counduit high impact</v>
      </c>
      <c r="E744" s="328"/>
      <c r="F744" s="510"/>
      <c r="G744" s="328"/>
      <c r="H744" s="510"/>
      <c r="I744" s="328"/>
      <c r="J744" s="510"/>
      <c r="K744" s="1032">
        <v>8</v>
      </c>
      <c r="L744" s="510"/>
      <c r="M744" s="328"/>
      <c r="N744" s="510"/>
      <c r="O744" s="328"/>
      <c r="P744" s="510"/>
      <c r="Q744" s="328"/>
      <c r="R744" s="518" t="s">
        <v>114</v>
      </c>
      <c r="S744" s="986">
        <f>K744</f>
        <v>8</v>
      </c>
      <c r="T744" s="972">
        <f>ROUNDDOWN(S744,2)</f>
        <v>8</v>
      </c>
      <c r="U744" s="1016" t="s">
        <v>312</v>
      </c>
      <c r="V744" s="133"/>
    </row>
    <row r="745" spans="2:22" s="32" customFormat="1" ht="27.75" x14ac:dyDescent="0.3">
      <c r="B745" s="124"/>
      <c r="C745" s="114"/>
      <c r="D745" s="1015" t="str">
        <f>RAB!C182</f>
        <v>Instalasi stopkontak kabel NYM 3  x 2,5 mm dalam pipa counduit</v>
      </c>
      <c r="E745" s="328"/>
      <c r="F745" s="510"/>
      <c r="G745" s="328"/>
      <c r="H745" s="510"/>
      <c r="I745" s="328"/>
      <c r="J745" s="510"/>
      <c r="K745" s="1032">
        <v>4</v>
      </c>
      <c r="L745" s="510"/>
      <c r="M745" s="328"/>
      <c r="N745" s="510"/>
      <c r="O745" s="328"/>
      <c r="P745" s="510"/>
      <c r="Q745" s="328"/>
      <c r="R745" s="518" t="s">
        <v>114</v>
      </c>
      <c r="S745" s="986">
        <f>K745</f>
        <v>4</v>
      </c>
      <c r="T745" s="972">
        <f>ROUNDDOWN(S745,2)</f>
        <v>4</v>
      </c>
      <c r="U745" s="1016" t="s">
        <v>312</v>
      </c>
      <c r="V745" s="133"/>
    </row>
    <row r="746" spans="2:22" s="32" customFormat="1" ht="17.25" thickBot="1" x14ac:dyDescent="0.35">
      <c r="B746" s="124"/>
      <c r="C746" s="114"/>
      <c r="D746" s="1141"/>
      <c r="E746" s="1127"/>
      <c r="F746" s="1142"/>
      <c r="G746" s="1127"/>
      <c r="H746" s="1142"/>
      <c r="I746" s="1127"/>
      <c r="J746" s="1142"/>
      <c r="K746" s="1127"/>
      <c r="L746" s="1142"/>
      <c r="M746" s="1127"/>
      <c r="N746" s="1142"/>
      <c r="O746" s="1127"/>
      <c r="P746" s="1142"/>
      <c r="Q746" s="1127"/>
      <c r="R746" s="1142"/>
      <c r="S746" s="1143"/>
      <c r="T746" s="53"/>
      <c r="U746" s="50"/>
      <c r="V746" s="51"/>
    </row>
    <row r="747" spans="2:22" x14ac:dyDescent="0.3">
      <c r="B747" s="473"/>
      <c r="C747" s="465"/>
      <c r="D747" s="453"/>
      <c r="E747" s="455"/>
      <c r="F747" s="485"/>
      <c r="G747" s="455"/>
      <c r="H747" s="485"/>
      <c r="I747" s="455"/>
      <c r="J747" s="485"/>
      <c r="K747" s="477"/>
      <c r="L747" s="492"/>
      <c r="M747" s="477"/>
      <c r="N747" s="492"/>
      <c r="O747" s="477"/>
      <c r="P747" s="492"/>
      <c r="Q747" s="477"/>
      <c r="R747" s="492"/>
      <c r="S747" s="454"/>
    </row>
    <row r="748" spans="2:22" x14ac:dyDescent="0.3">
      <c r="C748" s="473"/>
    </row>
    <row r="749" spans="2:22" x14ac:dyDescent="0.3">
      <c r="C749" s="473"/>
    </row>
    <row r="750" spans="2:22" x14ac:dyDescent="0.3">
      <c r="C750" s="473"/>
    </row>
    <row r="751" spans="2:22" x14ac:dyDescent="0.3">
      <c r="C751" s="473"/>
    </row>
    <row r="752" spans="2:22" x14ac:dyDescent="0.3">
      <c r="C752" s="473"/>
    </row>
    <row r="753" spans="3:3" x14ac:dyDescent="0.3">
      <c r="C753" s="473"/>
    </row>
    <row r="754" spans="3:3" x14ac:dyDescent="0.3">
      <c r="C754" s="473"/>
    </row>
    <row r="755" spans="3:3" x14ac:dyDescent="0.3">
      <c r="C755" s="473"/>
    </row>
    <row r="756" spans="3:3" x14ac:dyDescent="0.3">
      <c r="C756" s="473"/>
    </row>
    <row r="757" spans="3:3" x14ac:dyDescent="0.3">
      <c r="C757" s="473"/>
    </row>
    <row r="758" spans="3:3" x14ac:dyDescent="0.3">
      <c r="C758" s="473"/>
    </row>
    <row r="759" spans="3:3" x14ac:dyDescent="0.3">
      <c r="C759" s="473"/>
    </row>
    <row r="760" spans="3:3" x14ac:dyDescent="0.3">
      <c r="C760" s="473"/>
    </row>
    <row r="761" spans="3:3" x14ac:dyDescent="0.3">
      <c r="C761" s="473"/>
    </row>
    <row r="762" spans="3:3" x14ac:dyDescent="0.3">
      <c r="C762" s="473"/>
    </row>
    <row r="763" spans="3:3" x14ac:dyDescent="0.3">
      <c r="C763" s="473"/>
    </row>
    <row r="764" spans="3:3" x14ac:dyDescent="0.3">
      <c r="C764" s="473"/>
    </row>
    <row r="765" spans="3:3" x14ac:dyDescent="0.3">
      <c r="C765" s="473"/>
    </row>
    <row r="766" spans="3:3" x14ac:dyDescent="0.3">
      <c r="C766" s="473"/>
    </row>
    <row r="767" spans="3:3" x14ac:dyDescent="0.3">
      <c r="C767" s="473"/>
    </row>
    <row r="768" spans="3:3" x14ac:dyDescent="0.3">
      <c r="C768" s="473"/>
    </row>
    <row r="769" spans="3:3" x14ac:dyDescent="0.3">
      <c r="C769" s="473"/>
    </row>
    <row r="770" spans="3:3" x14ac:dyDescent="0.3">
      <c r="C770" s="473"/>
    </row>
    <row r="771" spans="3:3" x14ac:dyDescent="0.3">
      <c r="C771" s="473"/>
    </row>
    <row r="772" spans="3:3" x14ac:dyDescent="0.3">
      <c r="C772" s="473"/>
    </row>
    <row r="773" spans="3:3" x14ac:dyDescent="0.3">
      <c r="C773" s="473"/>
    </row>
    <row r="774" spans="3:3" x14ac:dyDescent="0.3">
      <c r="C774" s="473"/>
    </row>
    <row r="775" spans="3:3" x14ac:dyDescent="0.3">
      <c r="C775" s="473"/>
    </row>
    <row r="776" spans="3:3" x14ac:dyDescent="0.3">
      <c r="C776" s="473"/>
    </row>
    <row r="777" spans="3:3" x14ac:dyDescent="0.3">
      <c r="C777" s="473"/>
    </row>
  </sheetData>
  <mergeCells count="66">
    <mergeCell ref="D167:I167"/>
    <mergeCell ref="D215:I215"/>
    <mergeCell ref="D251:I251"/>
    <mergeCell ref="D85:I85"/>
    <mergeCell ref="D92:I92"/>
    <mergeCell ref="D121:I121"/>
    <mergeCell ref="D128:I128"/>
    <mergeCell ref="D99:I99"/>
    <mergeCell ref="D112:I112"/>
    <mergeCell ref="D289:I289"/>
    <mergeCell ref="D427:I427"/>
    <mergeCell ref="D471:I471"/>
    <mergeCell ref="D417:I417"/>
    <mergeCell ref="D437:I437"/>
    <mergeCell ref="D465:I465"/>
    <mergeCell ref="D451:I451"/>
    <mergeCell ref="D385:I385"/>
    <mergeCell ref="D397:I397"/>
    <mergeCell ref="D406:I406"/>
    <mergeCell ref="D330:I330"/>
    <mergeCell ref="D272:I272"/>
    <mergeCell ref="D20:I20"/>
    <mergeCell ref="D13:I13"/>
    <mergeCell ref="D32:I32"/>
    <mergeCell ref="D64:I64"/>
    <mergeCell ref="D134:I134"/>
    <mergeCell ref="D208:I208"/>
    <mergeCell ref="D266:I266"/>
    <mergeCell ref="D259:I259"/>
    <mergeCell ref="D143:I143"/>
    <mergeCell ref="D150:I150"/>
    <mergeCell ref="D156:I156"/>
    <mergeCell ref="D192:I192"/>
    <mergeCell ref="D202:I202"/>
    <mergeCell ref="D185:I185"/>
    <mergeCell ref="D221:I221"/>
    <mergeCell ref="B4:U4"/>
    <mergeCell ref="D46:I46"/>
    <mergeCell ref="D57:I57"/>
    <mergeCell ref="D106:I106"/>
    <mergeCell ref="D74:I74"/>
    <mergeCell ref="D550:I550"/>
    <mergeCell ref="D537:I537"/>
    <mergeCell ref="D528:I528"/>
    <mergeCell ref="D577:I577"/>
    <mergeCell ref="D311:I311"/>
    <mergeCell ref="D365:I365"/>
    <mergeCell ref="D373:I373"/>
    <mergeCell ref="D522:I522"/>
    <mergeCell ref="D544:I544"/>
    <mergeCell ref="D494:I494"/>
    <mergeCell ref="D501:I501"/>
    <mergeCell ref="D344:I344"/>
    <mergeCell ref="D357:I357"/>
    <mergeCell ref="D480:I480"/>
    <mergeCell ref="D487:I487"/>
    <mergeCell ref="D322:I322"/>
    <mergeCell ref="D642:I642"/>
    <mergeCell ref="D626:I626"/>
    <mergeCell ref="D620:I620"/>
    <mergeCell ref="D564:I564"/>
    <mergeCell ref="D571:I571"/>
    <mergeCell ref="D633:I633"/>
    <mergeCell ref="D607:I607"/>
    <mergeCell ref="D601:I601"/>
    <mergeCell ref="D583:I583"/>
  </mergeCells>
  <phoneticPr fontId="25" type="noConversion"/>
  <conditionalFormatting sqref="P245">
    <cfRule type="uniqueValues" dxfId="195" priority="4259"/>
  </conditionalFormatting>
  <conditionalFormatting sqref="R245">
    <cfRule type="uniqueValues" dxfId="194" priority="4257"/>
  </conditionalFormatting>
  <conditionalFormatting sqref="R263:R264">
    <cfRule type="uniqueValues" dxfId="193" priority="4245"/>
  </conditionalFormatting>
  <conditionalFormatting sqref="P234">
    <cfRule type="uniqueValues" dxfId="192" priority="4440"/>
  </conditionalFormatting>
  <conditionalFormatting sqref="R234">
    <cfRule type="uniqueValues" dxfId="191" priority="4441"/>
  </conditionalFormatting>
  <conditionalFormatting sqref="R246">
    <cfRule type="uniqueValues" dxfId="190" priority="4103"/>
  </conditionalFormatting>
  <conditionalFormatting sqref="P246">
    <cfRule type="uniqueValues" dxfId="189" priority="4104"/>
  </conditionalFormatting>
  <conditionalFormatting sqref="P236">
    <cfRule type="uniqueValues" dxfId="188" priority="4043"/>
  </conditionalFormatting>
  <conditionalFormatting sqref="R198">
    <cfRule type="uniqueValues" dxfId="187" priority="3782"/>
  </conditionalFormatting>
  <conditionalFormatting sqref="R206">
    <cfRule type="uniqueValues" dxfId="186" priority="3779"/>
  </conditionalFormatting>
  <conditionalFormatting sqref="R212:R213">
    <cfRule type="uniqueValues" dxfId="185" priority="3778"/>
  </conditionalFormatting>
  <conditionalFormatting sqref="R219">
    <cfRule type="uniqueValues" dxfId="184" priority="3777"/>
  </conditionalFormatting>
  <conditionalFormatting sqref="P219">
    <cfRule type="uniqueValues" dxfId="183" priority="3776"/>
  </conditionalFormatting>
  <conditionalFormatting sqref="R184">
    <cfRule type="uniqueValues" dxfId="182" priority="3571"/>
  </conditionalFormatting>
  <conditionalFormatting sqref="P189:P190">
    <cfRule type="uniqueValues" dxfId="181" priority="3570"/>
  </conditionalFormatting>
  <conditionalFormatting sqref="P384">
    <cfRule type="uniqueValues" dxfId="180" priority="2236"/>
  </conditionalFormatting>
  <conditionalFormatting sqref="R389">
    <cfRule type="uniqueValues" dxfId="179" priority="2235"/>
  </conditionalFormatting>
  <conditionalFormatting sqref="R401:R403">
    <cfRule type="uniqueValues" dxfId="178" priority="2234"/>
  </conditionalFormatting>
  <conditionalFormatting sqref="P401:P402">
    <cfRule type="uniqueValues" dxfId="177" priority="2233"/>
  </conditionalFormatting>
  <conditionalFormatting sqref="P403">
    <cfRule type="uniqueValues" dxfId="176" priority="2232"/>
  </conditionalFormatting>
  <conditionalFormatting sqref="P280">
    <cfRule type="uniqueValues" dxfId="175" priority="627"/>
  </conditionalFormatting>
  <conditionalFormatting sqref="R284">
    <cfRule type="uniqueValues" dxfId="174" priority="620"/>
  </conditionalFormatting>
  <conditionalFormatting sqref="P284">
    <cfRule type="uniqueValues" dxfId="173" priority="621"/>
  </conditionalFormatting>
  <conditionalFormatting sqref="R436">
    <cfRule type="uniqueValues" dxfId="172" priority="553"/>
  </conditionalFormatting>
  <conditionalFormatting sqref="P277">
    <cfRule type="uniqueValues" dxfId="171" priority="542"/>
  </conditionalFormatting>
  <conditionalFormatting sqref="R277">
    <cfRule type="uniqueValues" dxfId="170" priority="541"/>
  </conditionalFormatting>
  <conditionalFormatting sqref="R280:R282">
    <cfRule type="uniqueValues" dxfId="169" priority="547"/>
  </conditionalFormatting>
  <conditionalFormatting sqref="R404">
    <cfRule type="uniqueValues" dxfId="168" priority="202"/>
  </conditionalFormatting>
  <conditionalFormatting sqref="P404">
    <cfRule type="uniqueValues" dxfId="167" priority="201"/>
  </conditionalFormatting>
  <conditionalFormatting sqref="P225:P226">
    <cfRule type="uniqueValues" dxfId="166" priority="6715"/>
  </conditionalFormatting>
  <conditionalFormatting sqref="R339">
    <cfRule type="uniqueValues" dxfId="165" priority="31"/>
  </conditionalFormatting>
  <conditionalFormatting sqref="P339">
    <cfRule type="uniqueValues" dxfId="164" priority="32"/>
  </conditionalFormatting>
  <conditionalFormatting sqref="P335:P338">
    <cfRule type="uniqueValues" dxfId="163" priority="29"/>
  </conditionalFormatting>
  <conditionalFormatting sqref="R335:R338">
    <cfRule type="uniqueValues" dxfId="162" priority="28"/>
  </conditionalFormatting>
  <conditionalFormatting sqref="R348">
    <cfRule type="uniqueValues" dxfId="161" priority="27"/>
  </conditionalFormatting>
  <conditionalFormatting sqref="R369:R371">
    <cfRule type="uniqueValues" dxfId="160" priority="6716"/>
  </conditionalFormatting>
  <conditionalFormatting sqref="R212">
    <cfRule type="uniqueValues" dxfId="159" priority="16"/>
  </conditionalFormatting>
  <conditionalFormatting sqref="R213">
    <cfRule type="uniqueValues" dxfId="158" priority="15"/>
  </conditionalFormatting>
  <conditionalFormatting sqref="R270">
    <cfRule type="uniqueValues" dxfId="157" priority="6743"/>
  </conditionalFormatting>
  <conditionalFormatting sqref="P278">
    <cfRule type="uniqueValues" dxfId="156" priority="14"/>
  </conditionalFormatting>
  <conditionalFormatting sqref="R278">
    <cfRule type="uniqueValues" dxfId="155" priority="13"/>
  </conditionalFormatting>
  <conditionalFormatting sqref="P279">
    <cfRule type="uniqueValues" dxfId="154" priority="12"/>
  </conditionalFormatting>
  <conditionalFormatting sqref="R279">
    <cfRule type="uniqueValues" dxfId="153" priority="11"/>
  </conditionalFormatting>
  <conditionalFormatting sqref="P281:P283">
    <cfRule type="uniqueValues" dxfId="152" priority="8"/>
  </conditionalFormatting>
  <conditionalFormatting sqref="R281:R283">
    <cfRule type="uniqueValues" dxfId="151" priority="7"/>
  </conditionalFormatting>
  <conditionalFormatting sqref="R326:R328">
    <cfRule type="uniqueValues" dxfId="150" priority="6762"/>
  </conditionalFormatting>
  <conditionalFormatting sqref="R285:R286">
    <cfRule type="uniqueValues" dxfId="149" priority="4"/>
  </conditionalFormatting>
  <conditionalFormatting sqref="R352">
    <cfRule type="uniqueValues" dxfId="148" priority="2"/>
  </conditionalFormatting>
  <conditionalFormatting sqref="R355">
    <cfRule type="uniqueValues" dxfId="147" priority="1"/>
  </conditionalFormatting>
  <conditionalFormatting sqref="R351:R355">
    <cfRule type="uniqueValues" dxfId="146" priority="6789"/>
  </conditionalFormatting>
  <printOptions horizontalCentered="1"/>
  <pageMargins left="0.5" right="0.5" top="0.5" bottom="0" header="0" footer="0"/>
  <pageSetup paperSize="9" scale="70" orientation="portrait" horizontalDpi="4294967293" r:id="rId1"/>
  <rowBreaks count="14" manualBreakCount="14">
    <brk id="52" min="1" max="20" man="1"/>
    <brk id="113" min="1" max="20" man="1"/>
    <brk id="167" min="1" max="20" man="1"/>
    <brk id="222" min="1" max="20" man="1"/>
    <brk id="267" min="1" max="20" man="1"/>
    <brk id="345" min="1" max="20" man="1"/>
    <brk id="460" min="1" max="20" man="1"/>
    <brk id="544" min="1" max="20" man="1"/>
    <brk id="608" min="1" max="20" man="1"/>
    <brk id="658" min="1" max="20" man="1"/>
    <brk id="721" min="1" max="20" man="1"/>
    <brk id="1526" min="1" max="20" man="1"/>
    <brk id="2505" min="1" max="20" man="1"/>
    <brk id="3255" min="1" max="20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Y791"/>
  <sheetViews>
    <sheetView view="pageBreakPreview" topLeftCell="A420" zoomScale="110" zoomScaleNormal="70" zoomScaleSheetLayoutView="110" workbookViewId="0">
      <selection activeCell="C51" sqref="C51:E52"/>
    </sheetView>
  </sheetViews>
  <sheetFormatPr defaultColWidth="9.28515625" defaultRowHeight="16.5" x14ac:dyDescent="0.3"/>
  <cols>
    <col min="1" max="1" width="1.42578125" style="351" customWidth="1"/>
    <col min="2" max="2" width="3.5703125" style="351" customWidth="1"/>
    <col min="3" max="3" width="4.7109375" style="429" customWidth="1"/>
    <col min="4" max="4" width="29.7109375" style="351" customWidth="1"/>
    <col min="5" max="5" width="7.140625" style="430" customWidth="1"/>
    <col min="6" max="6" width="2.28515625" style="481" customWidth="1"/>
    <col min="7" max="7" width="6.7109375" style="430" customWidth="1"/>
    <col min="8" max="8" width="2.28515625" style="481" customWidth="1"/>
    <col min="9" max="9" width="6.7109375" style="430" customWidth="1"/>
    <col min="10" max="10" width="2.28515625" style="481" customWidth="1"/>
    <col min="11" max="11" width="9.7109375" style="430" customWidth="1"/>
    <col min="12" max="12" width="2.28515625" style="481" customWidth="1"/>
    <col min="13" max="13" width="6.7109375" style="431" customWidth="1"/>
    <col min="14" max="14" width="2.28515625" style="481" customWidth="1"/>
    <col min="15" max="15" width="8.5703125" style="430" customWidth="1"/>
    <col min="16" max="16" width="2.28515625" style="481" customWidth="1"/>
    <col min="17" max="17" width="10.7109375" style="432" customWidth="1"/>
    <col min="18" max="18" width="2.28515625" style="481" customWidth="1"/>
    <col min="19" max="19" width="10.140625" style="433" customWidth="1"/>
    <col min="20" max="20" width="10" style="434" customWidth="1"/>
    <col min="21" max="21" width="4.28515625" style="352" bestFit="1" customWidth="1"/>
    <col min="22" max="22" width="14.85546875" style="673" customWidth="1"/>
    <col min="23" max="23" width="12.5703125" style="351" bestFit="1" customWidth="1"/>
    <col min="24" max="24" width="11.28515625" style="351" customWidth="1"/>
    <col min="25" max="25" width="13.7109375" style="351" bestFit="1" customWidth="1"/>
    <col min="26" max="16384" width="9.28515625" style="351"/>
  </cols>
  <sheetData>
    <row r="1" spans="2:22" s="1" customFormat="1" x14ac:dyDescent="0.3">
      <c r="B1" s="1" t="str">
        <f>RAB!B3</f>
        <v xml:space="preserve">Pekerjaan          </v>
      </c>
      <c r="C1" s="3"/>
      <c r="D1" s="1" t="str">
        <f>RAB!D3</f>
        <v>: Perencanaan Pembangunan Gedung Tahfizul Qur'an-Wahdatul Ulum UIN SU</v>
      </c>
      <c r="E1" s="153"/>
      <c r="F1" s="480"/>
      <c r="G1" s="153"/>
      <c r="H1" s="480"/>
      <c r="I1" s="153"/>
      <c r="J1" s="480"/>
      <c r="K1" s="153"/>
      <c r="L1" s="480"/>
      <c r="M1" s="162"/>
      <c r="N1" s="480"/>
      <c r="O1" s="153"/>
      <c r="P1" s="480"/>
      <c r="Q1" s="200"/>
      <c r="R1" s="480"/>
      <c r="S1" s="224"/>
      <c r="T1" s="66"/>
      <c r="U1" s="2"/>
      <c r="V1" s="43"/>
    </row>
    <row r="2" spans="2:22" s="1" customFormat="1" x14ac:dyDescent="0.3">
      <c r="B2" s="1" t="str">
        <f>RAB!B4</f>
        <v xml:space="preserve">Lokasi                </v>
      </c>
      <c r="C2" s="3"/>
      <c r="D2" s="1" t="str">
        <f>RAB!D4</f>
        <v xml:space="preserve">Kampus UINSU Jl. Sutomo No. 1 </v>
      </c>
      <c r="E2" s="153"/>
      <c r="F2" s="480"/>
      <c r="G2" s="153"/>
      <c r="H2" s="480"/>
      <c r="I2" s="153"/>
      <c r="J2" s="480"/>
      <c r="K2" s="153"/>
      <c r="L2" s="480"/>
      <c r="M2" s="162"/>
      <c r="N2" s="480"/>
      <c r="O2" s="153"/>
      <c r="P2" s="480"/>
      <c r="Q2" s="200"/>
      <c r="R2" s="480"/>
      <c r="S2" s="224"/>
      <c r="T2" s="66"/>
      <c r="U2" s="2"/>
      <c r="V2" s="43"/>
    </row>
    <row r="3" spans="2:22" s="1" customFormat="1" x14ac:dyDescent="0.3">
      <c r="B3" s="1" t="str">
        <f>RAB!B5</f>
        <v xml:space="preserve">Tahun                 </v>
      </c>
      <c r="C3" s="3"/>
      <c r="D3" s="1" t="str">
        <f>RAB!D5</f>
        <v>: 2022</v>
      </c>
      <c r="E3" s="153"/>
      <c r="F3" s="480"/>
      <c r="G3" s="153"/>
      <c r="H3" s="480"/>
      <c r="I3" s="153"/>
      <c r="J3" s="480"/>
      <c r="K3" s="153"/>
      <c r="L3" s="480"/>
      <c r="M3" s="162"/>
      <c r="N3" s="480"/>
      <c r="O3" s="153"/>
      <c r="P3" s="480"/>
      <c r="Q3" s="200"/>
      <c r="R3" s="480"/>
      <c r="S3" s="224"/>
      <c r="T3" s="66"/>
      <c r="U3" s="2"/>
      <c r="V3" s="43"/>
    </row>
    <row r="4" spans="2:22" s="67" customFormat="1" ht="22.15" customHeight="1" x14ac:dyDescent="0.2">
      <c r="B4" s="3098" t="s">
        <v>594</v>
      </c>
      <c r="C4" s="3098"/>
      <c r="D4" s="3098"/>
      <c r="E4" s="3098"/>
      <c r="F4" s="3098"/>
      <c r="G4" s="3098"/>
      <c r="H4" s="3098"/>
      <c r="I4" s="3098"/>
      <c r="J4" s="3098"/>
      <c r="K4" s="3098"/>
      <c r="L4" s="3098"/>
      <c r="M4" s="3098"/>
      <c r="N4" s="3098"/>
      <c r="O4" s="3098"/>
      <c r="P4" s="3098"/>
      <c r="Q4" s="3098"/>
      <c r="R4" s="3098"/>
      <c r="S4" s="3098"/>
      <c r="T4" s="3098"/>
      <c r="U4" s="3098"/>
      <c r="V4" s="672"/>
    </row>
    <row r="5" spans="2:22" s="1" customFormat="1" x14ac:dyDescent="0.3">
      <c r="B5" s="2"/>
      <c r="C5" s="110"/>
      <c r="D5" s="2"/>
      <c r="E5" s="153"/>
      <c r="F5" s="480"/>
      <c r="G5" s="153"/>
      <c r="H5" s="480"/>
      <c r="I5" s="153"/>
      <c r="J5" s="480"/>
      <c r="K5" s="153"/>
      <c r="L5" s="480"/>
      <c r="M5" s="162"/>
      <c r="N5" s="480"/>
      <c r="O5" s="153"/>
      <c r="P5" s="480"/>
      <c r="Q5" s="200"/>
      <c r="R5" s="480"/>
      <c r="S5" s="225"/>
      <c r="T5" s="2" t="s">
        <v>183</v>
      </c>
      <c r="U5" s="2" t="s">
        <v>184</v>
      </c>
      <c r="V5" s="43"/>
    </row>
    <row r="6" spans="2:22" s="1" customFormat="1" x14ac:dyDescent="0.3">
      <c r="B6" s="66" t="str">
        <f>RAB!B185</f>
        <v>C</v>
      </c>
      <c r="C6" s="66" t="str">
        <f>RAB!C185</f>
        <v>BANGUNAN LANTAI - 2</v>
      </c>
      <c r="E6" s="153"/>
      <c r="F6" s="480"/>
      <c r="G6" s="153"/>
      <c r="H6" s="480"/>
      <c r="I6" s="153"/>
      <c r="J6" s="480"/>
      <c r="K6" s="153"/>
      <c r="L6" s="480"/>
      <c r="M6" s="162"/>
      <c r="N6" s="480"/>
      <c r="O6" s="153"/>
      <c r="P6" s="480"/>
      <c r="Q6" s="200"/>
      <c r="R6" s="480"/>
      <c r="S6" s="224"/>
      <c r="T6" s="66"/>
      <c r="U6" s="2"/>
      <c r="V6" s="43"/>
    </row>
    <row r="7" spans="2:22" hidden="1" x14ac:dyDescent="0.3">
      <c r="B7" s="434"/>
      <c r="C7" s="435"/>
    </row>
    <row r="8" spans="2:22" s="1" customFormat="1" ht="17.25" hidden="1" thickBot="1" x14ac:dyDescent="0.35">
      <c r="B8" s="1">
        <f>RAB!B11</f>
        <v>1</v>
      </c>
      <c r="C8" s="3" t="str">
        <f>RAB!C11</f>
        <v>Pengukuran/Bowplank</v>
      </c>
      <c r="E8" s="153"/>
      <c r="F8" s="480"/>
      <c r="G8" s="153"/>
      <c r="H8" s="480"/>
      <c r="I8" s="153"/>
      <c r="J8" s="480"/>
      <c r="K8" s="153"/>
      <c r="L8" s="480"/>
      <c r="M8" s="162"/>
      <c r="N8" s="480"/>
      <c r="O8" s="153"/>
      <c r="P8" s="480"/>
      <c r="Q8" s="200"/>
      <c r="R8" s="480"/>
      <c r="S8" s="224"/>
      <c r="T8" s="99"/>
      <c r="U8" s="2"/>
      <c r="V8" s="43"/>
    </row>
    <row r="9" spans="2:22" s="1" customFormat="1" hidden="1" x14ac:dyDescent="0.3">
      <c r="C9" s="3"/>
      <c r="D9" s="8" t="s">
        <v>95</v>
      </c>
      <c r="E9" s="154" t="s">
        <v>150</v>
      </c>
      <c r="F9" s="493"/>
      <c r="G9" s="154" t="s">
        <v>151</v>
      </c>
      <c r="H9" s="493"/>
      <c r="I9" s="154" t="s">
        <v>152</v>
      </c>
      <c r="J9" s="493"/>
      <c r="K9" s="154" t="s">
        <v>153</v>
      </c>
      <c r="L9" s="494"/>
      <c r="M9" s="163" t="s">
        <v>32</v>
      </c>
      <c r="N9" s="494"/>
      <c r="O9" s="201" t="s">
        <v>163</v>
      </c>
      <c r="P9" s="494"/>
      <c r="Q9" s="202" t="s">
        <v>151</v>
      </c>
      <c r="R9" s="494"/>
      <c r="S9" s="226" t="s">
        <v>143</v>
      </c>
      <c r="T9" s="99"/>
      <c r="U9" s="2"/>
      <c r="V9" s="43"/>
    </row>
    <row r="10" spans="2:22" s="1" customFormat="1" hidden="1" x14ac:dyDescent="0.3">
      <c r="C10" s="3"/>
      <c r="D10" s="317" t="str">
        <f>RAB!C11</f>
        <v>Pengukuran/Bowplank</v>
      </c>
      <c r="E10" s="152"/>
      <c r="F10" s="495"/>
      <c r="G10" s="152"/>
      <c r="H10" s="496"/>
      <c r="I10" s="152"/>
      <c r="J10" s="495"/>
      <c r="K10" s="152"/>
      <c r="L10" s="496"/>
      <c r="M10" s="173"/>
      <c r="N10" s="496"/>
      <c r="O10" s="152"/>
      <c r="P10" s="495"/>
      <c r="Q10" s="221"/>
      <c r="R10" s="495"/>
      <c r="S10" s="316"/>
      <c r="T10" s="100">
        <f>S13</f>
        <v>138</v>
      </c>
      <c r="U10" s="2" t="s">
        <v>27</v>
      </c>
      <c r="V10" s="43"/>
    </row>
    <row r="11" spans="2:22" s="1" customFormat="1" hidden="1" x14ac:dyDescent="0.3">
      <c r="C11" s="3"/>
      <c r="D11" s="290" t="s">
        <v>286</v>
      </c>
      <c r="E11" s="187">
        <f>36+4</f>
        <v>40</v>
      </c>
      <c r="F11" s="497" t="s">
        <v>185</v>
      </c>
      <c r="G11" s="187"/>
      <c r="H11" s="498"/>
      <c r="I11" s="187"/>
      <c r="J11" s="497"/>
      <c r="K11" s="187">
        <v>2</v>
      </c>
      <c r="L11" s="498"/>
      <c r="M11" s="188"/>
      <c r="N11" s="498"/>
      <c r="O11" s="187"/>
      <c r="P11" s="497"/>
      <c r="Q11" s="218"/>
      <c r="R11" s="497" t="s">
        <v>114</v>
      </c>
      <c r="S11" s="293">
        <f>K11*E11</f>
        <v>80</v>
      </c>
      <c r="T11" s="100"/>
      <c r="U11" s="2"/>
      <c r="V11" s="43"/>
    </row>
    <row r="12" spans="2:22" s="1" customFormat="1" hidden="1" x14ac:dyDescent="0.3">
      <c r="C12" s="3"/>
      <c r="D12" s="290" t="s">
        <v>252</v>
      </c>
      <c r="E12" s="187">
        <f>25.5+3.5</f>
        <v>29</v>
      </c>
      <c r="F12" s="497" t="s">
        <v>185</v>
      </c>
      <c r="G12" s="187"/>
      <c r="H12" s="498"/>
      <c r="I12" s="187"/>
      <c r="J12" s="497"/>
      <c r="K12" s="187">
        <v>2</v>
      </c>
      <c r="L12" s="498"/>
      <c r="M12" s="188"/>
      <c r="N12" s="498"/>
      <c r="O12" s="187"/>
      <c r="P12" s="497"/>
      <c r="Q12" s="218"/>
      <c r="R12" s="497" t="s">
        <v>114</v>
      </c>
      <c r="S12" s="293">
        <f>K12*E12</f>
        <v>58</v>
      </c>
      <c r="T12" s="100"/>
      <c r="U12" s="2"/>
      <c r="V12" s="43"/>
    </row>
    <row r="13" spans="2:22" s="1" customFormat="1" ht="17.25" hidden="1" thickBot="1" x14ac:dyDescent="0.35">
      <c r="C13" s="3"/>
      <c r="D13" s="3099" t="s">
        <v>164</v>
      </c>
      <c r="E13" s="3100"/>
      <c r="F13" s="3100"/>
      <c r="G13" s="3100"/>
      <c r="H13" s="3100"/>
      <c r="I13" s="3100"/>
      <c r="J13" s="499"/>
      <c r="K13" s="174"/>
      <c r="L13" s="500"/>
      <c r="M13" s="175"/>
      <c r="N13" s="500"/>
      <c r="O13" s="178"/>
      <c r="P13" s="500"/>
      <c r="Q13" s="203"/>
      <c r="R13" s="500"/>
      <c r="S13" s="227">
        <f>SUM(S10:S12)</f>
        <v>138</v>
      </c>
      <c r="T13" s="99"/>
      <c r="U13" s="2"/>
      <c r="V13" s="43"/>
    </row>
    <row r="14" spans="2:22" s="1" customFormat="1" hidden="1" x14ac:dyDescent="0.3">
      <c r="C14" s="3"/>
      <c r="D14" s="111"/>
      <c r="E14" s="156"/>
      <c r="F14" s="501"/>
      <c r="G14" s="156"/>
      <c r="H14" s="501"/>
      <c r="I14" s="156"/>
      <c r="J14" s="501"/>
      <c r="K14" s="156"/>
      <c r="L14" s="501"/>
      <c r="M14" s="165"/>
      <c r="N14" s="501"/>
      <c r="O14" s="156"/>
      <c r="P14" s="501"/>
      <c r="Q14" s="204"/>
      <c r="R14" s="501"/>
      <c r="S14" s="228"/>
      <c r="T14" s="99"/>
      <c r="U14" s="2"/>
      <c r="V14" s="43"/>
    </row>
    <row r="15" spans="2:22" s="1" customFormat="1" ht="17.25" hidden="1" thickBot="1" x14ac:dyDescent="0.35">
      <c r="B15" s="1">
        <f>RAB!B12</f>
        <v>2</v>
      </c>
      <c r="C15" s="3" t="str">
        <f>RAB!C12</f>
        <v>Pagar Pengaman Proyek</v>
      </c>
      <c r="D15" s="111"/>
      <c r="E15" s="156"/>
      <c r="F15" s="501"/>
      <c r="G15" s="156"/>
      <c r="H15" s="501"/>
      <c r="I15" s="156"/>
      <c r="J15" s="501"/>
      <c r="K15" s="156"/>
      <c r="L15" s="501"/>
      <c r="M15" s="165"/>
      <c r="N15" s="501"/>
      <c r="O15" s="156"/>
      <c r="P15" s="501"/>
      <c r="Q15" s="204"/>
      <c r="R15" s="501"/>
      <c r="S15" s="228"/>
      <c r="T15" s="100">
        <f>S20</f>
        <v>158</v>
      </c>
      <c r="U15" s="2" t="s">
        <v>27</v>
      </c>
      <c r="V15" s="43"/>
    </row>
    <row r="16" spans="2:22" s="1" customFormat="1" hidden="1" x14ac:dyDescent="0.3">
      <c r="C16" s="3"/>
      <c r="D16" s="8" t="s">
        <v>95</v>
      </c>
      <c r="E16" s="154" t="s">
        <v>150</v>
      </c>
      <c r="F16" s="493"/>
      <c r="G16" s="154" t="s">
        <v>151</v>
      </c>
      <c r="H16" s="493"/>
      <c r="I16" s="154" t="s">
        <v>152</v>
      </c>
      <c r="J16" s="493"/>
      <c r="K16" s="154" t="s">
        <v>153</v>
      </c>
      <c r="L16" s="494"/>
      <c r="M16" s="163" t="s">
        <v>32</v>
      </c>
      <c r="N16" s="494"/>
      <c r="O16" s="201" t="s">
        <v>163</v>
      </c>
      <c r="P16" s="494"/>
      <c r="Q16" s="202" t="s">
        <v>151</v>
      </c>
      <c r="R16" s="494"/>
      <c r="S16" s="226" t="s">
        <v>143</v>
      </c>
      <c r="T16" s="99"/>
      <c r="U16" s="2"/>
      <c r="V16" s="43"/>
    </row>
    <row r="17" spans="2:23" s="1" customFormat="1" hidden="1" x14ac:dyDescent="0.3">
      <c r="C17" s="3"/>
      <c r="D17" s="315" t="s">
        <v>592</v>
      </c>
      <c r="E17" s="152"/>
      <c r="F17" s="495"/>
      <c r="G17" s="152"/>
      <c r="H17" s="496"/>
      <c r="I17" s="152"/>
      <c r="J17" s="495"/>
      <c r="K17" s="152"/>
      <c r="L17" s="496"/>
      <c r="M17" s="173"/>
      <c r="N17" s="496"/>
      <c r="O17" s="152"/>
      <c r="P17" s="495"/>
      <c r="Q17" s="221"/>
      <c r="R17" s="495"/>
      <c r="S17" s="316"/>
      <c r="V17" s="43"/>
    </row>
    <row r="18" spans="2:23" s="1" customFormat="1" hidden="1" x14ac:dyDescent="0.3">
      <c r="C18" s="3"/>
      <c r="D18" s="290" t="s">
        <v>286</v>
      </c>
      <c r="E18" s="187">
        <v>52</v>
      </c>
      <c r="F18" s="497" t="s">
        <v>185</v>
      </c>
      <c r="G18" s="187"/>
      <c r="H18" s="498"/>
      <c r="I18" s="187"/>
      <c r="J18" s="497"/>
      <c r="K18" s="187">
        <v>2</v>
      </c>
      <c r="L18" s="498"/>
      <c r="M18" s="188"/>
      <c r="N18" s="498"/>
      <c r="O18" s="187"/>
      <c r="P18" s="497"/>
      <c r="Q18" s="218"/>
      <c r="R18" s="497" t="s">
        <v>114</v>
      </c>
      <c r="S18" s="293">
        <f>K18*E18</f>
        <v>104</v>
      </c>
      <c r="T18" s="100"/>
      <c r="U18" s="2"/>
      <c r="V18" s="43"/>
    </row>
    <row r="19" spans="2:23" s="1" customFormat="1" hidden="1" x14ac:dyDescent="0.3">
      <c r="C19" s="3"/>
      <c r="D19" s="290" t="s">
        <v>252</v>
      </c>
      <c r="E19" s="187">
        <v>27</v>
      </c>
      <c r="F19" s="497" t="s">
        <v>185</v>
      </c>
      <c r="G19" s="187"/>
      <c r="H19" s="498"/>
      <c r="I19" s="187"/>
      <c r="J19" s="497"/>
      <c r="K19" s="187">
        <v>2</v>
      </c>
      <c r="L19" s="498"/>
      <c r="M19" s="188"/>
      <c r="N19" s="498"/>
      <c r="O19" s="187"/>
      <c r="P19" s="497"/>
      <c r="Q19" s="218"/>
      <c r="R19" s="497" t="s">
        <v>114</v>
      </c>
      <c r="S19" s="293">
        <f>K19*E19</f>
        <v>54</v>
      </c>
      <c r="T19" s="100"/>
      <c r="U19" s="2"/>
      <c r="V19" s="43"/>
    </row>
    <row r="20" spans="2:23" s="1" customFormat="1" ht="17.25" hidden="1" thickBot="1" x14ac:dyDescent="0.35">
      <c r="C20" s="64"/>
      <c r="D20" s="3099" t="s">
        <v>164</v>
      </c>
      <c r="E20" s="3100"/>
      <c r="F20" s="3100"/>
      <c r="G20" s="3100"/>
      <c r="H20" s="3100"/>
      <c r="I20" s="3100"/>
      <c r="J20" s="499"/>
      <c r="K20" s="174"/>
      <c r="L20" s="500"/>
      <c r="M20" s="175"/>
      <c r="N20" s="500"/>
      <c r="O20" s="178"/>
      <c r="P20" s="500"/>
      <c r="Q20" s="203"/>
      <c r="R20" s="500"/>
      <c r="S20" s="227">
        <f>SUM(S18:S19)</f>
        <v>158</v>
      </c>
      <c r="T20" s="66"/>
      <c r="U20" s="2"/>
      <c r="V20" s="43"/>
    </row>
    <row r="21" spans="2:23" hidden="1" x14ac:dyDescent="0.3">
      <c r="D21" s="437"/>
      <c r="E21" s="438"/>
      <c r="F21" s="482"/>
      <c r="G21" s="438"/>
      <c r="H21" s="482"/>
      <c r="I21" s="438"/>
      <c r="J21" s="482"/>
      <c r="K21" s="438"/>
      <c r="L21" s="482"/>
      <c r="M21" s="439"/>
      <c r="N21" s="482"/>
      <c r="O21" s="438"/>
      <c r="P21" s="482"/>
      <c r="Q21" s="440"/>
      <c r="R21" s="482"/>
      <c r="S21" s="441"/>
      <c r="T21" s="436"/>
    </row>
    <row r="22" spans="2:23" s="1" customFormat="1" hidden="1" x14ac:dyDescent="0.3">
      <c r="B22" s="1">
        <f>RAB!B18</f>
        <v>8</v>
      </c>
      <c r="C22" s="3" t="str">
        <f>RAB!C18</f>
        <v>Biaya SMK 3</v>
      </c>
      <c r="D22" s="111"/>
      <c r="E22" s="156"/>
      <c r="F22" s="501"/>
      <c r="G22" s="156"/>
      <c r="H22" s="501"/>
      <c r="I22" s="156"/>
      <c r="J22" s="501"/>
      <c r="K22" s="156"/>
      <c r="L22" s="501"/>
      <c r="M22" s="165"/>
      <c r="N22" s="501"/>
      <c r="O22" s="156"/>
      <c r="P22" s="501"/>
      <c r="Q22" s="204"/>
      <c r="R22" s="501"/>
      <c r="S22" s="228"/>
      <c r="T22" s="99">
        <v>1</v>
      </c>
      <c r="U22" s="2" t="s">
        <v>1</v>
      </c>
      <c r="V22" s="43"/>
    </row>
    <row r="23" spans="2:23" hidden="1" x14ac:dyDescent="0.3">
      <c r="D23" s="437"/>
      <c r="E23" s="438"/>
      <c r="F23" s="482"/>
      <c r="G23" s="438"/>
      <c r="H23" s="482"/>
      <c r="I23" s="438"/>
      <c r="J23" s="482"/>
      <c r="K23" s="438"/>
      <c r="L23" s="482"/>
      <c r="M23" s="439"/>
      <c r="N23" s="482"/>
      <c r="O23" s="438"/>
      <c r="P23" s="482"/>
      <c r="Q23" s="440"/>
      <c r="R23" s="482"/>
      <c r="S23" s="441"/>
      <c r="T23" s="436"/>
    </row>
    <row r="24" spans="2:23" s="32" customFormat="1" hidden="1" x14ac:dyDescent="0.3">
      <c r="B24" s="50" t="str">
        <f>RAB!B21</f>
        <v>B</v>
      </c>
      <c r="C24" s="119" t="str">
        <f>RAB!C21</f>
        <v>BANGUNAN LANTAI - 1</v>
      </c>
      <c r="E24" s="176"/>
      <c r="F24" s="504"/>
      <c r="G24" s="176"/>
      <c r="H24" s="504"/>
      <c r="I24" s="176"/>
      <c r="J24" s="504"/>
      <c r="K24" s="176"/>
      <c r="L24" s="504"/>
      <c r="M24" s="177"/>
      <c r="N24" s="504"/>
      <c r="O24" s="176"/>
      <c r="P24" s="504"/>
      <c r="Q24" s="205"/>
      <c r="R24" s="504"/>
      <c r="S24" s="229"/>
      <c r="T24" s="53"/>
      <c r="U24" s="50"/>
      <c r="V24" s="51"/>
    </row>
    <row r="25" spans="2:23" s="32" customFormat="1" hidden="1" x14ac:dyDescent="0.3">
      <c r="B25" s="34" t="str">
        <f>RAB!B22</f>
        <v>I</v>
      </c>
      <c r="C25" s="33" t="str">
        <f>RAB!C22</f>
        <v>PEKERJAAN TANAH</v>
      </c>
      <c r="E25" s="176"/>
      <c r="F25" s="504"/>
      <c r="G25" s="176"/>
      <c r="H25" s="504"/>
      <c r="I25" s="176"/>
      <c r="J25" s="504"/>
      <c r="K25" s="176"/>
      <c r="L25" s="504"/>
      <c r="M25" s="177"/>
      <c r="N25" s="504"/>
      <c r="O25" s="176"/>
      <c r="P25" s="504"/>
      <c r="Q25" s="205"/>
      <c r="R25" s="504"/>
      <c r="S25" s="229"/>
      <c r="T25" s="53"/>
      <c r="U25" s="53"/>
      <c r="V25" s="51"/>
    </row>
    <row r="26" spans="2:23" s="32" customFormat="1" ht="17.25" hidden="1" thickBot="1" x14ac:dyDescent="0.35">
      <c r="B26" s="34" t="e">
        <f>RAB!#REF!</f>
        <v>#REF!</v>
      </c>
      <c r="C26" s="33" t="e">
        <f>RAB!#REF!</f>
        <v>#REF!</v>
      </c>
      <c r="E26" s="176"/>
      <c r="F26" s="504"/>
      <c r="G26" s="176"/>
      <c r="H26" s="504"/>
      <c r="I26" s="176"/>
      <c r="J26" s="504"/>
      <c r="K26" s="176"/>
      <c r="L26" s="504"/>
      <c r="M26" s="177"/>
      <c r="N26" s="504"/>
      <c r="O26" s="176"/>
      <c r="P26" s="504"/>
      <c r="Q26" s="205"/>
      <c r="R26" s="504"/>
      <c r="S26" s="229"/>
      <c r="T26" s="100">
        <v>0</v>
      </c>
      <c r="U26" s="2" t="s">
        <v>3</v>
      </c>
      <c r="V26" s="51"/>
      <c r="W26" s="32">
        <v>1269</v>
      </c>
    </row>
    <row r="27" spans="2:23" s="1" customFormat="1" hidden="1" x14ac:dyDescent="0.3">
      <c r="C27" s="3"/>
      <c r="D27" s="8" t="s">
        <v>95</v>
      </c>
      <c r="E27" s="154" t="s">
        <v>150</v>
      </c>
      <c r="F27" s="493"/>
      <c r="G27" s="154" t="s">
        <v>151</v>
      </c>
      <c r="H27" s="493"/>
      <c r="I27" s="154" t="s">
        <v>152</v>
      </c>
      <c r="J27" s="493"/>
      <c r="K27" s="154" t="s">
        <v>153</v>
      </c>
      <c r="L27" s="494"/>
      <c r="M27" s="163" t="s">
        <v>32</v>
      </c>
      <c r="N27" s="494"/>
      <c r="O27" s="201" t="s">
        <v>163</v>
      </c>
      <c r="P27" s="494"/>
      <c r="Q27" s="202" t="s">
        <v>151</v>
      </c>
      <c r="R27" s="494"/>
      <c r="S27" s="226" t="s">
        <v>143</v>
      </c>
      <c r="T27" s="99"/>
      <c r="U27" s="2"/>
      <c r="V27" s="43"/>
    </row>
    <row r="28" spans="2:23" s="1" customFormat="1" hidden="1" x14ac:dyDescent="0.3">
      <c r="C28" s="3"/>
      <c r="D28" s="315" t="s">
        <v>1299</v>
      </c>
      <c r="E28" s="331"/>
      <c r="F28" s="565"/>
      <c r="G28" s="331"/>
      <c r="H28" s="575"/>
      <c r="I28" s="331"/>
      <c r="J28" s="565"/>
      <c r="K28" s="331"/>
      <c r="L28" s="575"/>
      <c r="M28" s="331"/>
      <c r="N28" s="575"/>
      <c r="O28" s="331"/>
      <c r="P28" s="565"/>
      <c r="Q28" s="331"/>
      <c r="R28" s="565"/>
      <c r="S28" s="1068"/>
      <c r="V28" s="43"/>
    </row>
    <row r="29" spans="2:23" s="1" customFormat="1" hidden="1" x14ac:dyDescent="0.3">
      <c r="C29" s="3"/>
      <c r="D29" s="1140" t="s">
        <v>1300</v>
      </c>
      <c r="E29" s="589">
        <v>20</v>
      </c>
      <c r="F29" s="588"/>
      <c r="G29" s="589"/>
      <c r="H29" s="629"/>
      <c r="I29" s="589"/>
      <c r="J29" s="588"/>
      <c r="K29" s="589"/>
      <c r="L29" s="629"/>
      <c r="M29" s="589"/>
      <c r="N29" s="629"/>
      <c r="O29" s="589"/>
      <c r="P29" s="588"/>
      <c r="Q29" s="589">
        <f>(5.15+8.6)/2</f>
        <v>6.875</v>
      </c>
      <c r="R29" s="588" t="s">
        <v>114</v>
      </c>
      <c r="S29" s="1139">
        <f>Q29*E29</f>
        <v>137.5</v>
      </c>
      <c r="V29" s="43"/>
    </row>
    <row r="30" spans="2:23" s="1" customFormat="1" hidden="1" x14ac:dyDescent="0.3">
      <c r="C30" s="3"/>
      <c r="D30" s="1140" t="s">
        <v>1301</v>
      </c>
      <c r="E30" s="589">
        <v>20</v>
      </c>
      <c r="F30" s="588"/>
      <c r="G30" s="589"/>
      <c r="H30" s="629"/>
      <c r="I30" s="589"/>
      <c r="J30" s="588"/>
      <c r="K30" s="589"/>
      <c r="L30" s="629"/>
      <c r="M30" s="589"/>
      <c r="N30" s="629"/>
      <c r="O30" s="589"/>
      <c r="P30" s="588"/>
      <c r="Q30" s="589">
        <f>(8.6+(5.24+7.03))/2</f>
        <v>10.434999999999999</v>
      </c>
      <c r="R30" s="588" t="s">
        <v>114</v>
      </c>
      <c r="S30" s="1139">
        <f>Q30*E30</f>
        <v>208.7</v>
      </c>
      <c r="V30" s="43"/>
    </row>
    <row r="31" spans="2:23" s="1" customFormat="1" hidden="1" x14ac:dyDescent="0.3">
      <c r="C31" s="3"/>
      <c r="D31" s="1140" t="s">
        <v>1302</v>
      </c>
      <c r="E31" s="589">
        <v>20</v>
      </c>
      <c r="F31" s="588"/>
      <c r="G31" s="589"/>
      <c r="H31" s="629"/>
      <c r="I31" s="589"/>
      <c r="J31" s="588"/>
      <c r="K31" s="589"/>
      <c r="L31" s="629"/>
      <c r="M31" s="589"/>
      <c r="N31" s="629"/>
      <c r="O31" s="589"/>
      <c r="P31" s="588"/>
      <c r="Q31" s="589">
        <f>(18.04+(5.24+7.03))/2</f>
        <v>15.154999999999999</v>
      </c>
      <c r="R31" s="588" t="s">
        <v>114</v>
      </c>
      <c r="S31" s="1139">
        <f>Q31*E31</f>
        <v>303.09999999999997</v>
      </c>
      <c r="V31" s="43"/>
    </row>
    <row r="32" spans="2:23" s="1" customFormat="1" hidden="1" x14ac:dyDescent="0.3">
      <c r="C32" s="3"/>
      <c r="D32" s="315" t="s">
        <v>1303</v>
      </c>
      <c r="E32" s="589"/>
      <c r="F32" s="588"/>
      <c r="G32" s="589"/>
      <c r="H32" s="629"/>
      <c r="I32" s="589"/>
      <c r="J32" s="588"/>
      <c r="K32" s="589"/>
      <c r="L32" s="629"/>
      <c r="M32" s="589"/>
      <c r="N32" s="629"/>
      <c r="O32" s="589"/>
      <c r="P32" s="588"/>
      <c r="Q32" s="589"/>
      <c r="R32" s="588"/>
      <c r="S32" s="1139"/>
      <c r="V32" s="43"/>
    </row>
    <row r="33" spans="2:22" s="1" customFormat="1" hidden="1" x14ac:dyDescent="0.3">
      <c r="C33" s="3"/>
      <c r="D33" s="1140" t="s">
        <v>1300</v>
      </c>
      <c r="E33" s="589">
        <v>20</v>
      </c>
      <c r="F33" s="588"/>
      <c r="G33" s="589"/>
      <c r="H33" s="629"/>
      <c r="I33" s="589"/>
      <c r="J33" s="588"/>
      <c r="K33" s="589"/>
      <c r="L33" s="629"/>
      <c r="M33" s="589"/>
      <c r="N33" s="629"/>
      <c r="O33" s="589"/>
      <c r="P33" s="588"/>
      <c r="Q33" s="589">
        <f>(4.875+3.3)/2</f>
        <v>4.0875000000000004</v>
      </c>
      <c r="R33" s="588" t="s">
        <v>114</v>
      </c>
      <c r="S33" s="1139">
        <f>Q33*E33</f>
        <v>81.75</v>
      </c>
      <c r="V33" s="43"/>
    </row>
    <row r="34" spans="2:22" s="1" customFormat="1" hidden="1" x14ac:dyDescent="0.3">
      <c r="C34" s="3"/>
      <c r="D34" s="1140" t="s">
        <v>1301</v>
      </c>
      <c r="E34" s="589">
        <v>20</v>
      </c>
      <c r="F34" s="588"/>
      <c r="G34" s="589"/>
      <c r="H34" s="629"/>
      <c r="I34" s="589"/>
      <c r="J34" s="588"/>
      <c r="K34" s="589"/>
      <c r="L34" s="629"/>
      <c r="M34" s="589"/>
      <c r="N34" s="629"/>
      <c r="O34" s="589"/>
      <c r="P34" s="588"/>
      <c r="Q34" s="589">
        <f>(2.1+3.3)/2</f>
        <v>2.7</v>
      </c>
      <c r="R34" s="588" t="s">
        <v>114</v>
      </c>
      <c r="S34" s="1139">
        <f>Q34*E34</f>
        <v>54</v>
      </c>
      <c r="V34" s="43"/>
    </row>
    <row r="35" spans="2:22" s="1" customFormat="1" hidden="1" x14ac:dyDescent="0.3">
      <c r="C35" s="3"/>
      <c r="D35" s="1140" t="s">
        <v>1302</v>
      </c>
      <c r="E35" s="589">
        <v>20</v>
      </c>
      <c r="F35" s="588"/>
      <c r="G35" s="589"/>
      <c r="H35" s="629"/>
      <c r="I35" s="589"/>
      <c r="J35" s="588"/>
      <c r="K35" s="589"/>
      <c r="L35" s="629"/>
      <c r="M35" s="589"/>
      <c r="N35" s="629"/>
      <c r="O35" s="589"/>
      <c r="P35" s="588"/>
      <c r="Q35" s="589">
        <f>(13.69+2.1)/2</f>
        <v>7.8949999999999996</v>
      </c>
      <c r="R35" s="588" t="s">
        <v>114</v>
      </c>
      <c r="S35" s="1139">
        <f>Q35*E35</f>
        <v>157.89999999999998</v>
      </c>
      <c r="V35" s="43"/>
    </row>
    <row r="36" spans="2:22" s="1" customFormat="1" hidden="1" x14ac:dyDescent="0.3">
      <c r="C36" s="3"/>
      <c r="D36" s="290"/>
      <c r="E36" s="1161"/>
      <c r="F36" s="518"/>
      <c r="G36" s="1161"/>
      <c r="H36" s="517"/>
      <c r="I36" s="1161"/>
      <c r="J36" s="518"/>
      <c r="K36" s="1161"/>
      <c r="L36" s="517"/>
      <c r="M36" s="1161"/>
      <c r="N36" s="517"/>
      <c r="O36" s="1161"/>
      <c r="P36" s="518"/>
      <c r="Q36" s="1161"/>
      <c r="R36" s="518"/>
      <c r="S36" s="553"/>
      <c r="T36" s="100"/>
      <c r="U36" s="2"/>
      <c r="V36" s="43"/>
    </row>
    <row r="37" spans="2:22" s="1" customFormat="1" ht="17.25" hidden="1" thickBot="1" x14ac:dyDescent="0.35">
      <c r="C37" s="64"/>
      <c r="D37" s="3099" t="s">
        <v>164</v>
      </c>
      <c r="E37" s="3100"/>
      <c r="F37" s="3100"/>
      <c r="G37" s="3100"/>
      <c r="H37" s="3100"/>
      <c r="I37" s="3100"/>
      <c r="J37" s="499"/>
      <c r="K37" s="174"/>
      <c r="L37" s="500"/>
      <c r="M37" s="175"/>
      <c r="N37" s="500"/>
      <c r="O37" s="178"/>
      <c r="P37" s="500"/>
      <c r="Q37" s="203"/>
      <c r="R37" s="500"/>
      <c r="S37" s="227">
        <f>SUM(S28:S36)</f>
        <v>942.94999999999993</v>
      </c>
      <c r="T37" s="66"/>
      <c r="U37" s="2"/>
      <c r="V37" s="43"/>
    </row>
    <row r="38" spans="2:22" hidden="1" x14ac:dyDescent="0.3">
      <c r="D38" s="437"/>
      <c r="E38" s="438"/>
      <c r="F38" s="482"/>
      <c r="G38" s="438"/>
      <c r="H38" s="482"/>
      <c r="I38" s="438"/>
      <c r="J38" s="482"/>
      <c r="K38" s="438"/>
      <c r="L38" s="482"/>
      <c r="M38" s="439"/>
      <c r="N38" s="482"/>
      <c r="O38" s="438"/>
      <c r="P38" s="482"/>
      <c r="Q38" s="440"/>
      <c r="R38" s="482"/>
      <c r="S38" s="441"/>
      <c r="T38" s="436"/>
    </row>
    <row r="39" spans="2:22" s="32" customFormat="1" ht="17.25" hidden="1" thickBot="1" x14ac:dyDescent="0.35">
      <c r="B39" s="34">
        <f>RAB!B23</f>
        <v>1</v>
      </c>
      <c r="C39" s="33" t="str">
        <f>RAB!C23</f>
        <v xml:space="preserve">Galian Tanah </v>
      </c>
      <c r="E39" s="176"/>
      <c r="F39" s="504"/>
      <c r="G39" s="176"/>
      <c r="H39" s="504"/>
      <c r="I39" s="176"/>
      <c r="J39" s="504"/>
      <c r="K39" s="176"/>
      <c r="L39" s="504"/>
      <c r="M39" s="177"/>
      <c r="N39" s="504"/>
      <c r="O39" s="176"/>
      <c r="P39" s="504"/>
      <c r="Q39" s="205"/>
      <c r="R39" s="504"/>
      <c r="S39" s="229"/>
      <c r="T39" s="100">
        <f>ROUNDDOWN(S45,2)</f>
        <v>70.62</v>
      </c>
      <c r="U39" s="50" t="s">
        <v>3</v>
      </c>
      <c r="V39" s="51"/>
    </row>
    <row r="40" spans="2:22" s="32" customFormat="1" hidden="1" x14ac:dyDescent="0.3">
      <c r="C40" s="33"/>
      <c r="D40" s="52" t="s">
        <v>95</v>
      </c>
      <c r="E40" s="155" t="s">
        <v>150</v>
      </c>
      <c r="F40" s="505"/>
      <c r="G40" s="155" t="s">
        <v>151</v>
      </c>
      <c r="H40" s="505"/>
      <c r="I40" s="155" t="s">
        <v>152</v>
      </c>
      <c r="J40" s="505"/>
      <c r="K40" s="155" t="s">
        <v>153</v>
      </c>
      <c r="L40" s="506"/>
      <c r="M40" s="164" t="s">
        <v>32</v>
      </c>
      <c r="N40" s="506"/>
      <c r="O40" s="206" t="s">
        <v>163</v>
      </c>
      <c r="P40" s="506"/>
      <c r="Q40" s="207" t="s">
        <v>151</v>
      </c>
      <c r="R40" s="506"/>
      <c r="S40" s="230" t="s">
        <v>143</v>
      </c>
      <c r="T40" s="419"/>
      <c r="U40" s="50"/>
      <c r="V40" s="51"/>
    </row>
    <row r="41" spans="2:22" s="32" customFormat="1" hidden="1" x14ac:dyDescent="0.3">
      <c r="C41" s="33"/>
      <c r="D41" s="297" t="s">
        <v>249</v>
      </c>
      <c r="E41" s="217"/>
      <c r="F41" s="507"/>
      <c r="G41" s="217"/>
      <c r="H41" s="507"/>
      <c r="I41" s="217"/>
      <c r="J41" s="507"/>
      <c r="K41" s="217"/>
      <c r="L41" s="508"/>
      <c r="M41" s="217"/>
      <c r="N41" s="508"/>
      <c r="O41" s="217"/>
      <c r="P41" s="508"/>
      <c r="Q41" s="276"/>
      <c r="R41" s="507"/>
      <c r="S41" s="298"/>
      <c r="T41" s="419"/>
      <c r="U41" s="50"/>
      <c r="V41" s="51"/>
    </row>
    <row r="42" spans="2:22" s="32" customFormat="1" hidden="1" x14ac:dyDescent="0.3">
      <c r="C42" s="33"/>
      <c r="D42" s="140" t="s">
        <v>1311</v>
      </c>
      <c r="E42" s="328">
        <v>1.1000000000000001</v>
      </c>
      <c r="F42" s="509" t="s">
        <v>185</v>
      </c>
      <c r="G42" s="328">
        <v>1.1000000000000001</v>
      </c>
      <c r="H42" s="509" t="s">
        <v>185</v>
      </c>
      <c r="I42" s="328">
        <v>0.75</v>
      </c>
      <c r="J42" s="509" t="s">
        <v>185</v>
      </c>
      <c r="K42" s="328">
        <f>14*4</f>
        <v>56</v>
      </c>
      <c r="L42" s="510"/>
      <c r="M42" s="328"/>
      <c r="N42" s="510"/>
      <c r="O42" s="328"/>
      <c r="P42" s="510"/>
      <c r="Q42" s="328"/>
      <c r="R42" s="509" t="s">
        <v>114</v>
      </c>
      <c r="S42" s="511">
        <f>K42*I42*G42*E42</f>
        <v>50.820000000000007</v>
      </c>
      <c r="T42" s="419"/>
      <c r="U42" s="50"/>
      <c r="V42" s="51">
        <f>SUM(S42:S43)</f>
        <v>70.62</v>
      </c>
    </row>
    <row r="43" spans="2:22" s="32" customFormat="1" hidden="1" x14ac:dyDescent="0.3">
      <c r="C43" s="33"/>
      <c r="D43" s="140" t="s">
        <v>1312</v>
      </c>
      <c r="E43" s="328">
        <v>2</v>
      </c>
      <c r="F43" s="509" t="s">
        <v>185</v>
      </c>
      <c r="G43" s="328">
        <v>1.1000000000000001</v>
      </c>
      <c r="H43" s="509" t="s">
        <v>185</v>
      </c>
      <c r="I43" s="328">
        <f>I42</f>
        <v>0.75</v>
      </c>
      <c r="J43" s="509" t="s">
        <v>185</v>
      </c>
      <c r="K43" s="328">
        <f>3*4</f>
        <v>12</v>
      </c>
      <c r="L43" s="510"/>
      <c r="M43" s="328"/>
      <c r="N43" s="510"/>
      <c r="O43" s="328"/>
      <c r="P43" s="510"/>
      <c r="Q43" s="328"/>
      <c r="R43" s="509" t="s">
        <v>114</v>
      </c>
      <c r="S43" s="511">
        <f>K43*I43*G43*E43</f>
        <v>19.8</v>
      </c>
      <c r="T43" s="419"/>
      <c r="U43" s="50"/>
      <c r="V43" s="51"/>
    </row>
    <row r="44" spans="2:22" s="1" customFormat="1" hidden="1" x14ac:dyDescent="0.3">
      <c r="C44" s="64"/>
      <c r="D44" s="313"/>
      <c r="E44" s="330"/>
      <c r="F44" s="512"/>
      <c r="G44" s="330"/>
      <c r="H44" s="512"/>
      <c r="I44" s="330"/>
      <c r="J44" s="512"/>
      <c r="K44" s="330"/>
      <c r="L44" s="512"/>
      <c r="M44" s="330"/>
      <c r="N44" s="512"/>
      <c r="O44" s="330"/>
      <c r="P44" s="512"/>
      <c r="Q44" s="330"/>
      <c r="R44" s="512"/>
      <c r="S44" s="513"/>
      <c r="T44" s="66"/>
      <c r="U44" s="2"/>
      <c r="V44" s="43"/>
    </row>
    <row r="45" spans="2:22" s="1" customFormat="1" ht="17.25" hidden="1" thickBot="1" x14ac:dyDescent="0.35">
      <c r="C45" s="64"/>
      <c r="D45" s="3099" t="s">
        <v>164</v>
      </c>
      <c r="E45" s="3100"/>
      <c r="F45" s="3100"/>
      <c r="G45" s="3100"/>
      <c r="H45" s="3100"/>
      <c r="I45" s="3100"/>
      <c r="J45" s="499"/>
      <c r="K45" s="174"/>
      <c r="L45" s="500"/>
      <c r="M45" s="175"/>
      <c r="N45" s="500"/>
      <c r="O45" s="178"/>
      <c r="P45" s="500"/>
      <c r="Q45" s="203"/>
      <c r="R45" s="500"/>
      <c r="S45" s="227">
        <f>SUM(S42:S43)</f>
        <v>70.62</v>
      </c>
      <c r="T45" s="66"/>
      <c r="U45" s="2"/>
      <c r="V45" s="43"/>
    </row>
    <row r="46" spans="2:22" hidden="1" x14ac:dyDescent="0.3">
      <c r="C46" s="442"/>
      <c r="D46" s="451"/>
      <c r="E46" s="438"/>
      <c r="F46" s="484"/>
      <c r="G46" s="438"/>
      <c r="H46" s="484"/>
      <c r="I46" s="438"/>
      <c r="J46" s="484"/>
      <c r="K46" s="438"/>
      <c r="L46" s="482"/>
      <c r="M46" s="439"/>
      <c r="N46" s="482"/>
      <c r="O46" s="438"/>
      <c r="P46" s="482"/>
      <c r="Q46" s="440"/>
      <c r="R46" s="482"/>
      <c r="S46" s="452"/>
    </row>
    <row r="47" spans="2:22" s="32" customFormat="1" ht="17.25" hidden="1" thickBot="1" x14ac:dyDescent="0.35">
      <c r="B47" s="34">
        <f>RAB!B24</f>
        <v>2</v>
      </c>
      <c r="C47" s="33" t="str">
        <f>RAB!C24</f>
        <v>Urugan Tanah Kembali Bekas Galian</v>
      </c>
      <c r="E47" s="176"/>
      <c r="F47" s="504"/>
      <c r="G47" s="176"/>
      <c r="H47" s="504"/>
      <c r="I47" s="176"/>
      <c r="J47" s="504"/>
      <c r="K47" s="176"/>
      <c r="L47" s="504"/>
      <c r="M47" s="177"/>
      <c r="N47" s="504"/>
      <c r="O47" s="176"/>
      <c r="P47" s="504"/>
      <c r="Q47" s="205"/>
      <c r="R47" s="504"/>
      <c r="S47" s="229"/>
      <c r="T47" s="100">
        <f>ROUNDDOWN(S59,2)</f>
        <v>17.61</v>
      </c>
      <c r="U47" s="50" t="s">
        <v>3</v>
      </c>
      <c r="V47" s="51"/>
    </row>
    <row r="48" spans="2:22" s="32" customFormat="1" hidden="1" x14ac:dyDescent="0.3">
      <c r="C48" s="33"/>
      <c r="D48" s="52" t="s">
        <v>95</v>
      </c>
      <c r="E48" s="155" t="s">
        <v>150</v>
      </c>
      <c r="F48" s="505"/>
      <c r="G48" s="155" t="s">
        <v>151</v>
      </c>
      <c r="H48" s="505"/>
      <c r="I48" s="155" t="s">
        <v>152</v>
      </c>
      <c r="J48" s="505"/>
      <c r="K48" s="155" t="s">
        <v>153</v>
      </c>
      <c r="L48" s="506"/>
      <c r="M48" s="164" t="s">
        <v>32</v>
      </c>
      <c r="N48" s="506"/>
      <c r="O48" s="206" t="s">
        <v>163</v>
      </c>
      <c r="P48" s="506"/>
      <c r="Q48" s="207" t="s">
        <v>151</v>
      </c>
      <c r="R48" s="506"/>
      <c r="S48" s="230" t="s">
        <v>143</v>
      </c>
      <c r="T48" s="419"/>
      <c r="U48" s="50"/>
      <c r="V48" s="51"/>
    </row>
    <row r="49" spans="2:22" s="32" customFormat="1" hidden="1" x14ac:dyDescent="0.3">
      <c r="C49" s="33"/>
      <c r="D49" s="297" t="s">
        <v>154</v>
      </c>
      <c r="E49" s="217"/>
      <c r="F49" s="507"/>
      <c r="G49" s="217"/>
      <c r="H49" s="507"/>
      <c r="I49" s="217"/>
      <c r="J49" s="507"/>
      <c r="K49" s="217"/>
      <c r="L49" s="508"/>
      <c r="M49" s="217"/>
      <c r="N49" s="508"/>
      <c r="O49" s="217"/>
      <c r="P49" s="508"/>
      <c r="Q49" s="276"/>
      <c r="R49" s="507"/>
      <c r="S49" s="298"/>
      <c r="T49" s="419"/>
      <c r="U49" s="50"/>
      <c r="V49" s="51"/>
    </row>
    <row r="50" spans="2:22" s="32" customFormat="1" hidden="1" x14ac:dyDescent="0.3">
      <c r="C50" s="33"/>
      <c r="D50" s="140" t="str">
        <f>C127</f>
        <v>Pile Cap tipe - PC1</v>
      </c>
      <c r="E50" s="172"/>
      <c r="F50" s="514"/>
      <c r="G50" s="172"/>
      <c r="H50" s="514"/>
      <c r="I50" s="172"/>
      <c r="J50" s="514"/>
      <c r="K50" s="172"/>
      <c r="L50" s="515"/>
      <c r="M50" s="172"/>
      <c r="N50" s="515"/>
      <c r="O50" s="172"/>
      <c r="P50" s="515"/>
      <c r="Q50" s="259"/>
      <c r="R50" s="521" t="s">
        <v>114</v>
      </c>
      <c r="S50" s="260">
        <f>S130</f>
        <v>27.216000000000001</v>
      </c>
      <c r="T50" s="419"/>
      <c r="U50" s="50"/>
      <c r="V50" s="51"/>
    </row>
    <row r="51" spans="2:22" s="32" customFormat="1" hidden="1" x14ac:dyDescent="0.3">
      <c r="C51" s="33"/>
      <c r="D51" s="140" t="str">
        <f>C149</f>
        <v>Pile Cap tipe - PC2</v>
      </c>
      <c r="E51" s="172"/>
      <c r="F51" s="514"/>
      <c r="G51" s="172"/>
      <c r="H51" s="514"/>
      <c r="I51" s="172"/>
      <c r="J51" s="514"/>
      <c r="K51" s="172"/>
      <c r="L51" s="515"/>
      <c r="M51" s="172"/>
      <c r="N51" s="515"/>
      <c r="O51" s="172"/>
      <c r="P51" s="515"/>
      <c r="Q51" s="259"/>
      <c r="R51" s="521" t="s">
        <v>114</v>
      </c>
      <c r="S51" s="260">
        <f>S152</f>
        <v>11.664</v>
      </c>
      <c r="T51" s="419"/>
      <c r="U51" s="50"/>
      <c r="V51" s="51"/>
    </row>
    <row r="52" spans="2:22" s="1" customFormat="1" hidden="1" x14ac:dyDescent="0.3">
      <c r="C52" s="64"/>
      <c r="D52" s="311" t="s">
        <v>726</v>
      </c>
      <c r="E52" s="172"/>
      <c r="F52" s="514"/>
      <c r="G52" s="172"/>
      <c r="H52" s="521"/>
      <c r="I52" s="187"/>
      <c r="J52" s="521"/>
      <c r="K52" s="187"/>
      <c r="L52" s="498"/>
      <c r="M52" s="188"/>
      <c r="N52" s="498"/>
      <c r="O52" s="187"/>
      <c r="P52" s="498"/>
      <c r="Q52" s="218"/>
      <c r="R52" s="521" t="s">
        <v>114</v>
      </c>
      <c r="S52" s="293">
        <f>SUM(S64:S68)</f>
        <v>14.124000000000002</v>
      </c>
      <c r="T52" s="66"/>
      <c r="U52" s="2"/>
      <c r="V52" s="43"/>
    </row>
    <row r="53" spans="2:22" hidden="1" x14ac:dyDescent="0.3">
      <c r="C53" s="442"/>
      <c r="D53" s="311" t="s">
        <v>725</v>
      </c>
      <c r="E53" s="187"/>
      <c r="F53" s="521"/>
      <c r="G53" s="187"/>
      <c r="H53" s="521"/>
      <c r="I53" s="187"/>
      <c r="J53" s="521"/>
      <c r="K53" s="187"/>
      <c r="L53" s="498"/>
      <c r="M53" s="188"/>
      <c r="N53" s="498"/>
      <c r="O53" s="187"/>
      <c r="P53" s="498"/>
      <c r="Q53" s="218"/>
      <c r="R53" s="521"/>
      <c r="S53" s="244"/>
    </row>
    <row r="54" spans="2:22" hidden="1" x14ac:dyDescent="0.3">
      <c r="C54" s="442"/>
      <c r="D54" s="290" t="s">
        <v>186</v>
      </c>
      <c r="E54" s="187"/>
      <c r="F54" s="521"/>
      <c r="G54" s="187"/>
      <c r="H54" s="521"/>
      <c r="I54" s="187"/>
      <c r="J54" s="521"/>
      <c r="K54" s="187"/>
      <c r="L54" s="522"/>
      <c r="M54" s="187"/>
      <c r="N54" s="522"/>
      <c r="O54" s="187"/>
      <c r="P54" s="521"/>
      <c r="Q54" s="218"/>
      <c r="R54" s="522"/>
      <c r="S54" s="293">
        <f>SUM(S50:S53)</f>
        <v>53.004000000000005</v>
      </c>
    </row>
    <row r="55" spans="2:22" hidden="1" x14ac:dyDescent="0.3">
      <c r="C55" s="442"/>
      <c r="D55" s="261" t="s">
        <v>170</v>
      </c>
      <c r="E55" s="187"/>
      <c r="F55" s="521"/>
      <c r="G55" s="187"/>
      <c r="H55" s="521"/>
      <c r="I55" s="187"/>
      <c r="J55" s="521"/>
      <c r="K55" s="527">
        <f>S45</f>
        <v>70.62</v>
      </c>
      <c r="L55" s="522"/>
      <c r="M55" s="187"/>
      <c r="N55" s="522"/>
      <c r="O55" s="187"/>
      <c r="P55" s="521"/>
      <c r="Q55" s="218"/>
      <c r="R55" s="521" t="s">
        <v>114</v>
      </c>
      <c r="S55" s="293">
        <f>K55</f>
        <v>70.62</v>
      </c>
    </row>
    <row r="56" spans="2:22" hidden="1" x14ac:dyDescent="0.3">
      <c r="C56" s="442"/>
      <c r="D56" s="261" t="s">
        <v>187</v>
      </c>
      <c r="E56" s="187"/>
      <c r="F56" s="521"/>
      <c r="G56" s="187"/>
      <c r="H56" s="521"/>
      <c r="I56" s="187"/>
      <c r="J56" s="521"/>
      <c r="K56" s="187"/>
      <c r="L56" s="522"/>
      <c r="M56" s="187"/>
      <c r="N56" s="522"/>
      <c r="O56" s="187"/>
      <c r="P56" s="521"/>
      <c r="Q56" s="218"/>
      <c r="R56" s="521" t="s">
        <v>149</v>
      </c>
      <c r="S56" s="293">
        <f>S54</f>
        <v>53.004000000000005</v>
      </c>
    </row>
    <row r="57" spans="2:22" hidden="1" x14ac:dyDescent="0.3">
      <c r="C57" s="442"/>
      <c r="D57" s="261" t="s">
        <v>188</v>
      </c>
      <c r="E57" s="187"/>
      <c r="F57" s="521"/>
      <c r="G57" s="187"/>
      <c r="H57" s="521"/>
      <c r="I57" s="187"/>
      <c r="J57" s="521"/>
      <c r="K57" s="187"/>
      <c r="L57" s="522"/>
      <c r="M57" s="187"/>
      <c r="N57" s="522"/>
      <c r="O57" s="187"/>
      <c r="P57" s="521"/>
      <c r="Q57" s="218"/>
      <c r="R57" s="521" t="s">
        <v>114</v>
      </c>
      <c r="S57" s="293">
        <f>S55-S56</f>
        <v>17.616</v>
      </c>
    </row>
    <row r="58" spans="2:22" hidden="1" x14ac:dyDescent="0.3">
      <c r="C58" s="442"/>
      <c r="D58" s="313"/>
      <c r="E58" s="160"/>
      <c r="F58" s="523"/>
      <c r="G58" s="160"/>
      <c r="H58" s="523"/>
      <c r="I58" s="160"/>
      <c r="J58" s="523"/>
      <c r="K58" s="160"/>
      <c r="L58" s="523"/>
      <c r="M58" s="195"/>
      <c r="N58" s="523"/>
      <c r="O58" s="160"/>
      <c r="P58" s="523"/>
      <c r="Q58" s="220"/>
      <c r="R58" s="523"/>
      <c r="S58" s="314"/>
    </row>
    <row r="59" spans="2:22" ht="17.25" hidden="1" thickBot="1" x14ac:dyDescent="0.35">
      <c r="C59" s="442"/>
      <c r="D59" s="3099" t="s">
        <v>164</v>
      </c>
      <c r="E59" s="3100"/>
      <c r="F59" s="3100"/>
      <c r="G59" s="3100"/>
      <c r="H59" s="3100"/>
      <c r="I59" s="3100"/>
      <c r="J59" s="499"/>
      <c r="K59" s="174"/>
      <c r="L59" s="500"/>
      <c r="M59" s="175"/>
      <c r="N59" s="500"/>
      <c r="O59" s="178"/>
      <c r="P59" s="500"/>
      <c r="Q59" s="203"/>
      <c r="R59" s="500"/>
      <c r="S59" s="227">
        <f>S57</f>
        <v>17.616</v>
      </c>
    </row>
    <row r="60" spans="2:22" hidden="1" x14ac:dyDescent="0.3">
      <c r="C60" s="442"/>
      <c r="D60" s="451"/>
      <c r="E60" s="438"/>
      <c r="F60" s="482"/>
      <c r="G60" s="438"/>
      <c r="H60" s="482"/>
      <c r="I60" s="438"/>
      <c r="J60" s="482"/>
      <c r="K60" s="438"/>
      <c r="L60" s="482"/>
      <c r="M60" s="439"/>
      <c r="N60" s="482"/>
      <c r="O60" s="438"/>
      <c r="P60" s="482"/>
      <c r="Q60" s="440"/>
      <c r="R60" s="482"/>
      <c r="S60" s="437"/>
    </row>
    <row r="61" spans="2:22" s="1" customFormat="1" ht="17.25" hidden="1" thickBot="1" x14ac:dyDescent="0.35">
      <c r="B61" s="1">
        <f>RAB!B25</f>
        <v>3</v>
      </c>
      <c r="C61" s="3" t="str">
        <f>RAB!C25</f>
        <v xml:space="preserve">Urugan Pasir di bawah Pondasi </v>
      </c>
      <c r="E61" s="153"/>
      <c r="F61" s="480"/>
      <c r="G61" s="153"/>
      <c r="H61" s="480"/>
      <c r="I61" s="153"/>
      <c r="J61" s="480"/>
      <c r="K61" s="153"/>
      <c r="L61" s="480"/>
      <c r="M61" s="162"/>
      <c r="N61" s="480"/>
      <c r="O61" s="153"/>
      <c r="P61" s="480"/>
      <c r="Q61" s="200"/>
      <c r="R61" s="480"/>
      <c r="S61" s="224"/>
      <c r="T61" s="100">
        <f>ROUNDDOWN(S70,2)</f>
        <v>14.12</v>
      </c>
      <c r="U61" s="2" t="s">
        <v>3</v>
      </c>
      <c r="V61" s="43"/>
    </row>
    <row r="62" spans="2:22" s="1" customFormat="1" hidden="1" x14ac:dyDescent="0.3">
      <c r="C62" s="64"/>
      <c r="D62" s="8" t="s">
        <v>95</v>
      </c>
      <c r="E62" s="154" t="s">
        <v>150</v>
      </c>
      <c r="F62" s="493"/>
      <c r="G62" s="154" t="s">
        <v>151</v>
      </c>
      <c r="H62" s="493"/>
      <c r="I62" s="154" t="s">
        <v>152</v>
      </c>
      <c r="J62" s="493"/>
      <c r="K62" s="154" t="s">
        <v>153</v>
      </c>
      <c r="L62" s="494"/>
      <c r="M62" s="163" t="s">
        <v>32</v>
      </c>
      <c r="N62" s="494"/>
      <c r="O62" s="201" t="s">
        <v>163</v>
      </c>
      <c r="P62" s="494"/>
      <c r="Q62" s="202" t="s">
        <v>151</v>
      </c>
      <c r="R62" s="494"/>
      <c r="S62" s="226" t="s">
        <v>143</v>
      </c>
      <c r="T62" s="66"/>
      <c r="U62" s="2"/>
      <c r="V62" s="43"/>
    </row>
    <row r="63" spans="2:22" s="1" customFormat="1" hidden="1" x14ac:dyDescent="0.3">
      <c r="C63" s="64"/>
      <c r="D63" s="310" t="s">
        <v>250</v>
      </c>
      <c r="E63" s="152"/>
      <c r="F63" s="516"/>
      <c r="G63" s="152"/>
      <c r="H63" s="516"/>
      <c r="I63" s="152"/>
      <c r="J63" s="516"/>
      <c r="K63" s="152"/>
      <c r="L63" s="496"/>
      <c r="M63" s="173"/>
      <c r="N63" s="496"/>
      <c r="O63" s="152"/>
      <c r="P63" s="496"/>
      <c r="Q63" s="221"/>
      <c r="R63" s="516"/>
      <c r="S63" s="248"/>
      <c r="T63" s="66"/>
      <c r="U63" s="2"/>
      <c r="V63" s="43"/>
    </row>
    <row r="64" spans="2:22" s="1" customFormat="1" hidden="1" x14ac:dyDescent="0.3">
      <c r="C64" s="64"/>
      <c r="D64" s="311" t="str">
        <f>C127</f>
        <v>Pile Cap tipe - PC1</v>
      </c>
      <c r="E64" s="1161">
        <f t="shared" ref="E64:G65" si="0">E42</f>
        <v>1.1000000000000001</v>
      </c>
      <c r="F64" s="517" t="str">
        <f t="shared" si="0"/>
        <v>x</v>
      </c>
      <c r="G64" s="1161">
        <f t="shared" si="0"/>
        <v>1.1000000000000001</v>
      </c>
      <c r="H64" s="517" t="s">
        <v>185</v>
      </c>
      <c r="I64" s="1161">
        <v>0.05</v>
      </c>
      <c r="J64" s="517" t="s">
        <v>185</v>
      </c>
      <c r="K64" s="1161">
        <f>K130</f>
        <v>56</v>
      </c>
      <c r="L64" s="517"/>
      <c r="M64" s="1161"/>
      <c r="N64" s="517"/>
      <c r="O64" s="1161"/>
      <c r="P64" s="517"/>
      <c r="Q64" s="1161"/>
      <c r="R64" s="518" t="s">
        <v>114</v>
      </c>
      <c r="S64" s="519">
        <f>E64*G64*I64*K64</f>
        <v>3.3880000000000008</v>
      </c>
      <c r="T64" s="66"/>
      <c r="U64" s="2"/>
      <c r="V64" s="43"/>
    </row>
    <row r="65" spans="2:22" s="1" customFormat="1" hidden="1" x14ac:dyDescent="0.3">
      <c r="C65" s="64"/>
      <c r="D65" s="311" t="str">
        <f>C149</f>
        <v>Pile Cap tipe - PC2</v>
      </c>
      <c r="E65" s="1161">
        <f t="shared" si="0"/>
        <v>2</v>
      </c>
      <c r="F65" s="517" t="str">
        <f t="shared" si="0"/>
        <v>x</v>
      </c>
      <c r="G65" s="1161">
        <f t="shared" si="0"/>
        <v>1.1000000000000001</v>
      </c>
      <c r="H65" s="517" t="s">
        <v>185</v>
      </c>
      <c r="I65" s="1161">
        <f>I64</f>
        <v>0.05</v>
      </c>
      <c r="J65" s="517" t="s">
        <v>185</v>
      </c>
      <c r="K65" s="1161">
        <f>K152</f>
        <v>12</v>
      </c>
      <c r="L65" s="517"/>
      <c r="M65" s="1161"/>
      <c r="N65" s="517"/>
      <c r="O65" s="1161"/>
      <c r="P65" s="517"/>
      <c r="Q65" s="1161"/>
      <c r="R65" s="518" t="s">
        <v>114</v>
      </c>
      <c r="S65" s="519">
        <f>E65*G65*I65*K65</f>
        <v>1.3200000000000003</v>
      </c>
      <c r="T65" s="66"/>
      <c r="U65" s="2"/>
      <c r="V65" s="43"/>
    </row>
    <row r="66" spans="2:22" s="1" customFormat="1" hidden="1" x14ac:dyDescent="0.3">
      <c r="C66" s="64"/>
      <c r="D66" s="281" t="s">
        <v>725</v>
      </c>
      <c r="E66" s="520"/>
      <c r="F66" s="521"/>
      <c r="G66" s="187"/>
      <c r="H66" s="521"/>
      <c r="I66" s="187"/>
      <c r="J66" s="521"/>
      <c r="K66" s="187"/>
      <c r="L66" s="522"/>
      <c r="M66" s="187"/>
      <c r="N66" s="522"/>
      <c r="O66" s="187"/>
      <c r="P66" s="521"/>
      <c r="Q66" s="218"/>
      <c r="R66" s="521"/>
      <c r="S66" s="244"/>
      <c r="T66" s="66"/>
      <c r="U66" s="2"/>
      <c r="V66" s="43"/>
    </row>
    <row r="67" spans="2:22" s="1" customFormat="1" hidden="1" x14ac:dyDescent="0.3">
      <c r="C67" s="64"/>
      <c r="D67" s="278" t="str">
        <f t="shared" ref="D67:H68" si="1">D64</f>
        <v>Pile Cap tipe - PC1</v>
      </c>
      <c r="E67" s="520">
        <f t="shared" si="1"/>
        <v>1.1000000000000001</v>
      </c>
      <c r="F67" s="525" t="str">
        <f t="shared" si="1"/>
        <v>x</v>
      </c>
      <c r="G67" s="520">
        <f t="shared" si="1"/>
        <v>1.1000000000000001</v>
      </c>
      <c r="H67" s="525" t="str">
        <f t="shared" si="1"/>
        <v>x</v>
      </c>
      <c r="I67" s="187">
        <v>0.1</v>
      </c>
      <c r="J67" s="525" t="str">
        <f>J64</f>
        <v>x</v>
      </c>
      <c r="K67" s="520">
        <f>K64</f>
        <v>56</v>
      </c>
      <c r="L67" s="522"/>
      <c r="M67" s="187"/>
      <c r="N67" s="522"/>
      <c r="O67" s="187"/>
      <c r="P67" s="521"/>
      <c r="Q67" s="218"/>
      <c r="R67" s="518" t="s">
        <v>114</v>
      </c>
      <c r="S67" s="519">
        <f>E67*G67*I67*K67</f>
        <v>6.7760000000000016</v>
      </c>
      <c r="T67" s="66"/>
      <c r="U67" s="2"/>
      <c r="V67" s="43"/>
    </row>
    <row r="68" spans="2:22" s="1" customFormat="1" hidden="1" x14ac:dyDescent="0.3">
      <c r="C68" s="64"/>
      <c r="D68" s="278" t="str">
        <f t="shared" si="1"/>
        <v>Pile Cap tipe - PC2</v>
      </c>
      <c r="E68" s="520">
        <f t="shared" si="1"/>
        <v>2</v>
      </c>
      <c r="F68" s="525" t="str">
        <f t="shared" si="1"/>
        <v>x</v>
      </c>
      <c r="G68" s="520">
        <f t="shared" si="1"/>
        <v>1.1000000000000001</v>
      </c>
      <c r="H68" s="525" t="str">
        <f t="shared" si="1"/>
        <v>x</v>
      </c>
      <c r="I68" s="187">
        <v>0.1</v>
      </c>
      <c r="J68" s="525" t="str">
        <f>J65</f>
        <v>x</v>
      </c>
      <c r="K68" s="520">
        <f>K65</f>
        <v>12</v>
      </c>
      <c r="L68" s="522"/>
      <c r="M68" s="187"/>
      <c r="N68" s="522"/>
      <c r="O68" s="187"/>
      <c r="P68" s="521"/>
      <c r="Q68" s="218"/>
      <c r="R68" s="518" t="s">
        <v>114</v>
      </c>
      <c r="S68" s="519">
        <f>E68*G68*I68*K68</f>
        <v>2.6400000000000006</v>
      </c>
      <c r="T68" s="66"/>
      <c r="U68" s="2"/>
      <c r="V68" s="43"/>
    </row>
    <row r="69" spans="2:22" s="1" customFormat="1" hidden="1" x14ac:dyDescent="0.3">
      <c r="C69" s="64"/>
      <c r="D69" s="312"/>
      <c r="E69" s="160"/>
      <c r="F69" s="523"/>
      <c r="G69" s="220"/>
      <c r="H69" s="523"/>
      <c r="I69" s="160"/>
      <c r="J69" s="523"/>
      <c r="K69" s="160"/>
      <c r="L69" s="523"/>
      <c r="M69" s="195"/>
      <c r="N69" s="523"/>
      <c r="O69" s="160"/>
      <c r="P69" s="523"/>
      <c r="Q69" s="220"/>
      <c r="R69" s="523"/>
      <c r="S69" s="251"/>
      <c r="T69" s="66"/>
      <c r="U69" s="2"/>
      <c r="V69" s="43"/>
    </row>
    <row r="70" spans="2:22" s="1" customFormat="1" ht="17.25" hidden="1" thickBot="1" x14ac:dyDescent="0.35">
      <c r="C70" s="64"/>
      <c r="D70" s="3093" t="s">
        <v>164</v>
      </c>
      <c r="E70" s="3094"/>
      <c r="F70" s="3094"/>
      <c r="G70" s="3094"/>
      <c r="H70" s="3094"/>
      <c r="I70" s="3095"/>
      <c r="J70" s="524"/>
      <c r="K70" s="178"/>
      <c r="L70" s="500"/>
      <c r="M70" s="175"/>
      <c r="N70" s="500"/>
      <c r="O70" s="178"/>
      <c r="P70" s="500"/>
      <c r="Q70" s="203"/>
      <c r="R70" s="500"/>
      <c r="S70" s="231">
        <f>SUM(S63:S69)</f>
        <v>14.124000000000002</v>
      </c>
      <c r="T70" s="66"/>
      <c r="U70" s="2"/>
      <c r="V70" s="43"/>
    </row>
    <row r="71" spans="2:22" hidden="1" x14ac:dyDescent="0.3">
      <c r="C71" s="442"/>
      <c r="D71" s="453"/>
      <c r="E71" s="438"/>
      <c r="F71" s="482"/>
      <c r="G71" s="438"/>
      <c r="H71" s="482"/>
      <c r="I71" s="438"/>
      <c r="J71" s="482"/>
      <c r="K71" s="438"/>
      <c r="L71" s="482"/>
      <c r="M71" s="439"/>
      <c r="N71" s="482"/>
      <c r="O71" s="438"/>
      <c r="P71" s="482"/>
      <c r="Q71" s="440"/>
      <c r="R71" s="482"/>
      <c r="S71" s="454"/>
    </row>
    <row r="72" spans="2:22" s="1" customFormat="1" hidden="1" x14ac:dyDescent="0.3">
      <c r="B72" s="1">
        <f>[60]RAB!B22</f>
        <v>4</v>
      </c>
      <c r="C72" s="3" t="str">
        <f>[60]RAB!C22</f>
        <v>Urugan Tanah Peninggian Lantai dan Pemadatan</v>
      </c>
      <c r="E72" s="153"/>
      <c r="F72" s="480"/>
      <c r="G72" s="153"/>
      <c r="H72" s="480"/>
      <c r="I72" s="153"/>
      <c r="J72" s="480"/>
      <c r="K72" s="153"/>
      <c r="L72" s="480"/>
      <c r="M72" s="162"/>
      <c r="N72" s="480"/>
      <c r="O72" s="153"/>
      <c r="P72" s="480"/>
      <c r="Q72" s="200"/>
      <c r="R72" s="480"/>
      <c r="S72" s="224"/>
      <c r="T72" s="18">
        <f>ROUNDDOWN(S77,2)</f>
        <v>53</v>
      </c>
      <c r="U72" s="2" t="s">
        <v>3</v>
      </c>
      <c r="V72" s="43"/>
    </row>
    <row r="73" spans="2:22" s="1" customFormat="1" ht="17.25" hidden="1" thickBot="1" x14ac:dyDescent="0.35">
      <c r="C73" s="3"/>
      <c r="D73" s="1" t="str">
        <f>[60]RAB!C23</f>
        <v>- Urugan Tanah Bekas Galian</v>
      </c>
      <c r="E73" s="153"/>
      <c r="F73" s="480"/>
      <c r="G73" s="153"/>
      <c r="H73" s="480"/>
      <c r="I73" s="153"/>
      <c r="J73" s="480"/>
      <c r="K73" s="153"/>
      <c r="L73" s="480"/>
      <c r="M73" s="162"/>
      <c r="N73" s="480"/>
      <c r="O73" s="153"/>
      <c r="P73" s="480"/>
      <c r="Q73" s="200"/>
      <c r="R73" s="480"/>
      <c r="S73" s="224"/>
      <c r="T73" s="18"/>
      <c r="U73" s="2"/>
      <c r="V73" s="43"/>
    </row>
    <row r="74" spans="2:22" s="1" customFormat="1" hidden="1" x14ac:dyDescent="0.3">
      <c r="C74" s="64"/>
      <c r="D74" s="8" t="s">
        <v>95</v>
      </c>
      <c r="E74" s="154" t="s">
        <v>150</v>
      </c>
      <c r="F74" s="493"/>
      <c r="G74" s="154" t="s">
        <v>151</v>
      </c>
      <c r="H74" s="493"/>
      <c r="I74" s="154" t="s">
        <v>152</v>
      </c>
      <c r="J74" s="493"/>
      <c r="K74" s="154" t="s">
        <v>153</v>
      </c>
      <c r="L74" s="494"/>
      <c r="M74" s="163" t="s">
        <v>32</v>
      </c>
      <c r="N74" s="494"/>
      <c r="O74" s="201" t="s">
        <v>163</v>
      </c>
      <c r="P74" s="494"/>
      <c r="Q74" s="202" t="s">
        <v>151</v>
      </c>
      <c r="R74" s="494"/>
      <c r="S74" s="226" t="s">
        <v>143</v>
      </c>
      <c r="T74" s="66"/>
      <c r="U74" s="2"/>
      <c r="V74" s="43"/>
    </row>
    <row r="75" spans="2:22" s="1" customFormat="1" hidden="1" x14ac:dyDescent="0.3">
      <c r="C75" s="64"/>
      <c r="D75" s="308" t="s">
        <v>189</v>
      </c>
      <c r="E75" s="152"/>
      <c r="F75" s="496"/>
      <c r="G75" s="152"/>
      <c r="H75" s="496"/>
      <c r="I75" s="152"/>
      <c r="J75" s="496"/>
      <c r="K75" s="152"/>
      <c r="L75" s="496"/>
      <c r="M75" s="173"/>
      <c r="N75" s="496"/>
      <c r="O75" s="152"/>
      <c r="P75" s="496"/>
      <c r="Q75" s="221"/>
      <c r="R75" s="496" t="s">
        <v>114</v>
      </c>
      <c r="S75" s="248">
        <f>S56</f>
        <v>53.004000000000005</v>
      </c>
      <c r="T75" s="66"/>
      <c r="U75" s="2"/>
      <c r="V75" s="43"/>
    </row>
    <row r="76" spans="2:22" s="1" customFormat="1" hidden="1" x14ac:dyDescent="0.3">
      <c r="C76" s="64"/>
      <c r="D76" s="309"/>
      <c r="E76" s="160"/>
      <c r="F76" s="523"/>
      <c r="G76" s="160"/>
      <c r="H76" s="523"/>
      <c r="I76" s="160"/>
      <c r="J76" s="523"/>
      <c r="K76" s="160"/>
      <c r="L76" s="523"/>
      <c r="M76" s="195"/>
      <c r="N76" s="523"/>
      <c r="O76" s="160"/>
      <c r="P76" s="523"/>
      <c r="Q76" s="220"/>
      <c r="R76" s="523"/>
      <c r="S76" s="251"/>
      <c r="T76" s="66"/>
      <c r="U76" s="2"/>
      <c r="V76" s="43"/>
    </row>
    <row r="77" spans="2:22" s="1" customFormat="1" ht="17.25" hidden="1" thickBot="1" x14ac:dyDescent="0.35">
      <c r="C77" s="64"/>
      <c r="D77" s="3093" t="s">
        <v>164</v>
      </c>
      <c r="E77" s="3094"/>
      <c r="F77" s="3094"/>
      <c r="G77" s="3094"/>
      <c r="H77" s="3094"/>
      <c r="I77" s="3095"/>
      <c r="J77" s="524"/>
      <c r="K77" s="178"/>
      <c r="L77" s="500"/>
      <c r="M77" s="175"/>
      <c r="N77" s="500"/>
      <c r="O77" s="178"/>
      <c r="P77" s="500"/>
      <c r="Q77" s="203"/>
      <c r="R77" s="500"/>
      <c r="S77" s="231">
        <f>SUM(S75:S75)</f>
        <v>53.004000000000005</v>
      </c>
      <c r="T77" s="66"/>
      <c r="U77" s="2"/>
      <c r="V77" s="43"/>
    </row>
    <row r="78" spans="2:22" hidden="1" x14ac:dyDescent="0.3">
      <c r="C78" s="442"/>
      <c r="D78" s="453"/>
      <c r="E78" s="438"/>
      <c r="F78" s="485"/>
      <c r="G78" s="438"/>
      <c r="H78" s="485"/>
      <c r="I78" s="438"/>
      <c r="J78" s="485"/>
      <c r="K78" s="438"/>
      <c r="L78" s="482"/>
      <c r="M78" s="439"/>
      <c r="N78" s="482"/>
      <c r="O78" s="438"/>
      <c r="P78" s="482"/>
      <c r="Q78" s="440"/>
      <c r="R78" s="482"/>
      <c r="S78" s="454"/>
    </row>
    <row r="79" spans="2:22" s="1" customFormat="1" ht="17.25" hidden="1" thickBot="1" x14ac:dyDescent="0.35">
      <c r="C79" s="3"/>
      <c r="D79" s="1" t="str">
        <f>[60]RAB!C24</f>
        <v>- Urugan Tanah Didatangkan</v>
      </c>
      <c r="E79" s="153"/>
      <c r="F79" s="480"/>
      <c r="G79" s="153"/>
      <c r="H79" s="480"/>
      <c r="I79" s="153"/>
      <c r="J79" s="480"/>
      <c r="K79" s="153"/>
      <c r="L79" s="480"/>
      <c r="M79" s="162"/>
      <c r="N79" s="480"/>
      <c r="O79" s="153"/>
      <c r="P79" s="480"/>
      <c r="Q79" s="200"/>
      <c r="R79" s="480"/>
      <c r="S79" s="224"/>
      <c r="T79" s="18">
        <f>ROUNDDOWN(S87,2)</f>
        <v>180.27</v>
      </c>
      <c r="U79" s="2" t="s">
        <v>3</v>
      </c>
      <c r="V79" s="43"/>
    </row>
    <row r="80" spans="2:22" s="1" customFormat="1" hidden="1" x14ac:dyDescent="0.3">
      <c r="C80" s="64"/>
      <c r="D80" s="8" t="s">
        <v>95</v>
      </c>
      <c r="E80" s="154" t="s">
        <v>150</v>
      </c>
      <c r="F80" s="493"/>
      <c r="G80" s="154" t="s">
        <v>151</v>
      </c>
      <c r="H80" s="493"/>
      <c r="I80" s="154" t="s">
        <v>152</v>
      </c>
      <c r="J80" s="493"/>
      <c r="K80" s="154" t="s">
        <v>153</v>
      </c>
      <c r="L80" s="494"/>
      <c r="M80" s="163" t="s">
        <v>32</v>
      </c>
      <c r="N80" s="494"/>
      <c r="O80" s="201" t="s">
        <v>163</v>
      </c>
      <c r="P80" s="494"/>
      <c r="Q80" s="202" t="s">
        <v>151</v>
      </c>
      <c r="R80" s="494"/>
      <c r="S80" s="226" t="s">
        <v>143</v>
      </c>
      <c r="T80" s="66"/>
      <c r="U80" s="2"/>
      <c r="V80" s="43"/>
    </row>
    <row r="81" spans="2:24" s="1" customFormat="1" hidden="1" x14ac:dyDescent="0.3">
      <c r="C81" s="64"/>
      <c r="D81" s="308" t="s">
        <v>583</v>
      </c>
      <c r="E81" s="152">
        <v>29.52</v>
      </c>
      <c r="F81" s="496"/>
      <c r="G81" s="152"/>
      <c r="H81" s="496" t="s">
        <v>1318</v>
      </c>
      <c r="I81" s="152">
        <v>0.4</v>
      </c>
      <c r="J81" s="496" t="s">
        <v>1318</v>
      </c>
      <c r="K81" s="152">
        <v>18</v>
      </c>
      <c r="L81" s="496"/>
      <c r="M81" s="173"/>
      <c r="N81" s="496"/>
      <c r="O81" s="152"/>
      <c r="P81" s="496"/>
      <c r="Q81" s="533">
        <f>E81*I81*K81</f>
        <v>212.54399999999998</v>
      </c>
      <c r="R81" s="496" t="s">
        <v>114</v>
      </c>
      <c r="S81" s="248">
        <f>Q81</f>
        <v>212.54399999999998</v>
      </c>
      <c r="T81" s="66"/>
      <c r="U81" s="2"/>
      <c r="V81" s="43"/>
    </row>
    <row r="82" spans="2:24" s="1" customFormat="1" hidden="1" x14ac:dyDescent="0.3">
      <c r="C82" s="64"/>
      <c r="D82" s="1146"/>
      <c r="E82" s="187">
        <v>14.4</v>
      </c>
      <c r="F82" s="498"/>
      <c r="G82" s="187"/>
      <c r="H82" s="498" t="s">
        <v>1318</v>
      </c>
      <c r="I82" s="187">
        <v>0.4</v>
      </c>
      <c r="J82" s="498" t="s">
        <v>1318</v>
      </c>
      <c r="K82" s="187">
        <v>9</v>
      </c>
      <c r="L82" s="498"/>
      <c r="M82" s="188"/>
      <c r="N82" s="498"/>
      <c r="O82" s="187"/>
      <c r="P82" s="498"/>
      <c r="Q82" s="1147">
        <f>E82*I82*K82</f>
        <v>51.84</v>
      </c>
      <c r="R82" s="498" t="s">
        <v>114</v>
      </c>
      <c r="S82" s="244">
        <f>I82*Q82</f>
        <v>20.736000000000004</v>
      </c>
      <c r="T82" s="66"/>
      <c r="U82" s="2"/>
      <c r="V82" s="43"/>
    </row>
    <row r="83" spans="2:24" s="1" customFormat="1" hidden="1" x14ac:dyDescent="0.3">
      <c r="C83" s="64"/>
      <c r="D83" s="1146"/>
      <c r="E83" s="187"/>
      <c r="F83" s="498"/>
      <c r="G83" s="187"/>
      <c r="H83" s="498"/>
      <c r="I83" s="187"/>
      <c r="J83" s="498"/>
      <c r="K83" s="187"/>
      <c r="L83" s="498"/>
      <c r="M83" s="188"/>
      <c r="N83" s="498"/>
      <c r="O83" s="187"/>
      <c r="P83" s="498"/>
      <c r="Q83" s="1147"/>
      <c r="R83" s="498"/>
      <c r="S83" s="1148">
        <f>SUM(S81:S82)</f>
        <v>233.27999999999997</v>
      </c>
      <c r="T83" s="66"/>
      <c r="U83" s="2"/>
      <c r="V83" s="43"/>
    </row>
    <row r="84" spans="2:24" s="1" customFormat="1" hidden="1" x14ac:dyDescent="0.3">
      <c r="C84" s="64"/>
      <c r="D84" s="139" t="s">
        <v>248</v>
      </c>
      <c r="E84" s="187"/>
      <c r="F84" s="521"/>
      <c r="G84" s="187"/>
      <c r="H84" s="521"/>
      <c r="I84" s="187"/>
      <c r="J84" s="521"/>
      <c r="K84" s="187"/>
      <c r="L84" s="498"/>
      <c r="M84" s="188"/>
      <c r="N84" s="498"/>
      <c r="O84" s="187"/>
      <c r="P84" s="498"/>
      <c r="Q84" s="218"/>
      <c r="R84" s="522" t="s">
        <v>149</v>
      </c>
      <c r="S84" s="293">
        <f>S77</f>
        <v>53.004000000000005</v>
      </c>
      <c r="T84" s="66"/>
      <c r="U84" s="2"/>
      <c r="V84" s="43"/>
    </row>
    <row r="85" spans="2:24" s="1" customFormat="1" hidden="1" x14ac:dyDescent="0.3">
      <c r="C85" s="64"/>
      <c r="D85" s="147" t="s">
        <v>190</v>
      </c>
      <c r="E85" s="187"/>
      <c r="F85" s="521"/>
      <c r="G85" s="187"/>
      <c r="H85" s="521"/>
      <c r="I85" s="187"/>
      <c r="J85" s="521"/>
      <c r="K85" s="187"/>
      <c r="L85" s="498"/>
      <c r="M85" s="188"/>
      <c r="N85" s="498"/>
      <c r="O85" s="187"/>
      <c r="P85" s="498"/>
      <c r="Q85" s="218"/>
      <c r="R85" s="521" t="s">
        <v>114</v>
      </c>
      <c r="S85" s="293">
        <f>S83-S84</f>
        <v>180.27599999999995</v>
      </c>
      <c r="T85" s="66"/>
      <c r="U85" s="2"/>
      <c r="V85" s="43"/>
    </row>
    <row r="86" spans="2:24" s="1" customFormat="1" hidden="1" x14ac:dyDescent="0.3">
      <c r="C86" s="64"/>
      <c r="D86" s="309"/>
      <c r="E86" s="160"/>
      <c r="F86" s="523"/>
      <c r="G86" s="160"/>
      <c r="H86" s="523"/>
      <c r="I86" s="160"/>
      <c r="J86" s="523"/>
      <c r="K86" s="160"/>
      <c r="L86" s="523"/>
      <c r="M86" s="195"/>
      <c r="N86" s="523"/>
      <c r="O86" s="160"/>
      <c r="P86" s="523"/>
      <c r="Q86" s="220"/>
      <c r="R86" s="523"/>
      <c r="S86" s="251"/>
      <c r="T86" s="66"/>
      <c r="U86" s="2"/>
      <c r="V86" s="43"/>
    </row>
    <row r="87" spans="2:24" s="1" customFormat="1" ht="17.25" hidden="1" thickBot="1" x14ac:dyDescent="0.35">
      <c r="C87" s="64"/>
      <c r="D87" s="3093" t="s">
        <v>164</v>
      </c>
      <c r="E87" s="3094"/>
      <c r="F87" s="3094"/>
      <c r="G87" s="3094"/>
      <c r="H87" s="3094"/>
      <c r="I87" s="3095"/>
      <c r="J87" s="524"/>
      <c r="K87" s="178"/>
      <c r="L87" s="500"/>
      <c r="M87" s="175"/>
      <c r="N87" s="500"/>
      <c r="O87" s="178"/>
      <c r="P87" s="500"/>
      <c r="Q87" s="203"/>
      <c r="R87" s="500"/>
      <c r="S87" s="231">
        <f>S85</f>
        <v>180.27599999999995</v>
      </c>
      <c r="T87" s="66"/>
      <c r="U87" s="2"/>
      <c r="V87" s="43"/>
    </row>
    <row r="88" spans="2:24" hidden="1" x14ac:dyDescent="0.3">
      <c r="C88" s="442"/>
      <c r="D88" s="453"/>
      <c r="E88" s="438"/>
      <c r="F88" s="485"/>
      <c r="G88" s="438"/>
      <c r="H88" s="485"/>
      <c r="I88" s="438"/>
      <c r="J88" s="485"/>
      <c r="K88" s="438"/>
      <c r="L88" s="482"/>
      <c r="M88" s="439"/>
      <c r="N88" s="482"/>
      <c r="O88" s="438"/>
      <c r="P88" s="482"/>
      <c r="Q88" s="440"/>
      <c r="R88" s="482"/>
      <c r="S88" s="454"/>
    </row>
    <row r="89" spans="2:24" s="32" customFormat="1" hidden="1" x14ac:dyDescent="0.3">
      <c r="B89" s="53" t="str">
        <f>RAB!B31</f>
        <v>II</v>
      </c>
      <c r="C89" s="119" t="str">
        <f>RAB!C31</f>
        <v>PEKERJAAN STRUKTUR</v>
      </c>
      <c r="E89" s="176"/>
      <c r="F89" s="504"/>
      <c r="G89" s="176"/>
      <c r="H89" s="504"/>
      <c r="I89" s="176"/>
      <c r="J89" s="504"/>
      <c r="K89" s="176"/>
      <c r="L89" s="504"/>
      <c r="M89" s="177"/>
      <c r="N89" s="504"/>
      <c r="O89" s="176"/>
      <c r="P89" s="504"/>
      <c r="Q89" s="205"/>
      <c r="R89" s="504"/>
      <c r="S89" s="229"/>
      <c r="T89" s="54"/>
      <c r="U89" s="50"/>
      <c r="V89" s="51"/>
    </row>
    <row r="90" spans="2:24" s="32" customFormat="1" hidden="1" x14ac:dyDescent="0.3">
      <c r="B90" s="32">
        <f>RAB!B32</f>
        <v>1</v>
      </c>
      <c r="C90" s="33" t="str">
        <f>RAB!C32</f>
        <v>Pekerjaan Tiang Pancang</v>
      </c>
      <c r="E90" s="176"/>
      <c r="F90" s="504"/>
      <c r="G90" s="176"/>
      <c r="H90" s="504"/>
      <c r="I90" s="176"/>
      <c r="J90" s="504"/>
      <c r="K90" s="176"/>
      <c r="L90" s="504"/>
      <c r="M90" s="177"/>
      <c r="N90" s="504"/>
      <c r="O90" s="176"/>
      <c r="P90" s="504"/>
      <c r="Q90" s="205"/>
      <c r="R90" s="504"/>
      <c r="S90" s="229"/>
      <c r="T90" s="54"/>
      <c r="U90" s="50"/>
      <c r="V90" s="51"/>
    </row>
    <row r="91" spans="2:24" s="32" customFormat="1" hidden="1" x14ac:dyDescent="0.3">
      <c r="C91" s="33" t="str">
        <f>RAB!C33</f>
        <v>-</v>
      </c>
      <c r="D91" s="32" t="str">
        <f>RAB!D33</f>
        <v>Mobilisasi dan Demobilisasi Alat Pemancang</v>
      </c>
      <c r="E91" s="176"/>
      <c r="F91" s="504"/>
      <c r="G91" s="176"/>
      <c r="H91" s="504"/>
      <c r="I91" s="176"/>
      <c r="J91" s="504"/>
      <c r="K91" s="176"/>
      <c r="L91" s="504"/>
      <c r="M91" s="177"/>
      <c r="N91" s="504"/>
      <c r="O91" s="176"/>
      <c r="P91" s="504"/>
      <c r="Q91" s="205"/>
      <c r="R91" s="504"/>
      <c r="S91" s="229"/>
      <c r="T91" s="54">
        <v>1</v>
      </c>
      <c r="U91" s="50" t="s">
        <v>1</v>
      </c>
      <c r="V91" s="51"/>
    </row>
    <row r="92" spans="2:24" s="32" customFormat="1" hidden="1" x14ac:dyDescent="0.3">
      <c r="C92" s="33"/>
      <c r="E92" s="176"/>
      <c r="F92" s="504"/>
      <c r="G92" s="176"/>
      <c r="H92" s="504"/>
      <c r="I92" s="176"/>
      <c r="J92" s="504"/>
      <c r="K92" s="176"/>
      <c r="L92" s="504"/>
      <c r="M92" s="177"/>
      <c r="N92" s="504"/>
      <c r="O92" s="176"/>
      <c r="P92" s="504"/>
      <c r="Q92" s="205"/>
      <c r="R92" s="504"/>
      <c r="S92" s="229"/>
      <c r="T92" s="54"/>
      <c r="U92" s="50"/>
      <c r="V92" s="51"/>
    </row>
    <row r="93" spans="2:24" s="32" customFormat="1" ht="17.25" hidden="1" thickBot="1" x14ac:dyDescent="0.35">
      <c r="C93" s="33" t="str">
        <f>RAB!C34</f>
        <v>-</v>
      </c>
      <c r="D93" s="33" t="str">
        <f>RAB!D34</f>
        <v>Pengadaan Spun Pile Ø 30  Cm K-600</v>
      </c>
      <c r="E93" s="176"/>
      <c r="F93" s="504"/>
      <c r="G93" s="176"/>
      <c r="H93" s="504"/>
      <c r="I93" s="176"/>
      <c r="J93" s="504"/>
      <c r="K93" s="176"/>
      <c r="L93" s="504"/>
      <c r="M93" s="177"/>
      <c r="N93" s="504"/>
      <c r="O93" s="176"/>
      <c r="P93" s="504"/>
      <c r="Q93" s="205"/>
      <c r="R93" s="504"/>
      <c r="S93" s="229"/>
      <c r="T93" s="54">
        <f>ROUNDDOWN(S98,2)</f>
        <v>1600</v>
      </c>
      <c r="U93" s="50" t="s">
        <v>27</v>
      </c>
      <c r="V93" s="51"/>
    </row>
    <row r="94" spans="2:24" s="32" customFormat="1" hidden="1" x14ac:dyDescent="0.3">
      <c r="C94" s="33"/>
      <c r="D94" s="52" t="s">
        <v>95</v>
      </c>
      <c r="E94" s="155" t="s">
        <v>150</v>
      </c>
      <c r="F94" s="505"/>
      <c r="G94" s="155" t="s">
        <v>151</v>
      </c>
      <c r="H94" s="505"/>
      <c r="I94" s="155" t="s">
        <v>152</v>
      </c>
      <c r="J94" s="505"/>
      <c r="K94" s="155" t="s">
        <v>153</v>
      </c>
      <c r="L94" s="506"/>
      <c r="M94" s="164" t="s">
        <v>32</v>
      </c>
      <c r="N94" s="506"/>
      <c r="O94" s="206" t="s">
        <v>163</v>
      </c>
      <c r="P94" s="506"/>
      <c r="Q94" s="207" t="s">
        <v>151</v>
      </c>
      <c r="R94" s="506"/>
      <c r="S94" s="230" t="s">
        <v>143</v>
      </c>
      <c r="T94" s="419"/>
      <c r="U94" s="50"/>
      <c r="V94" s="51"/>
    </row>
    <row r="95" spans="2:24" s="32" customFormat="1" hidden="1" x14ac:dyDescent="0.3">
      <c r="C95" s="33"/>
      <c r="D95" s="140" t="str">
        <f>D102</f>
        <v>Pile Cap tipe - PC1</v>
      </c>
      <c r="E95" s="172">
        <v>20</v>
      </c>
      <c r="F95" s="514" t="s">
        <v>185</v>
      </c>
      <c r="G95" s="172"/>
      <c r="H95" s="514"/>
      <c r="I95" s="172"/>
      <c r="J95" s="514"/>
      <c r="K95" s="172">
        <f>K102</f>
        <v>1</v>
      </c>
      <c r="L95" s="514" t="s">
        <v>185</v>
      </c>
      <c r="M95" s="534">
        <f>K42</f>
        <v>56</v>
      </c>
      <c r="N95" s="515"/>
      <c r="O95" s="172"/>
      <c r="P95" s="535"/>
      <c r="Q95" s="535"/>
      <c r="R95" s="515" t="s">
        <v>114</v>
      </c>
      <c r="S95" s="536">
        <f>M95*K95*E95</f>
        <v>1120</v>
      </c>
      <c r="T95" s="419"/>
      <c r="U95" s="50"/>
      <c r="V95" s="1154"/>
      <c r="W95" s="635"/>
      <c r="X95" s="55"/>
    </row>
    <row r="96" spans="2:24" s="32" customFormat="1" hidden="1" x14ac:dyDescent="0.3">
      <c r="C96" s="33"/>
      <c r="D96" s="140" t="str">
        <f>D103</f>
        <v>Pile Cap tipe - PC2</v>
      </c>
      <c r="E96" s="172">
        <v>20</v>
      </c>
      <c r="F96" s="514" t="s">
        <v>185</v>
      </c>
      <c r="G96" s="172"/>
      <c r="H96" s="514"/>
      <c r="I96" s="172"/>
      <c r="J96" s="514"/>
      <c r="K96" s="172">
        <f>K103</f>
        <v>2</v>
      </c>
      <c r="L96" s="514" t="s">
        <v>185</v>
      </c>
      <c r="M96" s="534">
        <f>K43</f>
        <v>12</v>
      </c>
      <c r="N96" s="515"/>
      <c r="O96" s="172"/>
      <c r="P96" s="537"/>
      <c r="Q96" s="537"/>
      <c r="R96" s="515" t="s">
        <v>114</v>
      </c>
      <c r="S96" s="538">
        <f>M96*K96*E96</f>
        <v>480</v>
      </c>
      <c r="T96" s="419"/>
      <c r="U96" s="50"/>
      <c r="V96" s="1154"/>
      <c r="W96" s="635"/>
      <c r="X96" s="55"/>
    </row>
    <row r="97" spans="3:24" s="32" customFormat="1" ht="17.25" hidden="1" thickBot="1" x14ac:dyDescent="0.35">
      <c r="C97" s="33"/>
      <c r="D97" s="306"/>
      <c r="E97" s="223"/>
      <c r="F97" s="539"/>
      <c r="G97" s="223"/>
      <c r="H97" s="539"/>
      <c r="I97" s="223"/>
      <c r="J97" s="539"/>
      <c r="K97" s="223"/>
      <c r="L97" s="539"/>
      <c r="M97" s="223"/>
      <c r="N97" s="539"/>
      <c r="O97" s="223"/>
      <c r="P97" s="540"/>
      <c r="Q97" s="541"/>
      <c r="R97" s="539"/>
      <c r="S97" s="307"/>
      <c r="T97" s="419"/>
      <c r="U97" s="50"/>
      <c r="V97" s="1155"/>
      <c r="W97" s="55"/>
      <c r="X97" s="55"/>
    </row>
    <row r="98" spans="3:24" s="32" customFormat="1" ht="17.25" hidden="1" thickBot="1" x14ac:dyDescent="0.35">
      <c r="C98" s="33"/>
      <c r="D98" s="3101" t="s">
        <v>164</v>
      </c>
      <c r="E98" s="3102"/>
      <c r="F98" s="3102"/>
      <c r="G98" s="3102"/>
      <c r="H98" s="3102"/>
      <c r="I98" s="3102"/>
      <c r="J98" s="531"/>
      <c r="K98" s="179"/>
      <c r="L98" s="532"/>
      <c r="M98" s="180"/>
      <c r="N98" s="532"/>
      <c r="O98" s="183"/>
      <c r="P98" s="532"/>
      <c r="Q98" s="210"/>
      <c r="R98" s="532"/>
      <c r="S98" s="233">
        <f>SUM(S95:S97)</f>
        <v>1600</v>
      </c>
      <c r="T98" s="53"/>
      <c r="U98" s="50"/>
      <c r="V98" s="51"/>
    </row>
    <row r="99" spans="3:24" s="444" customFormat="1" hidden="1" x14ac:dyDescent="0.3">
      <c r="C99" s="450"/>
      <c r="E99" s="445"/>
      <c r="F99" s="483"/>
      <c r="G99" s="445"/>
      <c r="H99" s="483"/>
      <c r="I99" s="445"/>
      <c r="J99" s="483"/>
      <c r="K99" s="445"/>
      <c r="L99" s="483"/>
      <c r="M99" s="446"/>
      <c r="N99" s="483"/>
      <c r="O99" s="445"/>
      <c r="P99" s="483"/>
      <c r="Q99" s="447"/>
      <c r="R99" s="483"/>
      <c r="S99" s="448"/>
      <c r="T99" s="456"/>
      <c r="U99" s="443"/>
      <c r="V99" s="674"/>
    </row>
    <row r="100" spans="3:24" s="32" customFormat="1" ht="17.25" hidden="1" thickBot="1" x14ac:dyDescent="0.35">
      <c r="C100" s="33" t="str">
        <f>RAB!C35</f>
        <v>-</v>
      </c>
      <c r="D100" s="32" t="str">
        <f>RAB!D35</f>
        <v>Pemancangan Spun Pile Ø 30 Cm K-600 dengan Hydraulic Jacking System kap. 120 Ton</v>
      </c>
      <c r="E100" s="176"/>
      <c r="F100" s="504"/>
      <c r="G100" s="176"/>
      <c r="H100" s="504"/>
      <c r="I100" s="176"/>
      <c r="J100" s="504"/>
      <c r="K100" s="176"/>
      <c r="L100" s="504"/>
      <c r="M100" s="177"/>
      <c r="N100" s="504"/>
      <c r="O100" s="176"/>
      <c r="P100" s="504"/>
      <c r="Q100" s="205"/>
      <c r="R100" s="504"/>
      <c r="S100" s="229"/>
      <c r="T100" s="54">
        <f>ROUNDDOWN(S105,2)</f>
        <v>1600</v>
      </c>
      <c r="U100" s="50" t="s">
        <v>27</v>
      </c>
      <c r="V100" s="51"/>
    </row>
    <row r="101" spans="3:24" s="32" customFormat="1" hidden="1" x14ac:dyDescent="0.3">
      <c r="C101" s="33"/>
      <c r="D101" s="52" t="s">
        <v>95</v>
      </c>
      <c r="E101" s="155" t="s">
        <v>150</v>
      </c>
      <c r="F101" s="505"/>
      <c r="G101" s="155" t="s">
        <v>151</v>
      </c>
      <c r="H101" s="505"/>
      <c r="I101" s="155" t="s">
        <v>152</v>
      </c>
      <c r="J101" s="505"/>
      <c r="K101" s="155" t="s">
        <v>153</v>
      </c>
      <c r="L101" s="506"/>
      <c r="M101" s="164" t="s">
        <v>32</v>
      </c>
      <c r="N101" s="506"/>
      <c r="O101" s="206" t="s">
        <v>163</v>
      </c>
      <c r="P101" s="506"/>
      <c r="Q101" s="207" t="s">
        <v>151</v>
      </c>
      <c r="R101" s="506"/>
      <c r="S101" s="230" t="s">
        <v>143</v>
      </c>
      <c r="T101" s="419"/>
      <c r="U101" s="50"/>
      <c r="V101" s="51"/>
    </row>
    <row r="102" spans="3:24" s="32" customFormat="1" hidden="1" x14ac:dyDescent="0.3">
      <c r="C102" s="33"/>
      <c r="D102" s="303" t="str">
        <f>C127</f>
        <v>Pile Cap tipe - PC1</v>
      </c>
      <c r="E102" s="217">
        <f>E95</f>
        <v>20</v>
      </c>
      <c r="F102" s="507" t="s">
        <v>185</v>
      </c>
      <c r="G102" s="217"/>
      <c r="H102" s="507"/>
      <c r="I102" s="217"/>
      <c r="J102" s="507"/>
      <c r="K102" s="217">
        <v>1</v>
      </c>
      <c r="L102" s="508"/>
      <c r="M102" s="354">
        <f>M95</f>
        <v>56</v>
      </c>
      <c r="N102" s="508"/>
      <c r="O102" s="217"/>
      <c r="P102" s="508"/>
      <c r="Q102" s="276"/>
      <c r="R102" s="507" t="s">
        <v>114</v>
      </c>
      <c r="S102" s="298">
        <f>M102*K102*E102</f>
        <v>1120</v>
      </c>
      <c r="T102" s="419"/>
      <c r="U102" s="50"/>
      <c r="V102" s="1154"/>
      <c r="W102" s="55"/>
      <c r="X102" s="55"/>
    </row>
    <row r="103" spans="3:24" s="32" customFormat="1" hidden="1" x14ac:dyDescent="0.3">
      <c r="C103" s="33"/>
      <c r="D103" s="140" t="str">
        <f>C149</f>
        <v>Pile Cap tipe - PC2</v>
      </c>
      <c r="E103" s="172">
        <f>E96</f>
        <v>20</v>
      </c>
      <c r="F103" s="514" t="s">
        <v>185</v>
      </c>
      <c r="G103" s="172"/>
      <c r="H103" s="514"/>
      <c r="I103" s="172"/>
      <c r="J103" s="514"/>
      <c r="K103" s="172">
        <v>2</v>
      </c>
      <c r="L103" s="515"/>
      <c r="M103" s="534">
        <f>M96</f>
        <v>12</v>
      </c>
      <c r="N103" s="515"/>
      <c r="O103" s="172"/>
      <c r="P103" s="515"/>
      <c r="Q103" s="259"/>
      <c r="R103" s="514"/>
      <c r="S103" s="260">
        <f>E103*K103*M103</f>
        <v>480</v>
      </c>
      <c r="T103" s="419"/>
      <c r="U103" s="50"/>
      <c r="V103" s="1154"/>
      <c r="W103" s="55"/>
      <c r="X103" s="55"/>
    </row>
    <row r="104" spans="3:24" s="32" customFormat="1" hidden="1" x14ac:dyDescent="0.3">
      <c r="C104" s="33"/>
      <c r="D104" s="304"/>
      <c r="E104" s="199"/>
      <c r="F104" s="530"/>
      <c r="G104" s="199"/>
      <c r="H104" s="530"/>
      <c r="I104" s="199"/>
      <c r="J104" s="530"/>
      <c r="K104" s="199"/>
      <c r="L104" s="530"/>
      <c r="M104" s="199"/>
      <c r="N104" s="530"/>
      <c r="O104" s="199"/>
      <c r="P104" s="530"/>
      <c r="Q104" s="283"/>
      <c r="R104" s="530"/>
      <c r="S104" s="305"/>
      <c r="T104" s="419"/>
      <c r="U104" s="50"/>
      <c r="V104" s="1155"/>
      <c r="W104" s="55"/>
      <c r="X104" s="55"/>
    </row>
    <row r="105" spans="3:24" s="32" customFormat="1" ht="17.25" hidden="1" thickBot="1" x14ac:dyDescent="0.35">
      <c r="C105" s="33"/>
      <c r="D105" s="3101" t="s">
        <v>164</v>
      </c>
      <c r="E105" s="3102"/>
      <c r="F105" s="3102"/>
      <c r="G105" s="3102"/>
      <c r="H105" s="3102"/>
      <c r="I105" s="3102"/>
      <c r="J105" s="531"/>
      <c r="K105" s="179"/>
      <c r="L105" s="532"/>
      <c r="M105" s="180"/>
      <c r="N105" s="532"/>
      <c r="O105" s="183"/>
      <c r="P105" s="532"/>
      <c r="Q105" s="210"/>
      <c r="R105" s="532"/>
      <c r="S105" s="233">
        <f>SUM(S102:S104)</f>
        <v>1600</v>
      </c>
      <c r="T105" s="53"/>
      <c r="U105" s="50"/>
      <c r="V105" s="51"/>
    </row>
    <row r="106" spans="3:24" s="32" customFormat="1" hidden="1" x14ac:dyDescent="0.3">
      <c r="C106" s="33"/>
      <c r="D106" s="121"/>
      <c r="E106" s="181"/>
      <c r="F106" s="528"/>
      <c r="G106" s="181"/>
      <c r="H106" s="528"/>
      <c r="I106" s="181"/>
      <c r="J106" s="528"/>
      <c r="K106" s="181"/>
      <c r="L106" s="529"/>
      <c r="M106" s="182"/>
      <c r="N106" s="529"/>
      <c r="O106" s="181"/>
      <c r="P106" s="529"/>
      <c r="Q106" s="211"/>
      <c r="R106" s="529"/>
      <c r="S106" s="234"/>
      <c r="T106" s="53"/>
      <c r="U106" s="50"/>
      <c r="V106" s="51"/>
    </row>
    <row r="107" spans="3:24" s="32" customFormat="1" ht="17.25" hidden="1" thickBot="1" x14ac:dyDescent="0.35">
      <c r="C107" s="33" t="str">
        <f>RAB!C36</f>
        <v>-</v>
      </c>
      <c r="D107" s="32" t="str">
        <f>RAB!D36</f>
        <v>Penyambungan Tiang Pancang</v>
      </c>
      <c r="E107" s="176"/>
      <c r="F107" s="504"/>
      <c r="G107" s="176"/>
      <c r="H107" s="504"/>
      <c r="I107" s="176"/>
      <c r="J107" s="504"/>
      <c r="K107" s="176"/>
      <c r="L107" s="504"/>
      <c r="M107" s="177"/>
      <c r="N107" s="504"/>
      <c r="O107" s="176"/>
      <c r="P107" s="504"/>
      <c r="Q107" s="205"/>
      <c r="R107" s="504"/>
      <c r="S107" s="229"/>
      <c r="T107" s="54">
        <f>ROUNDDOWN(S112,2)</f>
        <v>80</v>
      </c>
      <c r="U107" s="50" t="s">
        <v>287</v>
      </c>
      <c r="V107" s="51"/>
    </row>
    <row r="108" spans="3:24" s="32" customFormat="1" hidden="1" x14ac:dyDescent="0.3">
      <c r="C108" s="33"/>
      <c r="D108" s="52" t="s">
        <v>95</v>
      </c>
      <c r="E108" s="155" t="s">
        <v>150</v>
      </c>
      <c r="F108" s="505"/>
      <c r="G108" s="155" t="s">
        <v>151</v>
      </c>
      <c r="H108" s="505"/>
      <c r="I108" s="155" t="s">
        <v>152</v>
      </c>
      <c r="J108" s="505"/>
      <c r="K108" s="155" t="s">
        <v>153</v>
      </c>
      <c r="L108" s="506"/>
      <c r="M108" s="164" t="s">
        <v>32</v>
      </c>
      <c r="N108" s="506"/>
      <c r="O108" s="206" t="s">
        <v>163</v>
      </c>
      <c r="P108" s="506"/>
      <c r="Q108" s="207" t="s">
        <v>151</v>
      </c>
      <c r="R108" s="506"/>
      <c r="S108" s="230" t="s">
        <v>143</v>
      </c>
      <c r="T108" s="419"/>
      <c r="U108" s="50"/>
      <c r="V108" s="51"/>
    </row>
    <row r="109" spans="3:24" s="32" customFormat="1" hidden="1" x14ac:dyDescent="0.3">
      <c r="C109" s="33"/>
      <c r="D109" s="303" t="str">
        <f>D102</f>
        <v>Pile Cap tipe - PC1</v>
      </c>
      <c r="E109" s="217"/>
      <c r="F109" s="507"/>
      <c r="G109" s="217"/>
      <c r="H109" s="507"/>
      <c r="I109" s="217"/>
      <c r="J109" s="507"/>
      <c r="K109" s="217">
        <f>K102</f>
        <v>1</v>
      </c>
      <c r="L109" s="508" t="s">
        <v>185</v>
      </c>
      <c r="M109" s="217">
        <f>M102</f>
        <v>56</v>
      </c>
      <c r="N109" s="508" t="s">
        <v>185</v>
      </c>
      <c r="O109" s="217">
        <v>1</v>
      </c>
      <c r="P109" s="508"/>
      <c r="Q109" s="276"/>
      <c r="R109" s="507" t="s">
        <v>114</v>
      </c>
      <c r="S109" s="298">
        <f>O109*M109*K109</f>
        <v>56</v>
      </c>
      <c r="T109" s="419"/>
      <c r="U109" s="50"/>
      <c r="V109" s="51"/>
    </row>
    <row r="110" spans="3:24" s="32" customFormat="1" hidden="1" x14ac:dyDescent="0.3">
      <c r="C110" s="33"/>
      <c r="D110" s="140" t="str">
        <f>D103</f>
        <v>Pile Cap tipe - PC2</v>
      </c>
      <c r="E110" s="172"/>
      <c r="F110" s="514"/>
      <c r="G110" s="172"/>
      <c r="H110" s="514"/>
      <c r="I110" s="172"/>
      <c r="J110" s="514"/>
      <c r="K110" s="172">
        <f>K103</f>
        <v>2</v>
      </c>
      <c r="L110" s="515" t="s">
        <v>185</v>
      </c>
      <c r="M110" s="172">
        <f>M103</f>
        <v>12</v>
      </c>
      <c r="N110" s="515" t="s">
        <v>185</v>
      </c>
      <c r="O110" s="172">
        <v>1</v>
      </c>
      <c r="P110" s="515"/>
      <c r="Q110" s="259"/>
      <c r="R110" s="514" t="s">
        <v>114</v>
      </c>
      <c r="S110" s="260">
        <f>O110*M110*K110</f>
        <v>24</v>
      </c>
      <c r="T110" s="419"/>
      <c r="U110" s="50"/>
      <c r="V110" s="51"/>
    </row>
    <row r="111" spans="3:24" s="32" customFormat="1" hidden="1" x14ac:dyDescent="0.3">
      <c r="C111" s="33"/>
      <c r="D111" s="304"/>
      <c r="E111" s="199"/>
      <c r="F111" s="530"/>
      <c r="G111" s="199"/>
      <c r="H111" s="530"/>
      <c r="I111" s="199"/>
      <c r="J111" s="530"/>
      <c r="K111" s="199"/>
      <c r="L111" s="530"/>
      <c r="M111" s="199"/>
      <c r="N111" s="530"/>
      <c r="O111" s="199"/>
      <c r="P111" s="530"/>
      <c r="Q111" s="283"/>
      <c r="R111" s="530"/>
      <c r="S111" s="305"/>
      <c r="T111" s="419"/>
      <c r="U111" s="50"/>
      <c r="V111" s="51"/>
    </row>
    <row r="112" spans="3:24" s="32" customFormat="1" ht="17.25" hidden="1" thickBot="1" x14ac:dyDescent="0.35">
      <c r="C112" s="33"/>
      <c r="D112" s="3101" t="s">
        <v>164</v>
      </c>
      <c r="E112" s="3101"/>
      <c r="F112" s="3101"/>
      <c r="G112" s="3101"/>
      <c r="H112" s="3101"/>
      <c r="I112" s="3101"/>
      <c r="J112" s="531"/>
      <c r="K112" s="179"/>
      <c r="L112" s="532"/>
      <c r="M112" s="180"/>
      <c r="N112" s="532"/>
      <c r="O112" s="183"/>
      <c r="P112" s="532"/>
      <c r="Q112" s="210"/>
      <c r="R112" s="532"/>
      <c r="S112" s="233">
        <f>SUM(S109:S111)</f>
        <v>80</v>
      </c>
      <c r="T112" s="53"/>
      <c r="U112" s="50"/>
      <c r="V112" s="51"/>
    </row>
    <row r="113" spans="2:22" s="444" customFormat="1" hidden="1" x14ac:dyDescent="0.3">
      <c r="C113" s="450"/>
      <c r="E113" s="445"/>
      <c r="F113" s="483"/>
      <c r="G113" s="445"/>
      <c r="H113" s="483"/>
      <c r="I113" s="445"/>
      <c r="J113" s="483"/>
      <c r="K113" s="445"/>
      <c r="L113" s="483"/>
      <c r="M113" s="446"/>
      <c r="N113" s="483"/>
      <c r="O113" s="445"/>
      <c r="P113" s="483"/>
      <c r="Q113" s="447"/>
      <c r="R113" s="483"/>
      <c r="S113" s="448"/>
      <c r="T113" s="456"/>
      <c r="U113" s="443"/>
      <c r="V113" s="674"/>
    </row>
    <row r="114" spans="2:22" s="32" customFormat="1" ht="17.25" hidden="1" thickBot="1" x14ac:dyDescent="0.35">
      <c r="C114" s="33" t="str">
        <f>RAB!C37</f>
        <v>-</v>
      </c>
      <c r="D114" s="32" t="str">
        <f>RAB!D37</f>
        <v>Memecah Kepala Tiang Pancang</v>
      </c>
      <c r="E114" s="176"/>
      <c r="F114" s="504"/>
      <c r="G114" s="176"/>
      <c r="H114" s="504"/>
      <c r="I114" s="176"/>
      <c r="J114" s="504"/>
      <c r="K114" s="176"/>
      <c r="L114" s="504"/>
      <c r="M114" s="177"/>
      <c r="N114" s="504"/>
      <c r="O114" s="176"/>
      <c r="P114" s="504"/>
      <c r="Q114" s="205"/>
      <c r="R114" s="504"/>
      <c r="S114" s="229"/>
      <c r="T114" s="54">
        <f>ROUNDDOWN(S119,2)</f>
        <v>80</v>
      </c>
      <c r="U114" s="50" t="s">
        <v>9</v>
      </c>
      <c r="V114" s="51"/>
    </row>
    <row r="115" spans="2:22" s="32" customFormat="1" hidden="1" x14ac:dyDescent="0.3">
      <c r="C115" s="33"/>
      <c r="D115" s="52" t="s">
        <v>95</v>
      </c>
      <c r="E115" s="155" t="s">
        <v>150</v>
      </c>
      <c r="F115" s="505"/>
      <c r="G115" s="155" t="s">
        <v>151</v>
      </c>
      <c r="H115" s="505"/>
      <c r="I115" s="155" t="s">
        <v>152</v>
      </c>
      <c r="J115" s="505"/>
      <c r="K115" s="155" t="s">
        <v>153</v>
      </c>
      <c r="L115" s="506"/>
      <c r="M115" s="164" t="s">
        <v>32</v>
      </c>
      <c r="N115" s="506"/>
      <c r="O115" s="206" t="s">
        <v>163</v>
      </c>
      <c r="P115" s="506"/>
      <c r="Q115" s="207" t="s">
        <v>151</v>
      </c>
      <c r="R115" s="506"/>
      <c r="S115" s="230" t="s">
        <v>143</v>
      </c>
      <c r="T115" s="419"/>
      <c r="U115" s="50"/>
      <c r="V115" s="51"/>
    </row>
    <row r="116" spans="2:22" s="32" customFormat="1" hidden="1" x14ac:dyDescent="0.3">
      <c r="C116" s="33"/>
      <c r="D116" s="303" t="str">
        <f>D109</f>
        <v>Pile Cap tipe - PC1</v>
      </c>
      <c r="E116" s="217"/>
      <c r="F116" s="507"/>
      <c r="G116" s="217"/>
      <c r="H116" s="507"/>
      <c r="I116" s="217"/>
      <c r="J116" s="507"/>
      <c r="K116" s="217">
        <f>K109</f>
        <v>1</v>
      </c>
      <c r="L116" s="508" t="s">
        <v>185</v>
      </c>
      <c r="M116" s="217">
        <f>M109</f>
        <v>56</v>
      </c>
      <c r="N116" s="508"/>
      <c r="O116" s="217"/>
      <c r="P116" s="508"/>
      <c r="Q116" s="276"/>
      <c r="R116" s="507" t="s">
        <v>114</v>
      </c>
      <c r="S116" s="298">
        <f>M116*K116</f>
        <v>56</v>
      </c>
      <c r="T116" s="419"/>
      <c r="U116" s="50"/>
      <c r="V116" s="51"/>
    </row>
    <row r="117" spans="2:22" s="32" customFormat="1" hidden="1" x14ac:dyDescent="0.3">
      <c r="C117" s="33"/>
      <c r="D117" s="140" t="str">
        <f>D110</f>
        <v>Pile Cap tipe - PC2</v>
      </c>
      <c r="E117" s="172"/>
      <c r="F117" s="514"/>
      <c r="G117" s="172"/>
      <c r="H117" s="514"/>
      <c r="I117" s="172"/>
      <c r="J117" s="514"/>
      <c r="K117" s="172">
        <f>K110</f>
        <v>2</v>
      </c>
      <c r="L117" s="515"/>
      <c r="M117" s="172">
        <f>M110</f>
        <v>12</v>
      </c>
      <c r="N117" s="515"/>
      <c r="O117" s="172"/>
      <c r="P117" s="515"/>
      <c r="Q117" s="259"/>
      <c r="R117" s="514" t="s">
        <v>114</v>
      </c>
      <c r="S117" s="260">
        <f>M117*K117</f>
        <v>24</v>
      </c>
      <c r="T117" s="419"/>
      <c r="U117" s="50"/>
      <c r="V117" s="51"/>
    </row>
    <row r="118" spans="2:22" s="32" customFormat="1" hidden="1" x14ac:dyDescent="0.3">
      <c r="C118" s="33"/>
      <c r="D118" s="304"/>
      <c r="E118" s="199"/>
      <c r="F118" s="530"/>
      <c r="G118" s="199"/>
      <c r="H118" s="530"/>
      <c r="I118" s="199"/>
      <c r="J118" s="530"/>
      <c r="K118" s="199"/>
      <c r="L118" s="530"/>
      <c r="M118" s="199"/>
      <c r="N118" s="530"/>
      <c r="O118" s="199"/>
      <c r="P118" s="530"/>
      <c r="Q118" s="283"/>
      <c r="R118" s="530"/>
      <c r="S118" s="305"/>
      <c r="T118" s="419"/>
      <c r="U118" s="50"/>
      <c r="V118" s="51"/>
    </row>
    <row r="119" spans="2:22" s="32" customFormat="1" ht="17.25" hidden="1" thickBot="1" x14ac:dyDescent="0.35">
      <c r="C119" s="33"/>
      <c r="D119" s="3101" t="s">
        <v>164</v>
      </c>
      <c r="E119" s="3102"/>
      <c r="F119" s="3102"/>
      <c r="G119" s="3102"/>
      <c r="H119" s="3102"/>
      <c r="I119" s="3102"/>
      <c r="J119" s="531"/>
      <c r="K119" s="179"/>
      <c r="L119" s="532"/>
      <c r="M119" s="180"/>
      <c r="N119" s="532"/>
      <c r="O119" s="183"/>
      <c r="P119" s="532"/>
      <c r="Q119" s="210"/>
      <c r="R119" s="532"/>
      <c r="S119" s="233">
        <f>SUM(S116:S118)</f>
        <v>80</v>
      </c>
      <c r="T119" s="53"/>
      <c r="U119" s="50"/>
      <c r="V119" s="51"/>
    </row>
    <row r="120" spans="2:22" s="444" customFormat="1" hidden="1" x14ac:dyDescent="0.3">
      <c r="C120" s="450"/>
      <c r="D120" s="457"/>
      <c r="E120" s="457"/>
      <c r="F120" s="457"/>
      <c r="G120" s="457"/>
      <c r="H120" s="457"/>
      <c r="I120" s="457"/>
      <c r="J120" s="486"/>
      <c r="K120" s="458"/>
      <c r="L120" s="487"/>
      <c r="M120" s="459"/>
      <c r="N120" s="487"/>
      <c r="O120" s="458"/>
      <c r="P120" s="487"/>
      <c r="Q120" s="460"/>
      <c r="R120" s="487"/>
      <c r="S120" s="461"/>
      <c r="T120" s="449"/>
      <c r="U120" s="443"/>
      <c r="V120" s="674"/>
    </row>
    <row r="121" spans="2:22" s="32" customFormat="1" ht="17.25" hidden="1" thickBot="1" x14ac:dyDescent="0.35">
      <c r="B121" s="32" t="e">
        <f>RAB!#REF!</f>
        <v>#REF!</v>
      </c>
      <c r="C121" s="33" t="e">
        <f>RAB!#REF!</f>
        <v>#REF!</v>
      </c>
      <c r="D121" s="121"/>
      <c r="E121" s="181"/>
      <c r="F121" s="528"/>
      <c r="G121" s="181"/>
      <c r="H121" s="528"/>
      <c r="I121" s="181"/>
      <c r="J121" s="528"/>
      <c r="K121" s="181"/>
      <c r="L121" s="529"/>
      <c r="M121" s="182"/>
      <c r="N121" s="529"/>
      <c r="O121" s="181"/>
      <c r="P121" s="529"/>
      <c r="Q121" s="211"/>
      <c r="R121" s="529"/>
      <c r="S121" s="234"/>
      <c r="T121" s="54">
        <v>0</v>
      </c>
      <c r="U121" s="50" t="s">
        <v>3</v>
      </c>
      <c r="V121" s="51"/>
    </row>
    <row r="122" spans="2:22" s="32" customFormat="1" hidden="1" x14ac:dyDescent="0.3">
      <c r="C122" s="33"/>
      <c r="D122" s="52" t="s">
        <v>95</v>
      </c>
      <c r="E122" s="155" t="s">
        <v>150</v>
      </c>
      <c r="F122" s="505"/>
      <c r="G122" s="155" t="s">
        <v>151</v>
      </c>
      <c r="H122" s="505"/>
      <c r="I122" s="155" t="s">
        <v>152</v>
      </c>
      <c r="J122" s="505"/>
      <c r="K122" s="155" t="s">
        <v>153</v>
      </c>
      <c r="L122" s="506"/>
      <c r="M122" s="164" t="s">
        <v>32</v>
      </c>
      <c r="N122" s="506"/>
      <c r="O122" s="206" t="s">
        <v>163</v>
      </c>
      <c r="P122" s="506"/>
      <c r="Q122" s="207" t="s">
        <v>151</v>
      </c>
      <c r="R122" s="506"/>
      <c r="S122" s="230" t="s">
        <v>143</v>
      </c>
      <c r="T122" s="419"/>
      <c r="U122" s="50"/>
      <c r="V122" s="51"/>
    </row>
    <row r="123" spans="2:22" s="32" customFormat="1" hidden="1" x14ac:dyDescent="0.3">
      <c r="C123" s="33"/>
      <c r="D123" s="303" t="s">
        <v>729</v>
      </c>
      <c r="E123" s="354" t="e">
        <f>#REF!+#REF!</f>
        <v>#REF!</v>
      </c>
      <c r="F123" s="508" t="s">
        <v>185</v>
      </c>
      <c r="G123" s="217">
        <v>0.45</v>
      </c>
      <c r="H123" s="508" t="s">
        <v>185</v>
      </c>
      <c r="I123" s="217">
        <v>0.55000000000000004</v>
      </c>
      <c r="J123" s="508" t="s">
        <v>185</v>
      </c>
      <c r="K123" s="217"/>
      <c r="L123" s="508"/>
      <c r="M123" s="217"/>
      <c r="N123" s="508"/>
      <c r="O123" s="217">
        <v>0.5</v>
      </c>
      <c r="P123" s="508"/>
      <c r="Q123" s="276"/>
      <c r="R123" s="507" t="s">
        <v>114</v>
      </c>
      <c r="S123" s="298" t="e">
        <f>O123*I123*G123*E123</f>
        <v>#REF!</v>
      </c>
      <c r="T123" s="419"/>
      <c r="U123" s="50"/>
      <c r="V123" s="51"/>
    </row>
    <row r="124" spans="2:22" s="32" customFormat="1" hidden="1" x14ac:dyDescent="0.3">
      <c r="C124" s="33"/>
      <c r="D124" s="304"/>
      <c r="E124" s="199"/>
      <c r="F124" s="530"/>
      <c r="G124" s="199"/>
      <c r="H124" s="530"/>
      <c r="I124" s="199"/>
      <c r="J124" s="530"/>
      <c r="K124" s="199"/>
      <c r="L124" s="530"/>
      <c r="M124" s="199"/>
      <c r="N124" s="530"/>
      <c r="O124" s="199"/>
      <c r="P124" s="530"/>
      <c r="Q124" s="283"/>
      <c r="R124" s="530"/>
      <c r="S124" s="305"/>
      <c r="T124" s="419"/>
      <c r="U124" s="50"/>
      <c r="V124" s="51"/>
    </row>
    <row r="125" spans="2:22" s="32" customFormat="1" ht="17.25" hidden="1" thickBot="1" x14ac:dyDescent="0.35">
      <c r="C125" s="33"/>
      <c r="D125" s="3101" t="s">
        <v>164</v>
      </c>
      <c r="E125" s="3102"/>
      <c r="F125" s="3102"/>
      <c r="G125" s="3102"/>
      <c r="H125" s="3102"/>
      <c r="I125" s="3102"/>
      <c r="J125" s="531"/>
      <c r="K125" s="179"/>
      <c r="L125" s="532"/>
      <c r="M125" s="180"/>
      <c r="N125" s="532"/>
      <c r="O125" s="183"/>
      <c r="P125" s="532"/>
      <c r="Q125" s="210"/>
      <c r="R125" s="532"/>
      <c r="S125" s="233" t="e">
        <f>SUM(S123:S124)</f>
        <v>#REF!</v>
      </c>
      <c r="T125" s="53"/>
      <c r="U125" s="50"/>
      <c r="V125" s="51"/>
    </row>
    <row r="126" spans="2:22" s="444" customFormat="1" hidden="1" x14ac:dyDescent="0.3">
      <c r="C126" s="450"/>
      <c r="D126" s="457"/>
      <c r="E126" s="457"/>
      <c r="F126" s="457"/>
      <c r="G126" s="457"/>
      <c r="H126" s="457"/>
      <c r="I126" s="457"/>
      <c r="J126" s="486"/>
      <c r="K126" s="458"/>
      <c r="L126" s="487"/>
      <c r="M126" s="459"/>
      <c r="N126" s="487"/>
      <c r="O126" s="458"/>
      <c r="P126" s="487"/>
      <c r="Q126" s="460"/>
      <c r="R126" s="487"/>
      <c r="S126" s="461"/>
      <c r="T126" s="449"/>
      <c r="U126" s="443"/>
      <c r="V126" s="674"/>
    </row>
    <row r="127" spans="2:22" s="32" customFormat="1" hidden="1" x14ac:dyDescent="0.3">
      <c r="B127" s="32">
        <f>RAB!B39</f>
        <v>2</v>
      </c>
      <c r="C127" s="33" t="str">
        <f>RAB!C39</f>
        <v>Pile Cap tipe - PC1</v>
      </c>
      <c r="E127" s="176"/>
      <c r="F127" s="504"/>
      <c r="G127" s="176"/>
      <c r="H127" s="504"/>
      <c r="I127" s="176"/>
      <c r="J127" s="504"/>
      <c r="K127" s="176"/>
      <c r="L127" s="504"/>
      <c r="M127" s="177"/>
      <c r="N127" s="504"/>
      <c r="O127" s="176"/>
      <c r="P127" s="504"/>
      <c r="Q127" s="205"/>
      <c r="R127" s="504"/>
      <c r="S127" s="229"/>
      <c r="T127" s="54"/>
      <c r="U127" s="50"/>
      <c r="V127" s="51"/>
    </row>
    <row r="128" spans="2:22" s="32" customFormat="1" ht="17.25" hidden="1" thickBot="1" x14ac:dyDescent="0.35">
      <c r="C128" s="33" t="str">
        <f>RAB!D40</f>
        <v xml:space="preserve">Beton mutu f'c=26,4 Mpa </v>
      </c>
      <c r="E128" s="176"/>
      <c r="F128" s="504"/>
      <c r="G128" s="176"/>
      <c r="H128" s="504"/>
      <c r="I128" s="176"/>
      <c r="J128" s="504"/>
      <c r="K128" s="176"/>
      <c r="L128" s="504"/>
      <c r="M128" s="177"/>
      <c r="N128" s="504"/>
      <c r="O128" s="176"/>
      <c r="P128" s="504"/>
      <c r="Q128" s="205"/>
      <c r="R128" s="504"/>
      <c r="S128" s="229"/>
      <c r="T128" s="54">
        <f>ROUNDDOWN(S134,2)</f>
        <v>26.67</v>
      </c>
      <c r="U128" s="50" t="s">
        <v>3</v>
      </c>
      <c r="V128" s="51"/>
    </row>
    <row r="129" spans="3:23" s="32" customFormat="1" hidden="1" x14ac:dyDescent="0.3">
      <c r="C129" s="33"/>
      <c r="D129" s="52" t="s">
        <v>95</v>
      </c>
      <c r="E129" s="155" t="s">
        <v>150</v>
      </c>
      <c r="F129" s="505"/>
      <c r="G129" s="155" t="s">
        <v>151</v>
      </c>
      <c r="H129" s="505"/>
      <c r="I129" s="155" t="s">
        <v>152</v>
      </c>
      <c r="J129" s="505"/>
      <c r="K129" s="155" t="s">
        <v>153</v>
      </c>
      <c r="L129" s="506"/>
      <c r="M129" s="164" t="s">
        <v>32</v>
      </c>
      <c r="N129" s="506"/>
      <c r="O129" s="206" t="s">
        <v>163</v>
      </c>
      <c r="P129" s="506"/>
      <c r="Q129" s="207" t="s">
        <v>151</v>
      </c>
      <c r="R129" s="506"/>
      <c r="S129" s="230" t="s">
        <v>143</v>
      </c>
      <c r="T129" s="419"/>
      <c r="U129" s="50"/>
      <c r="V129" s="51"/>
    </row>
    <row r="130" spans="3:23" s="32" customFormat="1" hidden="1" x14ac:dyDescent="0.3">
      <c r="C130" s="33"/>
      <c r="D130" s="297" t="s">
        <v>258</v>
      </c>
      <c r="E130" s="217">
        <v>0.9</v>
      </c>
      <c r="F130" s="508" t="s">
        <v>185</v>
      </c>
      <c r="G130" s="217">
        <v>0.9</v>
      </c>
      <c r="H130" s="508" t="s">
        <v>185</v>
      </c>
      <c r="I130" s="217">
        <v>0.6</v>
      </c>
      <c r="J130" s="507" t="s">
        <v>185</v>
      </c>
      <c r="K130" s="354">
        <f>K42</f>
        <v>56</v>
      </c>
      <c r="L130" s="542"/>
      <c r="M130" s="257"/>
      <c r="N130" s="542"/>
      <c r="O130" s="217"/>
      <c r="P130" s="542"/>
      <c r="Q130" s="276"/>
      <c r="R130" s="507" t="s">
        <v>114</v>
      </c>
      <c r="S130" s="298">
        <f>K130*I130*G130*E130</f>
        <v>27.216000000000001</v>
      </c>
      <c r="T130" s="419"/>
      <c r="U130" s="50"/>
      <c r="V130" s="51"/>
      <c r="W130" s="120">
        <f>S130+S152</f>
        <v>38.880000000000003</v>
      </c>
    </row>
    <row r="131" spans="3:23" s="32" customFormat="1" hidden="1" x14ac:dyDescent="0.3">
      <c r="C131" s="33"/>
      <c r="D131" s="299" t="s">
        <v>244</v>
      </c>
      <c r="E131" s="172"/>
      <c r="F131" s="514"/>
      <c r="G131" s="172"/>
      <c r="H131" s="514"/>
      <c r="I131" s="172"/>
      <c r="J131" s="514"/>
      <c r="K131" s="172"/>
      <c r="L131" s="543"/>
      <c r="M131" s="189"/>
      <c r="N131" s="543"/>
      <c r="O131" s="172"/>
      <c r="P131" s="543"/>
      <c r="Q131" s="259"/>
      <c r="R131" s="514"/>
      <c r="S131" s="260"/>
      <c r="T131" s="419"/>
      <c r="U131" s="50"/>
      <c r="V131" s="51"/>
    </row>
    <row r="132" spans="3:23" s="32" customFormat="1" hidden="1" x14ac:dyDescent="0.3">
      <c r="C132" s="33"/>
      <c r="D132" s="300" t="s">
        <v>254</v>
      </c>
      <c r="E132" s="172"/>
      <c r="F132" s="514"/>
      <c r="G132" s="172"/>
      <c r="H132" s="514"/>
      <c r="I132" s="172"/>
      <c r="J132" s="514"/>
      <c r="K132" s="328">
        <f>S141</f>
        <v>4231.459478400001</v>
      </c>
      <c r="L132" s="544" t="s">
        <v>253</v>
      </c>
      <c r="M132" s="189"/>
      <c r="N132" s="543"/>
      <c r="O132" s="172">
        <f>O139</f>
        <v>7850</v>
      </c>
      <c r="P132" s="543"/>
      <c r="Q132" s="259"/>
      <c r="R132" s="514" t="s">
        <v>149</v>
      </c>
      <c r="S132" s="260">
        <f>K132/O132</f>
        <v>0.53903942400000016</v>
      </c>
      <c r="T132" s="419"/>
      <c r="U132" s="50"/>
      <c r="V132" s="51"/>
    </row>
    <row r="133" spans="3:23" s="32" customFormat="1" hidden="1" x14ac:dyDescent="0.3">
      <c r="C133" s="33"/>
      <c r="D133" s="301"/>
      <c r="E133" s="199"/>
      <c r="F133" s="545"/>
      <c r="G133" s="199"/>
      <c r="H133" s="545"/>
      <c r="I133" s="199"/>
      <c r="J133" s="545"/>
      <c r="K133" s="199"/>
      <c r="L133" s="546"/>
      <c r="M133" s="219"/>
      <c r="N133" s="546"/>
      <c r="O133" s="199"/>
      <c r="P133" s="546"/>
      <c r="Q133" s="283"/>
      <c r="R133" s="545"/>
      <c r="S133" s="302"/>
      <c r="T133" s="419"/>
      <c r="U133" s="50"/>
      <c r="V133" s="51"/>
    </row>
    <row r="134" spans="3:23" s="32" customFormat="1" ht="17.25" hidden="1" thickBot="1" x14ac:dyDescent="0.35">
      <c r="C134" s="33"/>
      <c r="D134" s="3103" t="s">
        <v>164</v>
      </c>
      <c r="E134" s="3104"/>
      <c r="F134" s="3104"/>
      <c r="G134" s="3104"/>
      <c r="H134" s="3104"/>
      <c r="I134" s="3105"/>
      <c r="J134" s="547"/>
      <c r="K134" s="183"/>
      <c r="L134" s="532"/>
      <c r="M134" s="180"/>
      <c r="N134" s="532"/>
      <c r="O134" s="183"/>
      <c r="P134" s="532"/>
      <c r="Q134" s="210"/>
      <c r="R134" s="532"/>
      <c r="S134" s="235">
        <f>S130-S132</f>
        <v>26.676960576000003</v>
      </c>
      <c r="T134" s="419"/>
      <c r="U134" s="50"/>
      <c r="V134" s="51"/>
    </row>
    <row r="135" spans="3:23" s="32" customFormat="1" hidden="1" x14ac:dyDescent="0.3">
      <c r="C135" s="33"/>
      <c r="D135" s="55"/>
      <c r="E135" s="181"/>
      <c r="F135" s="529"/>
      <c r="G135" s="181"/>
      <c r="H135" s="529"/>
      <c r="I135" s="181"/>
      <c r="J135" s="529"/>
      <c r="K135" s="181"/>
      <c r="L135" s="529"/>
      <c r="M135" s="182"/>
      <c r="N135" s="529"/>
      <c r="O135" s="181"/>
      <c r="P135" s="529"/>
      <c r="Q135" s="211"/>
      <c r="R135" s="529"/>
      <c r="S135" s="236"/>
      <c r="T135" s="53"/>
      <c r="U135" s="50"/>
      <c r="V135" s="51"/>
    </row>
    <row r="136" spans="3:23" s="32" customFormat="1" ht="17.25" hidden="1" thickBot="1" x14ac:dyDescent="0.35">
      <c r="C136" s="33" t="str">
        <f>RAB!D41</f>
        <v>Pembesian Ulir</v>
      </c>
      <c r="E136" s="176"/>
      <c r="F136" s="504"/>
      <c r="G136" s="176"/>
      <c r="H136" s="504"/>
      <c r="I136" s="176"/>
      <c r="J136" s="504"/>
      <c r="K136" s="176"/>
      <c r="L136" s="504"/>
      <c r="M136" s="177"/>
      <c r="N136" s="504"/>
      <c r="O136" s="176"/>
      <c r="P136" s="504"/>
      <c r="Q136" s="205"/>
      <c r="R136" s="504"/>
      <c r="S136" s="229"/>
      <c r="T136" s="54">
        <f>ROUNDDOWN(S141,2)</f>
        <v>4231.45</v>
      </c>
      <c r="U136" s="50" t="s">
        <v>0</v>
      </c>
      <c r="V136" s="51"/>
    </row>
    <row r="137" spans="3:23" s="32" customFormat="1" hidden="1" x14ac:dyDescent="0.3">
      <c r="C137" s="33"/>
      <c r="D137" s="52" t="s">
        <v>95</v>
      </c>
      <c r="E137" s="155" t="s">
        <v>150</v>
      </c>
      <c r="F137" s="505"/>
      <c r="G137" s="155" t="s">
        <v>151</v>
      </c>
      <c r="H137" s="505"/>
      <c r="I137" s="155" t="s">
        <v>152</v>
      </c>
      <c r="J137" s="505"/>
      <c r="K137" s="155" t="s">
        <v>153</v>
      </c>
      <c r="L137" s="505"/>
      <c r="M137" s="166" t="s">
        <v>32</v>
      </c>
      <c r="N137" s="505"/>
      <c r="O137" s="155" t="s">
        <v>163</v>
      </c>
      <c r="P137" s="505"/>
      <c r="Q137" s="212" t="s">
        <v>151</v>
      </c>
      <c r="R137" s="506"/>
      <c r="S137" s="230" t="s">
        <v>143</v>
      </c>
      <c r="T137" s="53"/>
      <c r="U137" s="50"/>
      <c r="V137" s="51"/>
      <c r="W137" s="32">
        <f>0.9/0.19</f>
        <v>4.7368421052631575</v>
      </c>
    </row>
    <row r="138" spans="3:23" s="32" customFormat="1" hidden="1" x14ac:dyDescent="0.3">
      <c r="C138" s="33"/>
      <c r="D138" s="278" t="s">
        <v>613</v>
      </c>
      <c r="E138" s="172">
        <f>(0.8+0.5)*2+2*(6*0.019)</f>
        <v>2.8280000000000003</v>
      </c>
      <c r="F138" s="514" t="s">
        <v>185</v>
      </c>
      <c r="G138" s="172"/>
      <c r="H138" s="543"/>
      <c r="I138" s="172"/>
      <c r="J138" s="543"/>
      <c r="K138" s="172">
        <v>6</v>
      </c>
      <c r="L138" s="514" t="s">
        <v>185</v>
      </c>
      <c r="M138" s="189">
        <f>K130</f>
        <v>56</v>
      </c>
      <c r="N138" s="514" t="s">
        <v>185</v>
      </c>
      <c r="O138" s="172">
        <v>7850</v>
      </c>
      <c r="P138" s="514" t="s">
        <v>185</v>
      </c>
      <c r="Q138" s="280">
        <f>22/7*0.0095*0.0095</f>
        <v>2.8364285714285714E-4</v>
      </c>
      <c r="R138" s="514" t="s">
        <v>114</v>
      </c>
      <c r="S138" s="266">
        <f>Q138*O138*M138*K138*E138</f>
        <v>2115.7297392000005</v>
      </c>
      <c r="T138" s="53"/>
      <c r="U138" s="50"/>
      <c r="V138" s="51"/>
    </row>
    <row r="139" spans="3:23" s="32" customFormat="1" hidden="1" x14ac:dyDescent="0.3">
      <c r="C139" s="33"/>
      <c r="D139" s="278" t="s">
        <v>614</v>
      </c>
      <c r="E139" s="172">
        <f>E138</f>
        <v>2.8280000000000003</v>
      </c>
      <c r="F139" s="514" t="s">
        <v>185</v>
      </c>
      <c r="G139" s="172"/>
      <c r="H139" s="543"/>
      <c r="I139" s="172"/>
      <c r="J139" s="543"/>
      <c r="K139" s="172">
        <v>6</v>
      </c>
      <c r="L139" s="514" t="s">
        <v>185</v>
      </c>
      <c r="M139" s="189">
        <f>M138</f>
        <v>56</v>
      </c>
      <c r="N139" s="514" t="s">
        <v>185</v>
      </c>
      <c r="O139" s="172">
        <v>7850</v>
      </c>
      <c r="P139" s="514" t="s">
        <v>185</v>
      </c>
      <c r="Q139" s="280">
        <f>22/7*0.0095*0.0095</f>
        <v>2.8364285714285714E-4</v>
      </c>
      <c r="R139" s="514" t="s">
        <v>114</v>
      </c>
      <c r="S139" s="266">
        <f>Q139*O139*M139*K139*E139</f>
        <v>2115.7297392000005</v>
      </c>
      <c r="T139" s="53"/>
      <c r="U139" s="50"/>
      <c r="V139" s="51"/>
    </row>
    <row r="140" spans="3:23" s="32" customFormat="1" hidden="1" x14ac:dyDescent="0.3">
      <c r="C140" s="33"/>
      <c r="D140" s="282"/>
      <c r="E140" s="199"/>
      <c r="F140" s="546"/>
      <c r="G140" s="199"/>
      <c r="H140" s="546"/>
      <c r="I140" s="199"/>
      <c r="J140" s="546"/>
      <c r="K140" s="199"/>
      <c r="L140" s="546"/>
      <c r="M140" s="219"/>
      <c r="N140" s="546"/>
      <c r="O140" s="199"/>
      <c r="P140" s="546"/>
      <c r="Q140" s="283"/>
      <c r="R140" s="546"/>
      <c r="S140" s="272"/>
      <c r="T140" s="53"/>
      <c r="U140" s="50"/>
      <c r="V140" s="51"/>
    </row>
    <row r="141" spans="3:23" s="32" customFormat="1" ht="17.25" hidden="1" thickBot="1" x14ac:dyDescent="0.35">
      <c r="C141" s="33"/>
      <c r="D141" s="3103" t="s">
        <v>164</v>
      </c>
      <c r="E141" s="3104"/>
      <c r="F141" s="3104"/>
      <c r="G141" s="3104"/>
      <c r="H141" s="3104"/>
      <c r="I141" s="3105"/>
      <c r="J141" s="548"/>
      <c r="K141" s="183"/>
      <c r="L141" s="532"/>
      <c r="M141" s="180"/>
      <c r="N141" s="532"/>
      <c r="O141" s="183"/>
      <c r="P141" s="532"/>
      <c r="Q141" s="210"/>
      <c r="R141" s="532"/>
      <c r="S141" s="233">
        <f>SUM(S138:S140)</f>
        <v>4231.459478400001</v>
      </c>
      <c r="T141" s="53"/>
      <c r="U141" s="50"/>
      <c r="V141" s="51"/>
    </row>
    <row r="142" spans="3:23" s="32" customFormat="1" hidden="1" x14ac:dyDescent="0.3">
      <c r="C142" s="33"/>
      <c r="D142" s="56"/>
      <c r="E142" s="181"/>
      <c r="F142" s="549"/>
      <c r="G142" s="181"/>
      <c r="H142" s="549"/>
      <c r="I142" s="181"/>
      <c r="J142" s="549"/>
      <c r="K142" s="181"/>
      <c r="L142" s="529"/>
      <c r="M142" s="182"/>
      <c r="N142" s="529"/>
      <c r="O142" s="181"/>
      <c r="P142" s="529"/>
      <c r="Q142" s="211"/>
      <c r="R142" s="529"/>
      <c r="S142" s="234"/>
      <c r="T142" s="53"/>
      <c r="U142" s="50"/>
      <c r="V142" s="51"/>
    </row>
    <row r="143" spans="3:23" s="32" customFormat="1" ht="17.25" hidden="1" thickBot="1" x14ac:dyDescent="0.35">
      <c r="C143" s="33" t="str">
        <f>RAB!D42</f>
        <v>Bekisting Pondasi</v>
      </c>
      <c r="D143" s="56"/>
      <c r="E143" s="181"/>
      <c r="F143" s="549"/>
      <c r="G143" s="181"/>
      <c r="H143" s="549"/>
      <c r="I143" s="181"/>
      <c r="J143" s="549"/>
      <c r="K143" s="181"/>
      <c r="L143" s="529"/>
      <c r="M143" s="182"/>
      <c r="N143" s="529"/>
      <c r="O143" s="181"/>
      <c r="P143" s="529"/>
      <c r="Q143" s="211"/>
      <c r="R143" s="529"/>
      <c r="S143" s="234"/>
      <c r="T143" s="54">
        <f>ROUNDDOWN(Q147,2)</f>
        <v>120.96</v>
      </c>
      <c r="U143" s="50" t="s">
        <v>2</v>
      </c>
      <c r="V143" s="51"/>
    </row>
    <row r="144" spans="3:23" s="32" customFormat="1" hidden="1" x14ac:dyDescent="0.3">
      <c r="C144" s="33"/>
      <c r="D144" s="52" t="s">
        <v>95</v>
      </c>
      <c r="E144" s="155" t="s">
        <v>150</v>
      </c>
      <c r="F144" s="505"/>
      <c r="G144" s="155" t="s">
        <v>151</v>
      </c>
      <c r="H144" s="505"/>
      <c r="I144" s="155" t="s">
        <v>152</v>
      </c>
      <c r="J144" s="505"/>
      <c r="K144" s="155" t="s">
        <v>153</v>
      </c>
      <c r="L144" s="505"/>
      <c r="M144" s="166" t="s">
        <v>32</v>
      </c>
      <c r="N144" s="505"/>
      <c r="O144" s="155" t="s">
        <v>163</v>
      </c>
      <c r="P144" s="505"/>
      <c r="Q144" s="212" t="s">
        <v>151</v>
      </c>
      <c r="R144" s="506"/>
      <c r="S144" s="230" t="s">
        <v>143</v>
      </c>
      <c r="T144" s="53"/>
      <c r="U144" s="50"/>
      <c r="V144" s="51"/>
    </row>
    <row r="145" spans="2:22" s="32" customFormat="1" hidden="1" x14ac:dyDescent="0.3">
      <c r="C145" s="33"/>
      <c r="D145" s="275" t="s">
        <v>235</v>
      </c>
      <c r="E145" s="217">
        <f>E130*4</f>
        <v>3.6</v>
      </c>
      <c r="F145" s="507"/>
      <c r="G145" s="217"/>
      <c r="H145" s="507" t="s">
        <v>185</v>
      </c>
      <c r="I145" s="217">
        <f>I130</f>
        <v>0.6</v>
      </c>
      <c r="J145" s="507"/>
      <c r="K145" s="217"/>
      <c r="L145" s="507" t="s">
        <v>185</v>
      </c>
      <c r="M145" s="257">
        <f>M139</f>
        <v>56</v>
      </c>
      <c r="N145" s="507"/>
      <c r="O145" s="217"/>
      <c r="P145" s="507" t="s">
        <v>114</v>
      </c>
      <c r="Q145" s="276">
        <f>M145*I145*E145</f>
        <v>120.96000000000001</v>
      </c>
      <c r="R145" s="507"/>
      <c r="S145" s="271"/>
      <c r="T145" s="53"/>
      <c r="U145" s="50"/>
      <c r="V145" s="51"/>
    </row>
    <row r="146" spans="2:22" s="32" customFormat="1" hidden="1" x14ac:dyDescent="0.3">
      <c r="C146" s="33"/>
      <c r="D146" s="282"/>
      <c r="E146" s="199"/>
      <c r="F146" s="546"/>
      <c r="G146" s="199"/>
      <c r="H146" s="546"/>
      <c r="I146" s="199"/>
      <c r="J146" s="546"/>
      <c r="K146" s="199"/>
      <c r="L146" s="546"/>
      <c r="M146" s="219"/>
      <c r="N146" s="546"/>
      <c r="O146" s="199"/>
      <c r="P146" s="546"/>
      <c r="Q146" s="283"/>
      <c r="R146" s="546"/>
      <c r="S146" s="272"/>
      <c r="T146" s="53"/>
      <c r="U146" s="50"/>
      <c r="V146" s="51"/>
    </row>
    <row r="147" spans="2:22" s="32" customFormat="1" ht="17.25" hidden="1" thickBot="1" x14ac:dyDescent="0.35">
      <c r="C147" s="33"/>
      <c r="D147" s="3103" t="s">
        <v>164</v>
      </c>
      <c r="E147" s="3104"/>
      <c r="F147" s="3104"/>
      <c r="G147" s="3104"/>
      <c r="H147" s="3104"/>
      <c r="I147" s="3105"/>
      <c r="J147" s="548"/>
      <c r="K147" s="183"/>
      <c r="L147" s="532"/>
      <c r="M147" s="180"/>
      <c r="N147" s="532"/>
      <c r="O147" s="183"/>
      <c r="P147" s="532"/>
      <c r="Q147" s="210">
        <f>Q145</f>
        <v>120.96000000000001</v>
      </c>
      <c r="R147" s="532"/>
      <c r="S147" s="233"/>
      <c r="T147" s="53"/>
      <c r="U147" s="50"/>
      <c r="V147" s="51"/>
    </row>
    <row r="148" spans="2:22" s="444" customFormat="1" hidden="1" x14ac:dyDescent="0.3">
      <c r="C148" s="450"/>
      <c r="D148" s="462"/>
      <c r="E148" s="463"/>
      <c r="F148" s="488"/>
      <c r="G148" s="463"/>
      <c r="H148" s="488"/>
      <c r="I148" s="463"/>
      <c r="J148" s="488"/>
      <c r="K148" s="458"/>
      <c r="L148" s="487"/>
      <c r="M148" s="459"/>
      <c r="N148" s="487"/>
      <c r="O148" s="458"/>
      <c r="P148" s="487"/>
      <c r="Q148" s="460"/>
      <c r="R148" s="487"/>
      <c r="S148" s="461"/>
      <c r="T148" s="449"/>
      <c r="U148" s="443"/>
      <c r="V148" s="674"/>
    </row>
    <row r="149" spans="2:22" s="32" customFormat="1" hidden="1" x14ac:dyDescent="0.3">
      <c r="B149" s="32">
        <f>RAB!B43</f>
        <v>3</v>
      </c>
      <c r="C149" s="33" t="str">
        <f>RAB!C43</f>
        <v>Pile Cap tipe - PC2</v>
      </c>
      <c r="E149" s="176"/>
      <c r="F149" s="504"/>
      <c r="G149" s="176"/>
      <c r="H149" s="504"/>
      <c r="I149" s="176"/>
      <c r="J149" s="504"/>
      <c r="K149" s="176"/>
      <c r="L149" s="504"/>
      <c r="M149" s="177"/>
      <c r="N149" s="504"/>
      <c r="O149" s="176"/>
      <c r="P149" s="504"/>
      <c r="Q149" s="205"/>
      <c r="R149" s="504"/>
      <c r="S149" s="229"/>
      <c r="T149" s="54"/>
      <c r="U149" s="50"/>
      <c r="V149" s="51"/>
    </row>
    <row r="150" spans="2:22" s="32" customFormat="1" ht="17.25" hidden="1" thickBot="1" x14ac:dyDescent="0.35">
      <c r="C150" s="33" t="str">
        <f>RAB!D44</f>
        <v xml:space="preserve">Beton mutu f'c=26,4 Mpa </v>
      </c>
      <c r="E150" s="176"/>
      <c r="F150" s="504"/>
      <c r="G150" s="176"/>
      <c r="H150" s="504"/>
      <c r="I150" s="176"/>
      <c r="J150" s="504"/>
      <c r="K150" s="176"/>
      <c r="L150" s="504"/>
      <c r="M150" s="177"/>
      <c r="N150" s="504"/>
      <c r="O150" s="176"/>
      <c r="P150" s="504"/>
      <c r="Q150" s="205"/>
      <c r="R150" s="504"/>
      <c r="S150" s="229"/>
      <c r="T150" s="54">
        <f>ROUNDDOWN(S156,2)</f>
        <v>11.45</v>
      </c>
      <c r="U150" s="50" t="s">
        <v>3</v>
      </c>
      <c r="V150" s="51"/>
    </row>
    <row r="151" spans="2:22" s="32" customFormat="1" hidden="1" x14ac:dyDescent="0.3">
      <c r="C151" s="33"/>
      <c r="D151" s="52" t="s">
        <v>95</v>
      </c>
      <c r="E151" s="155" t="s">
        <v>150</v>
      </c>
      <c r="F151" s="505"/>
      <c r="G151" s="155" t="s">
        <v>151</v>
      </c>
      <c r="H151" s="505"/>
      <c r="I151" s="155" t="s">
        <v>152</v>
      </c>
      <c r="J151" s="505"/>
      <c r="K151" s="155" t="s">
        <v>153</v>
      </c>
      <c r="L151" s="506"/>
      <c r="M151" s="164" t="s">
        <v>32</v>
      </c>
      <c r="N151" s="506"/>
      <c r="O151" s="206" t="s">
        <v>163</v>
      </c>
      <c r="P151" s="506"/>
      <c r="Q151" s="207" t="s">
        <v>151</v>
      </c>
      <c r="R151" s="506"/>
      <c r="S151" s="230" t="s">
        <v>143</v>
      </c>
      <c r="T151" s="419"/>
      <c r="U151" s="50"/>
      <c r="V151" s="51"/>
    </row>
    <row r="152" spans="2:22" s="32" customFormat="1" hidden="1" x14ac:dyDescent="0.3">
      <c r="C152" s="33"/>
      <c r="D152" s="297" t="s">
        <v>708</v>
      </c>
      <c r="E152" s="217">
        <v>1.8</v>
      </c>
      <c r="F152" s="508" t="s">
        <v>185</v>
      </c>
      <c r="G152" s="217">
        <v>0.9</v>
      </c>
      <c r="H152" s="508" t="s">
        <v>185</v>
      </c>
      <c r="I152" s="217">
        <v>0.6</v>
      </c>
      <c r="J152" s="507" t="s">
        <v>185</v>
      </c>
      <c r="K152" s="354">
        <f>K43</f>
        <v>12</v>
      </c>
      <c r="L152" s="542"/>
      <c r="M152" s="257"/>
      <c r="N152" s="542"/>
      <c r="O152" s="217"/>
      <c r="P152" s="542"/>
      <c r="Q152" s="276"/>
      <c r="R152" s="507" t="s">
        <v>114</v>
      </c>
      <c r="S152" s="298">
        <f>K152*I152*G152*E152</f>
        <v>11.664</v>
      </c>
      <c r="T152" s="419"/>
      <c r="U152" s="50"/>
      <c r="V152" s="51"/>
    </row>
    <row r="153" spans="2:22" s="32" customFormat="1" hidden="1" x14ac:dyDescent="0.3">
      <c r="C153" s="33"/>
      <c r="D153" s="299" t="s">
        <v>244</v>
      </c>
      <c r="E153" s="172"/>
      <c r="F153" s="514"/>
      <c r="G153" s="172"/>
      <c r="H153" s="514"/>
      <c r="I153" s="172"/>
      <c r="J153" s="514"/>
      <c r="K153" s="172"/>
      <c r="L153" s="543"/>
      <c r="M153" s="189"/>
      <c r="N153" s="543"/>
      <c r="O153" s="172"/>
      <c r="P153" s="543"/>
      <c r="Q153" s="259"/>
      <c r="R153" s="514"/>
      <c r="S153" s="260"/>
      <c r="T153" s="419"/>
      <c r="U153" s="50"/>
      <c r="V153" s="51"/>
    </row>
    <row r="154" spans="2:22" s="32" customFormat="1" hidden="1" x14ac:dyDescent="0.3">
      <c r="C154" s="33"/>
      <c r="D154" s="300" t="s">
        <v>254</v>
      </c>
      <c r="E154" s="172"/>
      <c r="F154" s="514"/>
      <c r="G154" s="172"/>
      <c r="H154" s="514"/>
      <c r="I154" s="172"/>
      <c r="J154" s="514"/>
      <c r="K154" s="259">
        <f>S163</f>
        <v>1648.6788723428576</v>
      </c>
      <c r="L154" s="544" t="s">
        <v>253</v>
      </c>
      <c r="M154" s="189"/>
      <c r="N154" s="543"/>
      <c r="O154" s="172">
        <f>O160</f>
        <v>7850</v>
      </c>
      <c r="P154" s="543"/>
      <c r="Q154" s="259"/>
      <c r="R154" s="514" t="s">
        <v>149</v>
      </c>
      <c r="S154" s="260">
        <f>K154/O154</f>
        <v>0.21002278628571436</v>
      </c>
      <c r="T154" s="419"/>
      <c r="U154" s="50"/>
      <c r="V154" s="51"/>
    </row>
    <row r="155" spans="2:22" s="32" customFormat="1" hidden="1" x14ac:dyDescent="0.3">
      <c r="C155" s="33"/>
      <c r="D155" s="301"/>
      <c r="E155" s="199"/>
      <c r="F155" s="545"/>
      <c r="G155" s="199"/>
      <c r="H155" s="545"/>
      <c r="I155" s="199"/>
      <c r="J155" s="545"/>
      <c r="K155" s="199"/>
      <c r="L155" s="546"/>
      <c r="M155" s="219"/>
      <c r="N155" s="546"/>
      <c r="O155" s="199"/>
      <c r="P155" s="546"/>
      <c r="Q155" s="283"/>
      <c r="R155" s="545"/>
      <c r="S155" s="302"/>
      <c r="T155" s="419"/>
      <c r="U155" s="50"/>
      <c r="V155" s="51"/>
    </row>
    <row r="156" spans="2:22" s="32" customFormat="1" ht="17.25" hidden="1" thickBot="1" x14ac:dyDescent="0.35">
      <c r="C156" s="33"/>
      <c r="D156" s="3103" t="s">
        <v>164</v>
      </c>
      <c r="E156" s="3104"/>
      <c r="F156" s="3104"/>
      <c r="G156" s="3104"/>
      <c r="H156" s="3104"/>
      <c r="I156" s="3105"/>
      <c r="J156" s="547"/>
      <c r="K156" s="183"/>
      <c r="L156" s="532"/>
      <c r="M156" s="180"/>
      <c r="N156" s="532"/>
      <c r="O156" s="183"/>
      <c r="P156" s="532"/>
      <c r="Q156" s="210"/>
      <c r="R156" s="532"/>
      <c r="S156" s="235">
        <f>S152-S154</f>
        <v>11.453977213714285</v>
      </c>
      <c r="T156" s="419"/>
      <c r="U156" s="50"/>
      <c r="V156" s="51"/>
    </row>
    <row r="157" spans="2:22" s="32" customFormat="1" hidden="1" x14ac:dyDescent="0.3">
      <c r="C157" s="33"/>
      <c r="D157" s="55"/>
      <c r="E157" s="181"/>
      <c r="F157" s="529"/>
      <c r="G157" s="181"/>
      <c r="H157" s="529"/>
      <c r="I157" s="181"/>
      <c r="J157" s="529"/>
      <c r="K157" s="181"/>
      <c r="L157" s="529"/>
      <c r="M157" s="182"/>
      <c r="N157" s="529"/>
      <c r="O157" s="181"/>
      <c r="P157" s="529"/>
      <c r="Q157" s="211"/>
      <c r="R157" s="529"/>
      <c r="S157" s="236"/>
      <c r="T157" s="53"/>
      <c r="U157" s="50"/>
      <c r="V157" s="51"/>
    </row>
    <row r="158" spans="2:22" s="32" customFormat="1" ht="17.25" hidden="1" thickBot="1" x14ac:dyDescent="0.35">
      <c r="C158" s="33" t="str">
        <f>RAB!D45</f>
        <v>Pembesian Ulir</v>
      </c>
      <c r="E158" s="176"/>
      <c r="F158" s="504"/>
      <c r="G158" s="176"/>
      <c r="H158" s="504"/>
      <c r="I158" s="176"/>
      <c r="J158" s="504"/>
      <c r="K158" s="176"/>
      <c r="L158" s="504"/>
      <c r="M158" s="177"/>
      <c r="N158" s="504"/>
      <c r="O158" s="176"/>
      <c r="P158" s="504"/>
      <c r="Q158" s="205"/>
      <c r="R158" s="504"/>
      <c r="S158" s="229"/>
      <c r="T158" s="54">
        <f>ROUNDDOWN(S163,2)</f>
        <v>1648.67</v>
      </c>
      <c r="U158" s="50" t="s">
        <v>0</v>
      </c>
      <c r="V158" s="51"/>
    </row>
    <row r="159" spans="2:22" s="32" customFormat="1" hidden="1" x14ac:dyDescent="0.3">
      <c r="C159" s="33"/>
      <c r="D159" s="52" t="s">
        <v>95</v>
      </c>
      <c r="E159" s="155" t="s">
        <v>150</v>
      </c>
      <c r="F159" s="505"/>
      <c r="G159" s="155" t="s">
        <v>151</v>
      </c>
      <c r="H159" s="505"/>
      <c r="I159" s="155" t="s">
        <v>152</v>
      </c>
      <c r="J159" s="505"/>
      <c r="K159" s="155" t="s">
        <v>153</v>
      </c>
      <c r="L159" s="505"/>
      <c r="M159" s="166" t="s">
        <v>32</v>
      </c>
      <c r="N159" s="505"/>
      <c r="O159" s="155" t="s">
        <v>163</v>
      </c>
      <c r="P159" s="505"/>
      <c r="Q159" s="212" t="s">
        <v>151</v>
      </c>
      <c r="R159" s="506"/>
      <c r="S159" s="230" t="s">
        <v>143</v>
      </c>
      <c r="T159" s="53"/>
      <c r="U159" s="50"/>
      <c r="V159" s="51"/>
    </row>
    <row r="160" spans="2:22" s="32" customFormat="1" hidden="1" x14ac:dyDescent="0.3">
      <c r="C160" s="33"/>
      <c r="D160" s="278" t="s">
        <v>613</v>
      </c>
      <c r="E160" s="172">
        <f>(1.7+0.5)*2+2*(6*0.019)</f>
        <v>4.6280000000000001</v>
      </c>
      <c r="F160" s="514" t="s">
        <v>185</v>
      </c>
      <c r="G160" s="172"/>
      <c r="H160" s="543"/>
      <c r="I160" s="172"/>
      <c r="J160" s="543"/>
      <c r="K160" s="172">
        <v>6</v>
      </c>
      <c r="L160" s="514" t="s">
        <v>185</v>
      </c>
      <c r="M160" s="189">
        <f>K152</f>
        <v>12</v>
      </c>
      <c r="N160" s="514" t="s">
        <v>185</v>
      </c>
      <c r="O160" s="172">
        <v>7850</v>
      </c>
      <c r="P160" s="514" t="s">
        <v>185</v>
      </c>
      <c r="Q160" s="280">
        <f>22/7*0.0095*0.0095</f>
        <v>2.8364285714285714E-4</v>
      </c>
      <c r="R160" s="514" t="s">
        <v>114</v>
      </c>
      <c r="S160" s="266">
        <f>Q160*O160*M160*K160*E160</f>
        <v>741.93755554285724</v>
      </c>
      <c r="T160" s="53"/>
      <c r="U160" s="50"/>
      <c r="V160" s="51">
        <f>0.8/0.23</f>
        <v>3.4782608695652173</v>
      </c>
    </row>
    <row r="161" spans="2:23" s="32" customFormat="1" hidden="1" x14ac:dyDescent="0.3">
      <c r="C161" s="33"/>
      <c r="D161" s="278" t="s">
        <v>614</v>
      </c>
      <c r="E161" s="172">
        <f>(0.8+0.5)*2+2*(6*0.019)</f>
        <v>2.8280000000000003</v>
      </c>
      <c r="F161" s="514" t="s">
        <v>185</v>
      </c>
      <c r="G161" s="172"/>
      <c r="H161" s="543"/>
      <c r="I161" s="172"/>
      <c r="J161" s="543"/>
      <c r="K161" s="172">
        <v>12</v>
      </c>
      <c r="L161" s="514" t="s">
        <v>185</v>
      </c>
      <c r="M161" s="189">
        <f>M160</f>
        <v>12</v>
      </c>
      <c r="N161" s="514" t="s">
        <v>185</v>
      </c>
      <c r="O161" s="172">
        <v>7850</v>
      </c>
      <c r="P161" s="514" t="s">
        <v>185</v>
      </c>
      <c r="Q161" s="280">
        <f>22/7*0.0095*0.0095</f>
        <v>2.8364285714285714E-4</v>
      </c>
      <c r="R161" s="514" t="s">
        <v>114</v>
      </c>
      <c r="S161" s="266">
        <f>Q161*O161*M161*K161*E161</f>
        <v>906.74131680000028</v>
      </c>
      <c r="T161" s="53"/>
      <c r="U161" s="50"/>
      <c r="V161" s="51">
        <f>1.7/0.23</f>
        <v>7.391304347826086</v>
      </c>
      <c r="W161" s="32">
        <f>1.7/0.15+1</f>
        <v>12.333333333333334</v>
      </c>
    </row>
    <row r="162" spans="2:23" s="32" customFormat="1" hidden="1" x14ac:dyDescent="0.3">
      <c r="C162" s="33"/>
      <c r="D162" s="282"/>
      <c r="E162" s="199"/>
      <c r="F162" s="546"/>
      <c r="G162" s="199"/>
      <c r="H162" s="546"/>
      <c r="I162" s="199"/>
      <c r="J162" s="546"/>
      <c r="K162" s="199"/>
      <c r="L162" s="546"/>
      <c r="M162" s="219"/>
      <c r="N162" s="546"/>
      <c r="O162" s="199"/>
      <c r="P162" s="546"/>
      <c r="Q162" s="283"/>
      <c r="R162" s="546"/>
      <c r="S162" s="272"/>
      <c r="T162" s="53"/>
      <c r="U162" s="50"/>
      <c r="V162" s="51"/>
    </row>
    <row r="163" spans="2:23" s="32" customFormat="1" ht="17.25" hidden="1" thickBot="1" x14ac:dyDescent="0.35">
      <c r="C163" s="33"/>
      <c r="D163" s="3103" t="s">
        <v>164</v>
      </c>
      <c r="E163" s="3104"/>
      <c r="F163" s="3104"/>
      <c r="G163" s="3104"/>
      <c r="H163" s="3104"/>
      <c r="I163" s="3105"/>
      <c r="J163" s="548"/>
      <c r="K163" s="183"/>
      <c r="L163" s="532"/>
      <c r="M163" s="180"/>
      <c r="N163" s="532"/>
      <c r="O163" s="183"/>
      <c r="P163" s="532"/>
      <c r="Q163" s="210"/>
      <c r="R163" s="532"/>
      <c r="S163" s="233">
        <f>SUM(S160:S161)</f>
        <v>1648.6788723428576</v>
      </c>
      <c r="T163" s="53"/>
      <c r="U163" s="50"/>
      <c r="V163" s="51"/>
    </row>
    <row r="164" spans="2:23" s="32" customFormat="1" hidden="1" x14ac:dyDescent="0.3">
      <c r="C164" s="33"/>
      <c r="D164" s="56"/>
      <c r="E164" s="181"/>
      <c r="F164" s="549"/>
      <c r="G164" s="181"/>
      <c r="H164" s="549"/>
      <c r="I164" s="181"/>
      <c r="J164" s="549"/>
      <c r="K164" s="181"/>
      <c r="L164" s="529"/>
      <c r="M164" s="182"/>
      <c r="N164" s="529"/>
      <c r="O164" s="181"/>
      <c r="P164" s="529"/>
      <c r="Q164" s="211"/>
      <c r="R164" s="529"/>
      <c r="S164" s="234"/>
      <c r="T164" s="53"/>
      <c r="U164" s="50"/>
      <c r="V164" s="51"/>
    </row>
    <row r="165" spans="2:23" s="32" customFormat="1" ht="17.25" hidden="1" thickBot="1" x14ac:dyDescent="0.35">
      <c r="C165" s="33" t="str">
        <f>RAB!D46</f>
        <v>Bekisting Pondasi</v>
      </c>
      <c r="D165" s="56"/>
      <c r="E165" s="181"/>
      <c r="F165" s="549"/>
      <c r="G165" s="181"/>
      <c r="H165" s="549"/>
      <c r="I165" s="181"/>
      <c r="J165" s="549"/>
      <c r="K165" s="181"/>
      <c r="L165" s="529"/>
      <c r="M165" s="182"/>
      <c r="N165" s="529"/>
      <c r="O165" s="181"/>
      <c r="P165" s="529"/>
      <c r="Q165" s="211"/>
      <c r="R165" s="529"/>
      <c r="S165" s="234"/>
      <c r="T165" s="54">
        <f>ROUNDDOWN(Q169,2)</f>
        <v>38.880000000000003</v>
      </c>
      <c r="U165" s="50" t="s">
        <v>2</v>
      </c>
      <c r="V165" s="51"/>
    </row>
    <row r="166" spans="2:23" s="32" customFormat="1" hidden="1" x14ac:dyDescent="0.3">
      <c r="C166" s="33"/>
      <c r="D166" s="52" t="s">
        <v>95</v>
      </c>
      <c r="E166" s="155" t="s">
        <v>150</v>
      </c>
      <c r="F166" s="505"/>
      <c r="G166" s="155" t="s">
        <v>151</v>
      </c>
      <c r="H166" s="505"/>
      <c r="I166" s="155" t="s">
        <v>152</v>
      </c>
      <c r="J166" s="505"/>
      <c r="K166" s="155" t="s">
        <v>153</v>
      </c>
      <c r="L166" s="505"/>
      <c r="M166" s="166" t="s">
        <v>32</v>
      </c>
      <c r="N166" s="505"/>
      <c r="O166" s="155" t="s">
        <v>163</v>
      </c>
      <c r="P166" s="505"/>
      <c r="Q166" s="212" t="s">
        <v>151</v>
      </c>
      <c r="R166" s="506"/>
      <c r="S166" s="230" t="s">
        <v>143</v>
      </c>
      <c r="T166" s="53"/>
      <c r="U166" s="50"/>
      <c r="V166" s="51"/>
    </row>
    <row r="167" spans="2:23" s="32" customFormat="1" hidden="1" x14ac:dyDescent="0.3">
      <c r="C167" s="33"/>
      <c r="D167" s="275" t="s">
        <v>235</v>
      </c>
      <c r="E167" s="217">
        <f>2*(E152+G152)</f>
        <v>5.4</v>
      </c>
      <c r="F167" s="507" t="s">
        <v>185</v>
      </c>
      <c r="G167" s="217"/>
      <c r="H167" s="507"/>
      <c r="I167" s="217">
        <f>I152</f>
        <v>0.6</v>
      </c>
      <c r="J167" s="507" t="s">
        <v>185</v>
      </c>
      <c r="K167" s="217"/>
      <c r="L167" s="507"/>
      <c r="M167" s="257">
        <f>K152</f>
        <v>12</v>
      </c>
      <c r="N167" s="507"/>
      <c r="O167" s="217"/>
      <c r="P167" s="507" t="s">
        <v>114</v>
      </c>
      <c r="Q167" s="276">
        <f>M167*I167*E167</f>
        <v>38.879999999999995</v>
      </c>
      <c r="R167" s="507"/>
      <c r="S167" s="271"/>
      <c r="T167" s="53"/>
      <c r="U167" s="50"/>
      <c r="V167" s="51"/>
    </row>
    <row r="168" spans="2:23" s="32" customFormat="1" hidden="1" x14ac:dyDescent="0.3">
      <c r="C168" s="33"/>
      <c r="D168" s="282"/>
      <c r="E168" s="199"/>
      <c r="F168" s="546"/>
      <c r="G168" s="199"/>
      <c r="H168" s="546"/>
      <c r="I168" s="199"/>
      <c r="J168" s="546"/>
      <c r="K168" s="199"/>
      <c r="L168" s="546"/>
      <c r="M168" s="219"/>
      <c r="N168" s="546"/>
      <c r="O168" s="199"/>
      <c r="P168" s="546"/>
      <c r="Q168" s="283"/>
      <c r="R168" s="546"/>
      <c r="S168" s="272"/>
      <c r="T168" s="53"/>
      <c r="U168" s="50"/>
      <c r="V168" s="51"/>
    </row>
    <row r="169" spans="2:23" s="32" customFormat="1" ht="17.25" hidden="1" thickBot="1" x14ac:dyDescent="0.35">
      <c r="C169" s="33"/>
      <c r="D169" s="3103" t="s">
        <v>164</v>
      </c>
      <c r="E169" s="3104"/>
      <c r="F169" s="3104"/>
      <c r="G169" s="3104"/>
      <c r="H169" s="3104"/>
      <c r="I169" s="3105"/>
      <c r="J169" s="548"/>
      <c r="K169" s="183"/>
      <c r="L169" s="532"/>
      <c r="M169" s="180"/>
      <c r="N169" s="532"/>
      <c r="O169" s="183"/>
      <c r="P169" s="532"/>
      <c r="Q169" s="210">
        <f>Q167</f>
        <v>38.879999999999995</v>
      </c>
      <c r="R169" s="532"/>
      <c r="S169" s="233"/>
      <c r="T169" s="53"/>
      <c r="U169" s="50"/>
      <c r="V169" s="51"/>
    </row>
    <row r="170" spans="2:23" hidden="1" x14ac:dyDescent="0.3">
      <c r="B170" s="464"/>
      <c r="C170" s="465"/>
      <c r="D170" s="453"/>
      <c r="E170" s="455"/>
      <c r="F170" s="485"/>
      <c r="G170" s="455"/>
      <c r="H170" s="485"/>
      <c r="I170" s="455"/>
      <c r="J170" s="485"/>
      <c r="K170" s="438"/>
      <c r="L170" s="482"/>
      <c r="M170" s="439"/>
      <c r="N170" s="482"/>
      <c r="O170" s="438"/>
      <c r="P170" s="482"/>
      <c r="Q170" s="440"/>
      <c r="R170" s="482"/>
      <c r="S170" s="454"/>
    </row>
    <row r="171" spans="2:23" s="1" customFormat="1" hidden="1" x14ac:dyDescent="0.3">
      <c r="B171" s="1149">
        <f>RAB!B47</f>
        <v>4</v>
      </c>
      <c r="C171" s="17" t="str">
        <f>RAB!C47</f>
        <v>Sloof 20x40 Cm (S1)</v>
      </c>
      <c r="D171" s="38"/>
      <c r="E171" s="208"/>
      <c r="F171" s="551"/>
      <c r="G171" s="208"/>
      <c r="H171" s="551"/>
      <c r="I171" s="208"/>
      <c r="J171" s="551"/>
      <c r="K171" s="156"/>
      <c r="L171" s="501"/>
      <c r="M171" s="165"/>
      <c r="N171" s="501"/>
      <c r="O171" s="156"/>
      <c r="P171" s="501"/>
      <c r="Q171" s="204"/>
      <c r="R171" s="501"/>
      <c r="S171" s="232"/>
      <c r="T171" s="66"/>
      <c r="U171" s="2"/>
      <c r="V171" s="43"/>
    </row>
    <row r="172" spans="2:23" s="1" customFormat="1" ht="17.25" hidden="1" thickBot="1" x14ac:dyDescent="0.35">
      <c r="B172" s="36"/>
      <c r="C172" s="17" t="str">
        <f>RAB!D48</f>
        <v xml:space="preserve">Beton mutu f'c=26,4 Mpa </v>
      </c>
      <c r="D172" s="38"/>
      <c r="E172" s="208"/>
      <c r="F172" s="551"/>
      <c r="G172" s="208"/>
      <c r="H172" s="551"/>
      <c r="I172" s="208"/>
      <c r="J172" s="551"/>
      <c r="K172" s="156"/>
      <c r="L172" s="501"/>
      <c r="M172" s="165"/>
      <c r="N172" s="501"/>
      <c r="O172" s="156"/>
      <c r="P172" s="501"/>
      <c r="Q172" s="204"/>
      <c r="R172" s="501"/>
      <c r="S172" s="232"/>
      <c r="T172" s="18">
        <f>ROUNDDOWN(S180,2)</f>
        <v>25.57</v>
      </c>
      <c r="U172" s="2" t="s">
        <v>3</v>
      </c>
      <c r="V172" s="43"/>
    </row>
    <row r="173" spans="2:23" s="1" customFormat="1" hidden="1" x14ac:dyDescent="0.3">
      <c r="B173" s="36"/>
      <c r="C173" s="17"/>
      <c r="D173" s="8" t="s">
        <v>95</v>
      </c>
      <c r="E173" s="154" t="s">
        <v>150</v>
      </c>
      <c r="F173" s="493"/>
      <c r="G173" s="154" t="s">
        <v>151</v>
      </c>
      <c r="H173" s="493"/>
      <c r="I173" s="154" t="s">
        <v>152</v>
      </c>
      <c r="J173" s="493"/>
      <c r="K173" s="154" t="s">
        <v>153</v>
      </c>
      <c r="L173" s="494"/>
      <c r="M173" s="163" t="s">
        <v>32</v>
      </c>
      <c r="N173" s="494"/>
      <c r="O173" s="201" t="s">
        <v>163</v>
      </c>
      <c r="P173" s="494"/>
      <c r="Q173" s="202" t="s">
        <v>151</v>
      </c>
      <c r="R173" s="494"/>
      <c r="S173" s="226" t="s">
        <v>143</v>
      </c>
      <c r="T173" s="66"/>
      <c r="U173" s="2"/>
      <c r="V173" s="43"/>
    </row>
    <row r="174" spans="2:23" s="1" customFormat="1" hidden="1" x14ac:dyDescent="0.3">
      <c r="B174" s="36"/>
      <c r="C174" s="17"/>
      <c r="D174" s="296" t="s">
        <v>259</v>
      </c>
      <c r="E174" s="331">
        <f>36-(0.4*9)</f>
        <v>32.4</v>
      </c>
      <c r="F174" s="565" t="s">
        <v>185</v>
      </c>
      <c r="G174" s="331">
        <v>0.2</v>
      </c>
      <c r="H174" s="565" t="s">
        <v>185</v>
      </c>
      <c r="I174" s="331">
        <v>0.4</v>
      </c>
      <c r="J174" s="565"/>
      <c r="K174" s="331">
        <v>4</v>
      </c>
      <c r="L174" s="1150"/>
      <c r="M174" s="331"/>
      <c r="N174" s="1150"/>
      <c r="O174" s="1151"/>
      <c r="P174" s="1150"/>
      <c r="Q174" s="1151"/>
      <c r="R174" s="565" t="s">
        <v>114</v>
      </c>
      <c r="S174" s="577">
        <f>E174*G174*I174*K174</f>
        <v>10.368000000000002</v>
      </c>
      <c r="T174" s="420"/>
      <c r="U174" s="2"/>
      <c r="V174" s="43"/>
    </row>
    <row r="175" spans="2:23" s="1" customFormat="1" hidden="1" x14ac:dyDescent="0.3">
      <c r="C175" s="3"/>
      <c r="D175" s="294" t="s">
        <v>260</v>
      </c>
      <c r="E175" s="1161">
        <f>20-(0.4*5)</f>
        <v>18</v>
      </c>
      <c r="F175" s="518" t="s">
        <v>185</v>
      </c>
      <c r="G175" s="1161">
        <v>0.2</v>
      </c>
      <c r="H175" s="518" t="s">
        <v>185</v>
      </c>
      <c r="I175" s="1161">
        <v>0.4</v>
      </c>
      <c r="J175" s="518"/>
      <c r="K175" s="1161">
        <v>10</v>
      </c>
      <c r="L175" s="1152"/>
      <c r="M175" s="1161"/>
      <c r="N175" s="1152"/>
      <c r="O175" s="1153"/>
      <c r="P175" s="1152"/>
      <c r="Q175" s="1153"/>
      <c r="R175" s="518" t="s">
        <v>114</v>
      </c>
      <c r="S175" s="519">
        <f>E175*G175*I175*K175</f>
        <v>14.400000000000002</v>
      </c>
      <c r="T175" s="99"/>
      <c r="U175" s="2"/>
      <c r="V175" s="43"/>
    </row>
    <row r="176" spans="2:23" s="1" customFormat="1" hidden="1" x14ac:dyDescent="0.3">
      <c r="B176" s="36"/>
      <c r="C176" s="17"/>
      <c r="D176" s="261" t="s">
        <v>244</v>
      </c>
      <c r="E176" s="1161"/>
      <c r="F176" s="518"/>
      <c r="G176" s="1161"/>
      <c r="H176" s="518"/>
      <c r="I176" s="1161"/>
      <c r="J176" s="518"/>
      <c r="K176" s="1161"/>
      <c r="L176" s="517"/>
      <c r="M176" s="1161"/>
      <c r="N176" s="517"/>
      <c r="O176" s="1161"/>
      <c r="P176" s="518"/>
      <c r="Q176" s="1161"/>
      <c r="R176" s="518"/>
      <c r="S176" s="553"/>
      <c r="T176" s="66"/>
      <c r="U176" s="2"/>
      <c r="V176" s="43"/>
    </row>
    <row r="177" spans="2:25" s="1" customFormat="1" hidden="1" x14ac:dyDescent="0.3">
      <c r="B177" s="36"/>
      <c r="C177" s="17"/>
      <c r="D177" s="140" t="s">
        <v>733</v>
      </c>
      <c r="E177" s="328"/>
      <c r="F177" s="509"/>
      <c r="G177" s="328"/>
      <c r="H177" s="509"/>
      <c r="I177" s="328"/>
      <c r="J177" s="509"/>
      <c r="K177" s="328">
        <f>S191</f>
        <v>4045.7037531428568</v>
      </c>
      <c r="L177" s="509" t="s">
        <v>253</v>
      </c>
      <c r="M177" s="328"/>
      <c r="N177" s="510"/>
      <c r="O177" s="328">
        <f>O185</f>
        <v>7850</v>
      </c>
      <c r="P177" s="510"/>
      <c r="Q177" s="328"/>
      <c r="R177" s="518" t="s">
        <v>114</v>
      </c>
      <c r="S177" s="511">
        <f>K177/O177</f>
        <v>0.5153762742857142</v>
      </c>
      <c r="T177" s="66"/>
      <c r="U177" s="2"/>
      <c r="V177" s="43"/>
    </row>
    <row r="178" spans="2:25" s="1" customFormat="1" ht="15.75" hidden="1" customHeight="1" x14ac:dyDescent="0.3">
      <c r="B178" s="36"/>
      <c r="C178" s="17"/>
      <c r="D178" s="140" t="s">
        <v>734</v>
      </c>
      <c r="E178" s="328"/>
      <c r="F178" s="509"/>
      <c r="G178" s="328"/>
      <c r="H178" s="509"/>
      <c r="I178" s="328"/>
      <c r="J178" s="509"/>
      <c r="K178" s="328">
        <f>S198</f>
        <v>2300.8080857142859</v>
      </c>
      <c r="L178" s="509" t="s">
        <v>253</v>
      </c>
      <c r="M178" s="328"/>
      <c r="N178" s="510"/>
      <c r="O178" s="328">
        <f>O177</f>
        <v>7850</v>
      </c>
      <c r="P178" s="510"/>
      <c r="Q178" s="328"/>
      <c r="R178" s="518" t="s">
        <v>114</v>
      </c>
      <c r="S178" s="511">
        <f>K178/O178</f>
        <v>0.29309657142857143</v>
      </c>
      <c r="T178" s="66"/>
      <c r="U178" s="2"/>
      <c r="V178" s="43"/>
    </row>
    <row r="179" spans="2:25" s="1" customFormat="1" hidden="1" x14ac:dyDescent="0.3">
      <c r="B179" s="36"/>
      <c r="C179" s="17"/>
      <c r="D179" s="150"/>
      <c r="E179" s="330"/>
      <c r="F179" s="512"/>
      <c r="G179" s="330"/>
      <c r="H179" s="512"/>
      <c r="I179" s="330"/>
      <c r="J179" s="512"/>
      <c r="K179" s="330"/>
      <c r="L179" s="512"/>
      <c r="M179" s="330"/>
      <c r="N179" s="512"/>
      <c r="O179" s="330"/>
      <c r="P179" s="512"/>
      <c r="Q179" s="330"/>
      <c r="R179" s="512"/>
      <c r="S179" s="559"/>
      <c r="T179" s="66"/>
      <c r="U179" s="2"/>
      <c r="V179" s="43"/>
    </row>
    <row r="180" spans="2:25" s="1" customFormat="1" ht="17.25" hidden="1" thickBot="1" x14ac:dyDescent="0.35">
      <c r="B180" s="36"/>
      <c r="C180" s="17"/>
      <c r="D180" s="3093" t="s">
        <v>164</v>
      </c>
      <c r="E180" s="3094"/>
      <c r="F180" s="3094"/>
      <c r="G180" s="3094"/>
      <c r="H180" s="3094"/>
      <c r="I180" s="3095"/>
      <c r="J180" s="524"/>
      <c r="K180" s="178"/>
      <c r="L180" s="500"/>
      <c r="M180" s="175"/>
      <c r="N180" s="500"/>
      <c r="O180" s="178"/>
      <c r="P180" s="500"/>
      <c r="Q180" s="203"/>
      <c r="R180" s="500"/>
      <c r="S180" s="231">
        <f>SUM(S174:S179)</f>
        <v>25.576472845714289</v>
      </c>
      <c r="T180" s="66"/>
      <c r="U180" s="2"/>
      <c r="V180" s="43"/>
    </row>
    <row r="181" spans="2:25" s="1" customFormat="1" hidden="1" x14ac:dyDescent="0.3">
      <c r="B181" s="36"/>
      <c r="C181" s="17"/>
      <c r="D181" s="38"/>
      <c r="E181" s="208"/>
      <c r="F181" s="551"/>
      <c r="G181" s="208"/>
      <c r="H181" s="551"/>
      <c r="I181" s="208"/>
      <c r="J181" s="551"/>
      <c r="K181" s="156"/>
      <c r="L181" s="501"/>
      <c r="M181" s="165"/>
      <c r="N181" s="501"/>
      <c r="O181" s="156"/>
      <c r="P181" s="501"/>
      <c r="Q181" s="204"/>
      <c r="R181" s="501"/>
      <c r="S181" s="232"/>
      <c r="T181" s="66"/>
      <c r="U181" s="2"/>
      <c r="V181" s="1156"/>
      <c r="W181" s="122"/>
      <c r="X181" s="122"/>
      <c r="Y181" s="122"/>
    </row>
    <row r="182" spans="2:25" s="1" customFormat="1" ht="17.25" hidden="1" thickBot="1" x14ac:dyDescent="0.35">
      <c r="B182" s="36"/>
      <c r="C182" s="17" t="str">
        <f>RAB!D49</f>
        <v>Pembesian Ulir</v>
      </c>
      <c r="D182" s="38"/>
      <c r="E182" s="208"/>
      <c r="F182" s="551"/>
      <c r="G182" s="208"/>
      <c r="H182" s="551"/>
      <c r="I182" s="208"/>
      <c r="J182" s="551"/>
      <c r="K182" s="156"/>
      <c r="L182" s="501"/>
      <c r="M182" s="165"/>
      <c r="N182" s="501"/>
      <c r="O182" s="156"/>
      <c r="P182" s="501"/>
      <c r="Q182" s="204"/>
      <c r="R182" s="501"/>
      <c r="S182" s="232"/>
      <c r="T182" s="18">
        <f>ROUNDDOWN(S191,2)</f>
        <v>4045.7</v>
      </c>
      <c r="U182" s="2" t="s">
        <v>0</v>
      </c>
      <c r="V182" s="1156"/>
      <c r="W182" s="129"/>
      <c r="X182" s="122"/>
      <c r="Y182" s="122"/>
    </row>
    <row r="183" spans="2:25" s="1" customFormat="1" hidden="1" x14ac:dyDescent="0.3">
      <c r="B183" s="36"/>
      <c r="C183" s="17"/>
      <c r="D183" s="8" t="s">
        <v>95</v>
      </c>
      <c r="E183" s="154" t="s">
        <v>150</v>
      </c>
      <c r="F183" s="493"/>
      <c r="G183" s="154" t="s">
        <v>151</v>
      </c>
      <c r="H183" s="493"/>
      <c r="I183" s="154" t="s">
        <v>152</v>
      </c>
      <c r="J183" s="493"/>
      <c r="K183" s="154" t="s">
        <v>153</v>
      </c>
      <c r="L183" s="494"/>
      <c r="M183" s="163" t="s">
        <v>32</v>
      </c>
      <c r="N183" s="494"/>
      <c r="O183" s="201" t="s">
        <v>163</v>
      </c>
      <c r="P183" s="494"/>
      <c r="Q183" s="202" t="s">
        <v>151</v>
      </c>
      <c r="R183" s="494"/>
      <c r="S183" s="226" t="s">
        <v>143</v>
      </c>
      <c r="T183" s="66"/>
      <c r="U183" s="2"/>
      <c r="V183" s="1156"/>
      <c r="W183" s="122"/>
      <c r="X183" s="122"/>
      <c r="Y183" s="122"/>
    </row>
    <row r="184" spans="2:25" s="1" customFormat="1" hidden="1" x14ac:dyDescent="0.3">
      <c r="B184" s="36"/>
      <c r="C184" s="17"/>
      <c r="D184" s="277" t="s">
        <v>156</v>
      </c>
      <c r="E184" s="328">
        <v>36</v>
      </c>
      <c r="F184" s="509" t="s">
        <v>185</v>
      </c>
      <c r="G184" s="328"/>
      <c r="H184" s="510"/>
      <c r="I184" s="328"/>
      <c r="J184" s="510"/>
      <c r="K184" s="328">
        <v>6</v>
      </c>
      <c r="L184" s="509" t="s">
        <v>185</v>
      </c>
      <c r="M184" s="328">
        <v>4</v>
      </c>
      <c r="N184" s="509" t="s">
        <v>185</v>
      </c>
      <c r="O184" s="328">
        <v>7850</v>
      </c>
      <c r="P184" s="509" t="s">
        <v>185</v>
      </c>
      <c r="Q184" s="607">
        <f>22/7*0.008*0.008</f>
        <v>2.0114285714285715E-4</v>
      </c>
      <c r="R184" s="509" t="s">
        <v>114</v>
      </c>
      <c r="S184" s="596">
        <f t="shared" ref="S184:S189" si="2">E184*K184*M184*O184*Q184</f>
        <v>1364.2313142857142</v>
      </c>
      <c r="T184" s="66"/>
      <c r="U184" s="2"/>
      <c r="V184" s="1156"/>
      <c r="W184" s="122"/>
      <c r="X184" s="122"/>
      <c r="Y184" s="122"/>
    </row>
    <row r="185" spans="2:25" s="32" customFormat="1" hidden="1" x14ac:dyDescent="0.3">
      <c r="B185" s="113"/>
      <c r="C185" s="114"/>
      <c r="D185" s="278" t="s">
        <v>1320</v>
      </c>
      <c r="E185" s="328">
        <f>V185/2+(40*0.016*18)</f>
        <v>13.52</v>
      </c>
      <c r="F185" s="509" t="s">
        <v>185</v>
      </c>
      <c r="G185" s="328"/>
      <c r="H185" s="510"/>
      <c r="I185" s="328"/>
      <c r="J185" s="510"/>
      <c r="K185" s="328">
        <v>3</v>
      </c>
      <c r="L185" s="509" t="s">
        <v>185</v>
      </c>
      <c r="M185" s="328">
        <f>M184</f>
        <v>4</v>
      </c>
      <c r="N185" s="509" t="s">
        <v>185</v>
      </c>
      <c r="O185" s="328">
        <v>7850</v>
      </c>
      <c r="P185" s="509" t="s">
        <v>185</v>
      </c>
      <c r="Q185" s="607">
        <f>Q184</f>
        <v>2.0114285714285715E-4</v>
      </c>
      <c r="R185" s="509" t="s">
        <v>114</v>
      </c>
      <c r="S185" s="596">
        <f t="shared" si="2"/>
        <v>256.17232457142859</v>
      </c>
      <c r="T185" s="53"/>
      <c r="U185" s="50"/>
      <c r="V185" s="51">
        <v>4</v>
      </c>
    </row>
    <row r="186" spans="2:25" s="32" customFormat="1" hidden="1" x14ac:dyDescent="0.3">
      <c r="B186" s="113"/>
      <c r="C186" s="114"/>
      <c r="D186" s="278" t="s">
        <v>1321</v>
      </c>
      <c r="E186" s="328">
        <f>V186/2</f>
        <v>2</v>
      </c>
      <c r="F186" s="509" t="s">
        <v>185</v>
      </c>
      <c r="G186" s="328"/>
      <c r="H186" s="510"/>
      <c r="I186" s="328"/>
      <c r="J186" s="510"/>
      <c r="K186" s="328">
        <v>3</v>
      </c>
      <c r="L186" s="509" t="s">
        <v>185</v>
      </c>
      <c r="M186" s="328">
        <f>M184</f>
        <v>4</v>
      </c>
      <c r="N186" s="509" t="s">
        <v>185</v>
      </c>
      <c r="O186" s="328">
        <v>7850</v>
      </c>
      <c r="P186" s="509" t="s">
        <v>185</v>
      </c>
      <c r="Q186" s="607">
        <f>Q184</f>
        <v>2.0114285714285715E-4</v>
      </c>
      <c r="R186" s="509" t="s">
        <v>114</v>
      </c>
      <c r="S186" s="596">
        <f t="shared" si="2"/>
        <v>37.895314285714285</v>
      </c>
      <c r="T186" s="53"/>
      <c r="U186" s="50"/>
      <c r="V186" s="51">
        <v>4</v>
      </c>
    </row>
    <row r="187" spans="2:25" s="32" customFormat="1" hidden="1" x14ac:dyDescent="0.3">
      <c r="B187" s="113"/>
      <c r="C187" s="114"/>
      <c r="D187" s="281" t="s">
        <v>157</v>
      </c>
      <c r="E187" s="328">
        <v>20</v>
      </c>
      <c r="F187" s="509" t="s">
        <v>185</v>
      </c>
      <c r="G187" s="328"/>
      <c r="H187" s="510"/>
      <c r="I187" s="328"/>
      <c r="J187" s="510"/>
      <c r="K187" s="328">
        <v>6</v>
      </c>
      <c r="L187" s="509" t="s">
        <v>185</v>
      </c>
      <c r="M187" s="328">
        <v>10</v>
      </c>
      <c r="N187" s="509" t="s">
        <v>185</v>
      </c>
      <c r="O187" s="328">
        <v>7850</v>
      </c>
      <c r="P187" s="509" t="s">
        <v>185</v>
      </c>
      <c r="Q187" s="607">
        <f>Q186</f>
        <v>2.0114285714285715E-4</v>
      </c>
      <c r="R187" s="509" t="s">
        <v>114</v>
      </c>
      <c r="S187" s="596">
        <f t="shared" si="2"/>
        <v>1894.7657142857142</v>
      </c>
      <c r="T187" s="53"/>
      <c r="U187" s="50"/>
      <c r="V187" s="51"/>
    </row>
    <row r="188" spans="2:25" s="1" customFormat="1" hidden="1" x14ac:dyDescent="0.3">
      <c r="B188" s="36"/>
      <c r="C188" s="17"/>
      <c r="D188" s="278" t="s">
        <v>1320</v>
      </c>
      <c r="E188" s="328">
        <f>V188/2+(40*0.016*10)</f>
        <v>8.4</v>
      </c>
      <c r="F188" s="509" t="s">
        <v>185</v>
      </c>
      <c r="G188" s="328"/>
      <c r="H188" s="510"/>
      <c r="I188" s="328"/>
      <c r="J188" s="510"/>
      <c r="K188" s="328">
        <v>3</v>
      </c>
      <c r="L188" s="509" t="s">
        <v>185</v>
      </c>
      <c r="M188" s="328">
        <f>M187</f>
        <v>10</v>
      </c>
      <c r="N188" s="509" t="s">
        <v>185</v>
      </c>
      <c r="O188" s="328">
        <v>7850</v>
      </c>
      <c r="P188" s="509" t="s">
        <v>185</v>
      </c>
      <c r="Q188" s="607">
        <f>Q187</f>
        <v>2.0114285714285715E-4</v>
      </c>
      <c r="R188" s="509" t="s">
        <v>114</v>
      </c>
      <c r="S188" s="596">
        <f t="shared" si="2"/>
        <v>397.90080000000006</v>
      </c>
      <c r="T188" s="53"/>
      <c r="U188" s="50"/>
      <c r="V188" s="51">
        <v>4</v>
      </c>
      <c r="W188" s="130"/>
      <c r="X188" s="122"/>
      <c r="Y188" s="131"/>
    </row>
    <row r="189" spans="2:25" s="32" customFormat="1" hidden="1" x14ac:dyDescent="0.3">
      <c r="B189" s="113"/>
      <c r="C189" s="114"/>
      <c r="D189" s="278" t="s">
        <v>1321</v>
      </c>
      <c r="E189" s="328">
        <f>V189/2</f>
        <v>2</v>
      </c>
      <c r="F189" s="509" t="s">
        <v>185</v>
      </c>
      <c r="G189" s="328"/>
      <c r="H189" s="510"/>
      <c r="I189" s="328"/>
      <c r="J189" s="510"/>
      <c r="K189" s="328">
        <v>3</v>
      </c>
      <c r="L189" s="509" t="s">
        <v>185</v>
      </c>
      <c r="M189" s="328">
        <f>M187</f>
        <v>10</v>
      </c>
      <c r="N189" s="509" t="s">
        <v>185</v>
      </c>
      <c r="O189" s="328">
        <v>7850</v>
      </c>
      <c r="P189" s="509" t="s">
        <v>185</v>
      </c>
      <c r="Q189" s="607">
        <f>Q187</f>
        <v>2.0114285714285715E-4</v>
      </c>
      <c r="R189" s="509" t="s">
        <v>114</v>
      </c>
      <c r="S189" s="596">
        <f t="shared" si="2"/>
        <v>94.738285714285709</v>
      </c>
      <c r="T189" s="53"/>
      <c r="U189" s="50"/>
      <c r="V189" s="51">
        <v>4</v>
      </c>
    </row>
    <row r="190" spans="2:25" s="1" customFormat="1" hidden="1" x14ac:dyDescent="0.3">
      <c r="B190" s="36"/>
      <c r="C190" s="17"/>
      <c r="D190" s="282"/>
      <c r="E190" s="330"/>
      <c r="F190" s="512"/>
      <c r="G190" s="330"/>
      <c r="H190" s="512"/>
      <c r="I190" s="330"/>
      <c r="J190" s="512"/>
      <c r="K190" s="330"/>
      <c r="L190" s="512"/>
      <c r="M190" s="330"/>
      <c r="N190" s="512"/>
      <c r="O190" s="330"/>
      <c r="P190" s="512"/>
      <c r="Q190" s="330"/>
      <c r="R190" s="512"/>
      <c r="S190" s="559"/>
      <c r="T190" s="66"/>
      <c r="U190" s="2"/>
      <c r="V190" s="1156"/>
      <c r="W190" s="122"/>
      <c r="X190" s="122"/>
    </row>
    <row r="191" spans="2:25" s="1" customFormat="1" ht="17.25" hidden="1" thickBot="1" x14ac:dyDescent="0.35">
      <c r="B191" s="36"/>
      <c r="C191" s="17"/>
      <c r="D191" s="1159" t="s">
        <v>164</v>
      </c>
      <c r="E191" s="214"/>
      <c r="F191" s="560"/>
      <c r="G191" s="214"/>
      <c r="H191" s="560"/>
      <c r="I191" s="215"/>
      <c r="J191" s="524"/>
      <c r="K191" s="178"/>
      <c r="L191" s="500"/>
      <c r="M191" s="175"/>
      <c r="N191" s="500"/>
      <c r="O191" s="178"/>
      <c r="P191" s="500"/>
      <c r="Q191" s="203"/>
      <c r="R191" s="500"/>
      <c r="S191" s="231">
        <f>SUM(S184:S190)</f>
        <v>4045.7037531428568</v>
      </c>
      <c r="T191" s="66"/>
      <c r="U191" s="2"/>
      <c r="V191" s="1156"/>
      <c r="W191" s="122"/>
      <c r="X191" s="122"/>
    </row>
    <row r="192" spans="2:25" s="1" customFormat="1" hidden="1" x14ac:dyDescent="0.3">
      <c r="B192" s="36"/>
      <c r="C192" s="17"/>
      <c r="D192" s="38"/>
      <c r="E192" s="208"/>
      <c r="F192" s="551"/>
      <c r="G192" s="208"/>
      <c r="H192" s="551"/>
      <c r="I192" s="208"/>
      <c r="J192" s="551"/>
      <c r="K192" s="156"/>
      <c r="L192" s="501"/>
      <c r="M192" s="165"/>
      <c r="N192" s="501"/>
      <c r="O192" s="156"/>
      <c r="P192" s="501"/>
      <c r="Q192" s="204"/>
      <c r="R192" s="501"/>
      <c r="S192" s="232"/>
      <c r="T192" s="66"/>
      <c r="U192" s="2"/>
      <c r="V192" s="1156"/>
      <c r="W192" s="122"/>
      <c r="X192" s="122"/>
    </row>
    <row r="193" spans="2:24" s="1" customFormat="1" ht="17.25" hidden="1" thickBot="1" x14ac:dyDescent="0.35">
      <c r="B193" s="36"/>
      <c r="C193" s="17" t="str">
        <f>RAB!D50</f>
        <v>Pembesian sengkang</v>
      </c>
      <c r="D193" s="38"/>
      <c r="E193" s="208"/>
      <c r="F193" s="551"/>
      <c r="G193" s="208"/>
      <c r="H193" s="551"/>
      <c r="I193" s="208"/>
      <c r="J193" s="551"/>
      <c r="K193" s="156"/>
      <c r="L193" s="501"/>
      <c r="M193" s="165"/>
      <c r="N193" s="501"/>
      <c r="O193" s="156"/>
      <c r="P193" s="501"/>
      <c r="Q193" s="204"/>
      <c r="R193" s="501"/>
      <c r="S193" s="232"/>
      <c r="T193" s="18">
        <f>ROUNDDOWN(S198,2)</f>
        <v>2300.8000000000002</v>
      </c>
      <c r="U193" s="2" t="s">
        <v>0</v>
      </c>
      <c r="V193" s="1156"/>
      <c r="W193" s="122"/>
      <c r="X193" s="122"/>
    </row>
    <row r="194" spans="2:24" s="1" customFormat="1" hidden="1" x14ac:dyDescent="0.3">
      <c r="B194" s="36"/>
      <c r="C194" s="17"/>
      <c r="D194" s="8" t="s">
        <v>95</v>
      </c>
      <c r="E194" s="154" t="s">
        <v>150</v>
      </c>
      <c r="F194" s="493"/>
      <c r="G194" s="154" t="s">
        <v>151</v>
      </c>
      <c r="H194" s="493"/>
      <c r="I194" s="154" t="s">
        <v>152</v>
      </c>
      <c r="J194" s="493"/>
      <c r="K194" s="154" t="s">
        <v>153</v>
      </c>
      <c r="L194" s="494"/>
      <c r="M194" s="163" t="s">
        <v>32</v>
      </c>
      <c r="N194" s="494"/>
      <c r="O194" s="201" t="s">
        <v>163</v>
      </c>
      <c r="P194" s="494"/>
      <c r="Q194" s="202" t="s">
        <v>151</v>
      </c>
      <c r="R194" s="494"/>
      <c r="S194" s="226" t="s">
        <v>143</v>
      </c>
      <c r="T194" s="66"/>
      <c r="U194" s="2"/>
      <c r="V194" s="1156"/>
      <c r="W194" s="122"/>
      <c r="X194" s="122"/>
    </row>
    <row r="195" spans="2:24" s="1" customFormat="1" hidden="1" x14ac:dyDescent="0.3">
      <c r="B195" s="36"/>
      <c r="C195" s="17"/>
      <c r="D195" s="275" t="s">
        <v>709</v>
      </c>
      <c r="E195" s="578">
        <f>(0.34+0.14)*2+ (2*6*0.01)</f>
        <v>1.08</v>
      </c>
      <c r="F195" s="565" t="s">
        <v>185</v>
      </c>
      <c r="G195" s="331"/>
      <c r="H195" s="575"/>
      <c r="I195" s="331"/>
      <c r="J195" s="575"/>
      <c r="K195" s="331">
        <f>V195</f>
        <v>361</v>
      </c>
      <c r="L195" s="565" t="s">
        <v>185</v>
      </c>
      <c r="M195" s="331">
        <f>M184</f>
        <v>4</v>
      </c>
      <c r="N195" s="565" t="s">
        <v>185</v>
      </c>
      <c r="O195" s="331">
        <v>7850</v>
      </c>
      <c r="P195" s="565" t="s">
        <v>185</v>
      </c>
      <c r="Q195" s="606">
        <f>22/7*0.005*0.005</f>
        <v>7.857142857142858E-5</v>
      </c>
      <c r="R195" s="1069" t="s">
        <v>114</v>
      </c>
      <c r="S195" s="577">
        <f>E195*K195*M195*O195*Q195</f>
        <v>961.88965714285735</v>
      </c>
      <c r="T195" s="66"/>
      <c r="U195" s="2"/>
      <c r="V195" s="1156">
        <f>(E184/0.1)+1</f>
        <v>361</v>
      </c>
      <c r="W195" s="131"/>
      <c r="X195" s="132"/>
    </row>
    <row r="196" spans="2:24" s="1" customFormat="1" hidden="1" x14ac:dyDescent="0.3">
      <c r="B196" s="36"/>
      <c r="C196" s="17"/>
      <c r="D196" s="278" t="s">
        <v>710</v>
      </c>
      <c r="E196" s="328">
        <f>E195</f>
        <v>1.08</v>
      </c>
      <c r="F196" s="518" t="s">
        <v>185</v>
      </c>
      <c r="G196" s="1161"/>
      <c r="H196" s="517"/>
      <c r="I196" s="1161"/>
      <c r="J196" s="517"/>
      <c r="K196" s="1161">
        <f>V196</f>
        <v>201</v>
      </c>
      <c r="L196" s="518" t="s">
        <v>185</v>
      </c>
      <c r="M196" s="1161">
        <f>M187</f>
        <v>10</v>
      </c>
      <c r="N196" s="518" t="s">
        <v>185</v>
      </c>
      <c r="O196" s="1161">
        <f>O195</f>
        <v>7850</v>
      </c>
      <c r="P196" s="518" t="s">
        <v>185</v>
      </c>
      <c r="Q196" s="608">
        <f>Q195</f>
        <v>7.857142857142858E-5</v>
      </c>
      <c r="R196" s="1070" t="s">
        <v>114</v>
      </c>
      <c r="S196" s="519">
        <f>E196*K196*M196*O196*Q196</f>
        <v>1338.9184285714286</v>
      </c>
      <c r="T196" s="66"/>
      <c r="U196" s="2"/>
      <c r="V196" s="1156">
        <f>(E187/0.1)+1</f>
        <v>201</v>
      </c>
      <c r="W196" s="131"/>
      <c r="X196" s="122"/>
    </row>
    <row r="197" spans="2:24" s="1" customFormat="1" hidden="1" x14ac:dyDescent="0.3">
      <c r="B197" s="36"/>
      <c r="C197" s="17"/>
      <c r="D197" s="282"/>
      <c r="E197" s="199"/>
      <c r="F197" s="561"/>
      <c r="G197" s="160"/>
      <c r="H197" s="523"/>
      <c r="I197" s="160"/>
      <c r="J197" s="523"/>
      <c r="K197" s="160"/>
      <c r="L197" s="561"/>
      <c r="M197" s="195"/>
      <c r="N197" s="561"/>
      <c r="O197" s="160"/>
      <c r="P197" s="561"/>
      <c r="Q197" s="220"/>
      <c r="R197" s="561"/>
      <c r="S197" s="295"/>
      <c r="T197" s="66"/>
      <c r="U197" s="2"/>
      <c r="V197" s="43"/>
    </row>
    <row r="198" spans="2:24" s="1" customFormat="1" ht="17.25" hidden="1" thickBot="1" x14ac:dyDescent="0.35">
      <c r="B198" s="36"/>
      <c r="C198" s="17"/>
      <c r="D198" s="3093" t="s">
        <v>164</v>
      </c>
      <c r="E198" s="3094"/>
      <c r="F198" s="3094"/>
      <c r="G198" s="3094"/>
      <c r="H198" s="3094"/>
      <c r="I198" s="3095"/>
      <c r="J198" s="524"/>
      <c r="K198" s="178"/>
      <c r="L198" s="500"/>
      <c r="M198" s="175"/>
      <c r="N198" s="500"/>
      <c r="O198" s="178"/>
      <c r="P198" s="500"/>
      <c r="Q198" s="203"/>
      <c r="R198" s="500"/>
      <c r="S198" s="231">
        <f>SUM(S195:S197)</f>
        <v>2300.8080857142859</v>
      </c>
      <c r="T198" s="66"/>
      <c r="U198" s="2"/>
      <c r="V198" s="43"/>
    </row>
    <row r="199" spans="2:24" hidden="1" x14ac:dyDescent="0.3">
      <c r="B199" s="464"/>
      <c r="C199" s="465"/>
      <c r="D199" s="453"/>
      <c r="E199" s="455"/>
      <c r="F199" s="485"/>
      <c r="G199" s="455"/>
      <c r="H199" s="485"/>
      <c r="I199" s="455"/>
      <c r="J199" s="485"/>
      <c r="K199" s="438"/>
      <c r="L199" s="482"/>
      <c r="M199" s="439"/>
      <c r="N199" s="482"/>
      <c r="O199" s="438"/>
      <c r="P199" s="482"/>
      <c r="Q199" s="440"/>
      <c r="R199" s="482"/>
      <c r="S199" s="454"/>
    </row>
    <row r="200" spans="2:24" s="1" customFormat="1" ht="17.25" hidden="1" thickBot="1" x14ac:dyDescent="0.35">
      <c r="B200" s="36"/>
      <c r="C200" s="17" t="str">
        <f>RAB!D51</f>
        <v>Bekisting Sloof</v>
      </c>
      <c r="D200" s="38"/>
      <c r="E200" s="208"/>
      <c r="F200" s="551"/>
      <c r="G200" s="208"/>
      <c r="H200" s="551"/>
      <c r="I200" s="208"/>
      <c r="J200" s="551"/>
      <c r="K200" s="156"/>
      <c r="L200" s="501"/>
      <c r="M200" s="165"/>
      <c r="N200" s="501"/>
      <c r="O200" s="156"/>
      <c r="P200" s="501"/>
      <c r="Q200" s="204"/>
      <c r="R200" s="501"/>
      <c r="S200" s="232"/>
      <c r="T200" s="18">
        <f>ROUNDDOWN(Q205,2)</f>
        <v>80.64</v>
      </c>
      <c r="U200" s="2" t="s">
        <v>2</v>
      </c>
      <c r="V200" s="43"/>
    </row>
    <row r="201" spans="2:24" s="1" customFormat="1" hidden="1" x14ac:dyDescent="0.3">
      <c r="B201" s="36"/>
      <c r="C201" s="17"/>
      <c r="D201" s="8" t="s">
        <v>95</v>
      </c>
      <c r="E201" s="154" t="s">
        <v>150</v>
      </c>
      <c r="F201" s="493"/>
      <c r="G201" s="154" t="s">
        <v>151</v>
      </c>
      <c r="H201" s="493"/>
      <c r="I201" s="154" t="s">
        <v>152</v>
      </c>
      <c r="J201" s="493"/>
      <c r="K201" s="154" t="s">
        <v>153</v>
      </c>
      <c r="L201" s="494"/>
      <c r="M201" s="163" t="s">
        <v>32</v>
      </c>
      <c r="N201" s="494"/>
      <c r="O201" s="201" t="s">
        <v>163</v>
      </c>
      <c r="P201" s="494"/>
      <c r="Q201" s="202" t="s">
        <v>151</v>
      </c>
      <c r="R201" s="494"/>
      <c r="S201" s="226" t="s">
        <v>143</v>
      </c>
      <c r="T201" s="99"/>
      <c r="U201" s="2"/>
      <c r="V201" s="43"/>
    </row>
    <row r="202" spans="2:24" s="1" customFormat="1" hidden="1" x14ac:dyDescent="0.3">
      <c r="B202" s="36"/>
      <c r="C202" s="17"/>
      <c r="D202" s="149" t="s">
        <v>156</v>
      </c>
      <c r="E202" s="331">
        <f>E174</f>
        <v>32.4</v>
      </c>
      <c r="F202" s="565" t="s">
        <v>185</v>
      </c>
      <c r="G202" s="331"/>
      <c r="H202" s="575"/>
      <c r="I202" s="331">
        <f>I174</f>
        <v>0.4</v>
      </c>
      <c r="J202" s="565" t="s">
        <v>185</v>
      </c>
      <c r="K202" s="331">
        <v>2</v>
      </c>
      <c r="L202" s="565" t="s">
        <v>185</v>
      </c>
      <c r="M202" s="331">
        <v>2</v>
      </c>
      <c r="N202" s="565"/>
      <c r="O202" s="331"/>
      <c r="P202" s="565" t="s">
        <v>114</v>
      </c>
      <c r="Q202" s="331">
        <f>E202*I202*K202*M202</f>
        <v>51.84</v>
      </c>
      <c r="R202" s="575"/>
      <c r="S202" s="1068"/>
      <c r="T202" s="99"/>
      <c r="U202" s="2"/>
      <c r="V202" s="43"/>
    </row>
    <row r="203" spans="2:24" s="1" customFormat="1" hidden="1" x14ac:dyDescent="0.3">
      <c r="B203" s="36"/>
      <c r="C203" s="17"/>
      <c r="D203" s="288" t="s">
        <v>157</v>
      </c>
      <c r="E203" s="1161">
        <f>E175</f>
        <v>18</v>
      </c>
      <c r="F203" s="518" t="s">
        <v>185</v>
      </c>
      <c r="G203" s="1161"/>
      <c r="H203" s="517"/>
      <c r="I203" s="1161">
        <f>I175</f>
        <v>0.4</v>
      </c>
      <c r="J203" s="518" t="s">
        <v>185</v>
      </c>
      <c r="K203" s="1161">
        <v>2</v>
      </c>
      <c r="L203" s="518" t="s">
        <v>185</v>
      </c>
      <c r="M203" s="1161">
        <v>2</v>
      </c>
      <c r="N203" s="518"/>
      <c r="O203" s="1161"/>
      <c r="P203" s="518" t="s">
        <v>114</v>
      </c>
      <c r="Q203" s="1161">
        <f>E203*I203*K203*M203</f>
        <v>28.8</v>
      </c>
      <c r="R203" s="517"/>
      <c r="S203" s="519"/>
      <c r="T203" s="99"/>
      <c r="U203" s="2"/>
      <c r="V203" s="43"/>
    </row>
    <row r="204" spans="2:24" s="1" customFormat="1" ht="17.25" hidden="1" thickBot="1" x14ac:dyDescent="0.35">
      <c r="B204" s="36"/>
      <c r="C204" s="17"/>
      <c r="D204" s="289"/>
      <c r="E204" s="1071"/>
      <c r="F204" s="1072"/>
      <c r="G204" s="1071"/>
      <c r="H204" s="1072"/>
      <c r="I204" s="1071"/>
      <c r="J204" s="1072"/>
      <c r="K204" s="1071"/>
      <c r="L204" s="1072"/>
      <c r="M204" s="1071"/>
      <c r="N204" s="1072"/>
      <c r="O204" s="1071"/>
      <c r="P204" s="1072"/>
      <c r="Q204" s="1071"/>
      <c r="R204" s="1072"/>
      <c r="S204" s="1073"/>
      <c r="T204" s="99"/>
      <c r="U204" s="2"/>
      <c r="V204" s="43"/>
    </row>
    <row r="205" spans="2:24" s="1" customFormat="1" ht="17.25" hidden="1" thickBot="1" x14ac:dyDescent="0.35">
      <c r="B205" s="36"/>
      <c r="C205" s="17"/>
      <c r="D205" s="3106" t="s">
        <v>164</v>
      </c>
      <c r="E205" s="3107"/>
      <c r="F205" s="3107"/>
      <c r="G205" s="3107"/>
      <c r="H205" s="3107"/>
      <c r="I205" s="3108"/>
      <c r="J205" s="562"/>
      <c r="K205" s="185"/>
      <c r="L205" s="563"/>
      <c r="M205" s="186"/>
      <c r="N205" s="563"/>
      <c r="O205" s="185"/>
      <c r="P205" s="563"/>
      <c r="Q205" s="564">
        <f>SUM(Q202:Q204)</f>
        <v>80.64</v>
      </c>
      <c r="R205" s="563"/>
      <c r="S205" s="238"/>
      <c r="T205" s="66"/>
      <c r="U205" s="2"/>
      <c r="V205" s="43"/>
    </row>
    <row r="206" spans="2:24" hidden="1" x14ac:dyDescent="0.3">
      <c r="B206" s="464"/>
      <c r="C206" s="465"/>
      <c r="D206" s="453"/>
      <c r="E206" s="455"/>
      <c r="F206" s="485"/>
      <c r="G206" s="455"/>
      <c r="H206" s="485"/>
      <c r="I206" s="455"/>
      <c r="J206" s="485"/>
      <c r="K206" s="438"/>
      <c r="L206" s="482"/>
      <c r="M206" s="439"/>
      <c r="N206" s="482"/>
      <c r="O206" s="438"/>
      <c r="P206" s="482"/>
      <c r="Q206" s="440"/>
      <c r="R206" s="482"/>
      <c r="S206" s="454"/>
    </row>
    <row r="207" spans="2:24" x14ac:dyDescent="0.3">
      <c r="B207" s="464" t="str">
        <f>RAB!B186</f>
        <v>I</v>
      </c>
      <c r="C207" s="465" t="str">
        <f>RAB!C186</f>
        <v>PEKERJAAN STRUKTUR</v>
      </c>
      <c r="D207" s="453"/>
      <c r="E207" s="455"/>
      <c r="F207" s="485"/>
      <c r="G207" s="455"/>
      <c r="H207" s="485"/>
      <c r="I207" s="455"/>
      <c r="J207" s="485"/>
      <c r="K207" s="438"/>
      <c r="L207" s="482"/>
      <c r="M207" s="439"/>
      <c r="N207" s="482"/>
      <c r="O207" s="438"/>
      <c r="P207" s="482"/>
      <c r="Q207" s="440"/>
      <c r="R207" s="482"/>
      <c r="S207" s="454"/>
    </row>
    <row r="208" spans="2:24" s="1" customFormat="1" x14ac:dyDescent="0.3">
      <c r="B208" s="1149">
        <f>RAB!B187</f>
        <v>1</v>
      </c>
      <c r="C208" s="17" t="str">
        <f>RAB!C52</f>
        <v>Kolom 40x40 Cm (K1)</v>
      </c>
      <c r="D208" s="38"/>
      <c r="E208" s="208"/>
      <c r="F208" s="551"/>
      <c r="G208" s="208"/>
      <c r="H208" s="551"/>
      <c r="I208" s="208"/>
      <c r="J208" s="551"/>
      <c r="K208" s="156"/>
      <c r="L208" s="501"/>
      <c r="M208" s="165"/>
      <c r="N208" s="501"/>
      <c r="O208" s="156"/>
      <c r="P208" s="501"/>
      <c r="Q208" s="204"/>
      <c r="R208" s="501"/>
      <c r="S208" s="232"/>
      <c r="T208" s="66"/>
      <c r="U208" s="2"/>
      <c r="V208" s="43"/>
    </row>
    <row r="209" spans="2:22" s="1" customFormat="1" ht="17.25" thickBot="1" x14ac:dyDescent="0.35">
      <c r="B209" s="36"/>
      <c r="C209" s="17" t="str">
        <f>RAB!D53</f>
        <v xml:space="preserve">Beton mutu f'c=26,4 Mpa </v>
      </c>
      <c r="D209" s="38"/>
      <c r="E209" s="208"/>
      <c r="F209" s="551"/>
      <c r="G209" s="208"/>
      <c r="H209" s="551"/>
      <c r="I209" s="208"/>
      <c r="J209" s="551"/>
      <c r="K209" s="156"/>
      <c r="L209" s="501"/>
      <c r="M209" s="165"/>
      <c r="N209" s="501"/>
      <c r="O209" s="156"/>
      <c r="P209" s="501"/>
      <c r="Q209" s="204"/>
      <c r="R209" s="501"/>
      <c r="S209" s="232"/>
      <c r="T209" s="18">
        <f>ROUNDDOWN(S216,2)</f>
        <v>46.37</v>
      </c>
      <c r="U209" s="2" t="s">
        <v>3</v>
      </c>
      <c r="V209" s="43"/>
    </row>
    <row r="210" spans="2:22" s="1" customFormat="1" x14ac:dyDescent="0.3">
      <c r="B210" s="36"/>
      <c r="C210" s="17"/>
      <c r="D210" s="8" t="s">
        <v>95</v>
      </c>
      <c r="E210" s="154" t="s">
        <v>150</v>
      </c>
      <c r="F210" s="493"/>
      <c r="G210" s="154" t="s">
        <v>151</v>
      </c>
      <c r="H210" s="493"/>
      <c r="I210" s="154" t="s">
        <v>152</v>
      </c>
      <c r="J210" s="493"/>
      <c r="K210" s="154" t="s">
        <v>153</v>
      </c>
      <c r="L210" s="494"/>
      <c r="M210" s="163" t="s">
        <v>32</v>
      </c>
      <c r="N210" s="494"/>
      <c r="O210" s="201" t="s">
        <v>163</v>
      </c>
      <c r="P210" s="494"/>
      <c r="Q210" s="202" t="s">
        <v>151</v>
      </c>
      <c r="R210" s="494"/>
      <c r="S210" s="226" t="s">
        <v>143</v>
      </c>
      <c r="T210" s="66"/>
      <c r="U210" s="2"/>
      <c r="V210" s="43"/>
    </row>
    <row r="211" spans="2:22" s="1" customFormat="1" x14ac:dyDescent="0.3">
      <c r="B211" s="36"/>
      <c r="C211" s="17"/>
      <c r="D211" s="149" t="str">
        <f>C208</f>
        <v>Kolom 40x40 Cm (K1)</v>
      </c>
      <c r="E211" s="331">
        <v>0.4</v>
      </c>
      <c r="F211" s="565" t="s">
        <v>185</v>
      </c>
      <c r="G211" s="331">
        <v>0.4</v>
      </c>
      <c r="H211" s="565" t="s">
        <v>185</v>
      </c>
      <c r="I211" s="331">
        <f>4.5-0.12</f>
        <v>4.38</v>
      </c>
      <c r="J211" s="565" t="s">
        <v>185</v>
      </c>
      <c r="K211" s="331">
        <f>17*4</f>
        <v>68</v>
      </c>
      <c r="L211" s="575"/>
      <c r="M211" s="331"/>
      <c r="N211" s="575"/>
      <c r="O211" s="331"/>
      <c r="P211" s="575"/>
      <c r="Q211" s="331"/>
      <c r="R211" s="576" t="s">
        <v>114</v>
      </c>
      <c r="S211" s="577">
        <f>K211*I211*G211*E211</f>
        <v>47.654400000000003</v>
      </c>
      <c r="T211" s="66"/>
      <c r="U211" s="2"/>
      <c r="V211" s="43"/>
    </row>
    <row r="212" spans="2:22" s="1" customFormat="1" x14ac:dyDescent="0.3">
      <c r="B212" s="36"/>
      <c r="C212" s="17"/>
      <c r="D212" s="261" t="s">
        <v>256</v>
      </c>
      <c r="E212" s="1161"/>
      <c r="F212" s="518"/>
      <c r="G212" s="1161"/>
      <c r="H212" s="518"/>
      <c r="I212" s="1161"/>
      <c r="J212" s="518"/>
      <c r="K212" s="1161"/>
      <c r="L212" s="517"/>
      <c r="M212" s="1161"/>
      <c r="N212" s="517"/>
      <c r="O212" s="1161"/>
      <c r="P212" s="517"/>
      <c r="Q212" s="1161"/>
      <c r="R212" s="518"/>
      <c r="S212" s="519"/>
      <c r="T212" s="66"/>
      <c r="U212" s="2"/>
      <c r="V212" s="43"/>
    </row>
    <row r="213" spans="2:22" s="1" customFormat="1" x14ac:dyDescent="0.3">
      <c r="B213" s="36"/>
      <c r="C213" s="17"/>
      <c r="D213" s="140" t="s">
        <v>733</v>
      </c>
      <c r="E213" s="1161"/>
      <c r="F213" s="518"/>
      <c r="G213" s="1161"/>
      <c r="H213" s="518"/>
      <c r="I213" s="1161"/>
      <c r="J213" s="518"/>
      <c r="K213" s="1161">
        <f>S222</f>
        <v>7331.2275017142856</v>
      </c>
      <c r="L213" s="509" t="s">
        <v>253</v>
      </c>
      <c r="M213" s="328"/>
      <c r="N213" s="510"/>
      <c r="O213" s="328">
        <f>O220</f>
        <v>7850</v>
      </c>
      <c r="P213" s="510"/>
      <c r="Q213" s="328"/>
      <c r="R213" s="518" t="s">
        <v>149</v>
      </c>
      <c r="S213" s="511">
        <f>K213/O213</f>
        <v>0.93391433142857139</v>
      </c>
      <c r="T213" s="66"/>
      <c r="U213" s="2"/>
      <c r="V213" s="43"/>
    </row>
    <row r="214" spans="2:22" s="1" customFormat="1" x14ac:dyDescent="0.3">
      <c r="B214" s="36"/>
      <c r="C214" s="17"/>
      <c r="D214" s="140" t="s">
        <v>734</v>
      </c>
      <c r="E214" s="1161"/>
      <c r="F214" s="518"/>
      <c r="G214" s="1161"/>
      <c r="H214" s="518"/>
      <c r="I214" s="1161"/>
      <c r="J214" s="518"/>
      <c r="K214" s="1161">
        <f>S229</f>
        <v>2680.0572857142861</v>
      </c>
      <c r="L214" s="509" t="s">
        <v>253</v>
      </c>
      <c r="M214" s="328"/>
      <c r="N214" s="510"/>
      <c r="O214" s="328">
        <f>O213</f>
        <v>7850</v>
      </c>
      <c r="P214" s="510"/>
      <c r="Q214" s="328"/>
      <c r="R214" s="518" t="s">
        <v>149</v>
      </c>
      <c r="S214" s="511">
        <f>K214/O214</f>
        <v>0.34140857142857145</v>
      </c>
      <c r="T214" s="66"/>
      <c r="U214" s="2"/>
      <c r="V214" s="43"/>
    </row>
    <row r="215" spans="2:22" s="1" customFormat="1" x14ac:dyDescent="0.3">
      <c r="B215" s="36"/>
      <c r="C215" s="17"/>
      <c r="D215" s="150"/>
      <c r="E215" s="160"/>
      <c r="F215" s="523"/>
      <c r="G215" s="160"/>
      <c r="H215" s="523"/>
      <c r="I215" s="160"/>
      <c r="J215" s="523"/>
      <c r="K215" s="160"/>
      <c r="L215" s="523"/>
      <c r="M215" s="195"/>
      <c r="N215" s="523"/>
      <c r="O215" s="160"/>
      <c r="P215" s="523"/>
      <c r="Q215" s="220"/>
      <c r="R215" s="523"/>
      <c r="S215" s="251"/>
      <c r="T215" s="66"/>
      <c r="U215" s="2"/>
      <c r="V215" s="43"/>
    </row>
    <row r="216" spans="2:22" s="1" customFormat="1" ht="17.25" thickBot="1" x14ac:dyDescent="0.35">
      <c r="B216" s="36"/>
      <c r="C216" s="17"/>
      <c r="D216" s="3093" t="s">
        <v>164</v>
      </c>
      <c r="E216" s="3094"/>
      <c r="F216" s="3094"/>
      <c r="G216" s="3094"/>
      <c r="H216" s="3094"/>
      <c r="I216" s="3095"/>
      <c r="J216" s="524"/>
      <c r="K216" s="178"/>
      <c r="L216" s="500"/>
      <c r="M216" s="175"/>
      <c r="N216" s="500"/>
      <c r="O216" s="178"/>
      <c r="P216" s="500"/>
      <c r="Q216" s="203"/>
      <c r="R216" s="500"/>
      <c r="S216" s="231">
        <f>SUM(S211:S211)-SUM(S213:S214)</f>
        <v>46.379077097142861</v>
      </c>
      <c r="T216" s="66"/>
      <c r="U216" s="2"/>
      <c r="V216" s="43"/>
    </row>
    <row r="217" spans="2:22" x14ac:dyDescent="0.3">
      <c r="B217" s="464"/>
      <c r="C217" s="465"/>
      <c r="D217" s="453"/>
      <c r="E217" s="455"/>
      <c r="F217" s="485"/>
      <c r="G217" s="455"/>
      <c r="H217" s="485"/>
      <c r="I217" s="455"/>
      <c r="J217" s="485"/>
      <c r="K217" s="438"/>
      <c r="L217" s="482"/>
      <c r="M217" s="439"/>
      <c r="N217" s="482"/>
      <c r="O217" s="438"/>
      <c r="P217" s="482"/>
      <c r="Q217" s="440"/>
      <c r="R217" s="482"/>
      <c r="S217" s="454"/>
    </row>
    <row r="218" spans="2:22" s="1" customFormat="1" ht="17.25" thickBot="1" x14ac:dyDescent="0.35">
      <c r="B218" s="36"/>
      <c r="C218" s="17" t="str">
        <f>RAB!D54</f>
        <v>Pembesian Ulir</v>
      </c>
      <c r="D218" s="38"/>
      <c r="E218" s="208"/>
      <c r="F218" s="551"/>
      <c r="G218" s="208"/>
      <c r="H218" s="551"/>
      <c r="I218" s="208"/>
      <c r="J218" s="551"/>
      <c r="K218" s="156"/>
      <c r="L218" s="501"/>
      <c r="M218" s="165"/>
      <c r="N218" s="501"/>
      <c r="O218" s="156"/>
      <c r="P218" s="501"/>
      <c r="Q218" s="204"/>
      <c r="R218" s="501"/>
      <c r="S218" s="232"/>
      <c r="T218" s="18">
        <f>ROUNDDOWN(S222,2)</f>
        <v>7331.22</v>
      </c>
      <c r="U218" s="2" t="s">
        <v>0</v>
      </c>
      <c r="V218" s="43"/>
    </row>
    <row r="219" spans="2:22" s="1" customFormat="1" x14ac:dyDescent="0.3">
      <c r="B219" s="36"/>
      <c r="C219" s="17"/>
      <c r="D219" s="8" t="s">
        <v>95</v>
      </c>
      <c r="E219" s="154" t="s">
        <v>150</v>
      </c>
      <c r="F219" s="493"/>
      <c r="G219" s="154" t="s">
        <v>151</v>
      </c>
      <c r="H219" s="493"/>
      <c r="I219" s="154" t="s">
        <v>152</v>
      </c>
      <c r="J219" s="493"/>
      <c r="K219" s="154" t="s">
        <v>153</v>
      </c>
      <c r="L219" s="494"/>
      <c r="M219" s="163" t="s">
        <v>32</v>
      </c>
      <c r="N219" s="494"/>
      <c r="O219" s="201" t="s">
        <v>163</v>
      </c>
      <c r="P219" s="494"/>
      <c r="Q219" s="202" t="s">
        <v>151</v>
      </c>
      <c r="R219" s="494"/>
      <c r="S219" s="226" t="s">
        <v>143</v>
      </c>
      <c r="T219" s="66"/>
      <c r="U219" s="2"/>
      <c r="V219" s="43"/>
    </row>
    <row r="220" spans="2:22" s="1" customFormat="1" x14ac:dyDescent="0.3">
      <c r="B220" s="36"/>
      <c r="C220" s="17"/>
      <c r="D220" s="149" t="s">
        <v>1322</v>
      </c>
      <c r="E220" s="152">
        <f>4+0.5+0.55+(40*0.016)</f>
        <v>5.6899999999999995</v>
      </c>
      <c r="F220" s="516" t="s">
        <v>185</v>
      </c>
      <c r="G220" s="152"/>
      <c r="H220" s="496"/>
      <c r="I220" s="152"/>
      <c r="J220" s="496"/>
      <c r="K220" s="152">
        <v>12</v>
      </c>
      <c r="L220" s="516" t="s">
        <v>185</v>
      </c>
      <c r="M220" s="173">
        <f>K211</f>
        <v>68</v>
      </c>
      <c r="N220" s="516" t="s">
        <v>185</v>
      </c>
      <c r="O220" s="152">
        <v>7850</v>
      </c>
      <c r="P220" s="516" t="s">
        <v>185</v>
      </c>
      <c r="Q220" s="262">
        <f>22/7*0.008*0.008</f>
        <v>2.0114285714285715E-4</v>
      </c>
      <c r="R220" s="516" t="s">
        <v>114</v>
      </c>
      <c r="S220" s="248">
        <f>E220*K220*M220*O220*Q220</f>
        <v>7331.2275017142856</v>
      </c>
      <c r="T220" s="66"/>
      <c r="U220" s="2"/>
      <c r="V220" s="43"/>
    </row>
    <row r="221" spans="2:22" s="1" customFormat="1" x14ac:dyDescent="0.3">
      <c r="B221" s="36"/>
      <c r="C221" s="17"/>
      <c r="D221" s="150"/>
      <c r="E221" s="160"/>
      <c r="F221" s="523"/>
      <c r="G221" s="160"/>
      <c r="H221" s="523"/>
      <c r="I221" s="160"/>
      <c r="J221" s="523"/>
      <c r="K221" s="160"/>
      <c r="L221" s="523"/>
      <c r="M221" s="195"/>
      <c r="N221" s="523"/>
      <c r="O221" s="160"/>
      <c r="P221" s="523"/>
      <c r="Q221" s="263"/>
      <c r="R221" s="523"/>
      <c r="S221" s="251"/>
      <c r="T221" s="66"/>
      <c r="U221" s="2"/>
      <c r="V221" s="43"/>
    </row>
    <row r="222" spans="2:22" s="1" customFormat="1" ht="17.25" thickBot="1" x14ac:dyDescent="0.35">
      <c r="B222" s="36"/>
      <c r="C222" s="17"/>
      <c r="D222" s="3093" t="s">
        <v>164</v>
      </c>
      <c r="E222" s="3093"/>
      <c r="F222" s="3093"/>
      <c r="G222" s="3093"/>
      <c r="H222" s="3093"/>
      <c r="I222" s="3093"/>
      <c r="J222" s="524"/>
      <c r="K222" s="178"/>
      <c r="L222" s="500"/>
      <c r="M222" s="175"/>
      <c r="N222" s="500"/>
      <c r="O222" s="178"/>
      <c r="P222" s="500"/>
      <c r="Q222" s="264"/>
      <c r="R222" s="500"/>
      <c r="S222" s="231">
        <f>SUM(S220:S220)</f>
        <v>7331.2275017142856</v>
      </c>
      <c r="T222" s="66"/>
      <c r="U222" s="2"/>
      <c r="V222" s="43"/>
    </row>
    <row r="223" spans="2:22" x14ac:dyDescent="0.3">
      <c r="B223" s="464"/>
      <c r="C223" s="465"/>
      <c r="D223" s="453"/>
      <c r="E223" s="455"/>
      <c r="F223" s="485"/>
      <c r="G223" s="455"/>
      <c r="H223" s="485"/>
      <c r="I223" s="455"/>
      <c r="J223" s="485"/>
      <c r="K223" s="438"/>
      <c r="L223" s="482"/>
      <c r="M223" s="439"/>
      <c r="N223" s="482"/>
      <c r="O223" s="438"/>
      <c r="P223" s="482"/>
      <c r="Q223" s="469"/>
      <c r="R223" s="482"/>
      <c r="S223" s="454"/>
    </row>
    <row r="224" spans="2:22" s="1" customFormat="1" ht="17.25" thickBot="1" x14ac:dyDescent="0.35">
      <c r="B224" s="1149"/>
      <c r="C224" s="17" t="str">
        <f>RAB!D55</f>
        <v>Pembesian sengkang</v>
      </c>
      <c r="D224" s="38"/>
      <c r="E224" s="208"/>
      <c r="F224" s="551"/>
      <c r="G224" s="208"/>
      <c r="H224" s="551"/>
      <c r="I224" s="208"/>
      <c r="J224" s="551"/>
      <c r="K224" s="156"/>
      <c r="L224" s="501"/>
      <c r="M224" s="165"/>
      <c r="N224" s="501"/>
      <c r="O224" s="156"/>
      <c r="P224" s="501"/>
      <c r="Q224" s="286"/>
      <c r="R224" s="501"/>
      <c r="S224" s="232"/>
      <c r="T224" s="18">
        <f>ROUNDDOWN(S229,2)</f>
        <v>2680.05</v>
      </c>
      <c r="U224" s="2" t="s">
        <v>0</v>
      </c>
      <c r="V224" s="43"/>
    </row>
    <row r="225" spans="2:24" s="1" customFormat="1" x14ac:dyDescent="0.3">
      <c r="B225" s="36"/>
      <c r="C225" s="17"/>
      <c r="D225" s="8" t="s">
        <v>95</v>
      </c>
      <c r="E225" s="154" t="s">
        <v>150</v>
      </c>
      <c r="F225" s="493"/>
      <c r="G225" s="154" t="s">
        <v>151</v>
      </c>
      <c r="H225" s="493"/>
      <c r="I225" s="154" t="s">
        <v>152</v>
      </c>
      <c r="J225" s="493"/>
      <c r="K225" s="154" t="s">
        <v>153</v>
      </c>
      <c r="L225" s="494"/>
      <c r="M225" s="163" t="s">
        <v>32</v>
      </c>
      <c r="N225" s="494"/>
      <c r="O225" s="201" t="s">
        <v>163</v>
      </c>
      <c r="P225" s="494"/>
      <c r="Q225" s="287" t="s">
        <v>151</v>
      </c>
      <c r="R225" s="494"/>
      <c r="S225" s="226" t="s">
        <v>143</v>
      </c>
      <c r="T225" s="66"/>
      <c r="U225" s="2"/>
      <c r="V225" s="43"/>
      <c r="X225" s="37"/>
    </row>
    <row r="226" spans="2:24" s="1" customFormat="1" x14ac:dyDescent="0.3">
      <c r="B226" s="36"/>
      <c r="C226" s="17"/>
      <c r="D226" s="149" t="s">
        <v>711</v>
      </c>
      <c r="E226" s="217">
        <f>((0.34)*4)+(6*0.01)</f>
        <v>1.4200000000000002</v>
      </c>
      <c r="F226" s="516" t="s">
        <v>185</v>
      </c>
      <c r="G226" s="152"/>
      <c r="H226" s="496"/>
      <c r="I226" s="152"/>
      <c r="J226" s="496"/>
      <c r="K226" s="265">
        <f>W226</f>
        <v>31</v>
      </c>
      <c r="L226" s="516" t="s">
        <v>185</v>
      </c>
      <c r="M226" s="173">
        <f>M220</f>
        <v>68</v>
      </c>
      <c r="N226" s="516" t="s">
        <v>185</v>
      </c>
      <c r="O226" s="152">
        <v>7850</v>
      </c>
      <c r="P226" s="516" t="s">
        <v>185</v>
      </c>
      <c r="Q226" s="262">
        <f>22/7*0.005*0.005</f>
        <v>7.857142857142858E-5</v>
      </c>
      <c r="R226" s="516" t="s">
        <v>1323</v>
      </c>
      <c r="S226" s="248">
        <f>E226*K226*M226*O226*Q226</f>
        <v>1846.2616857142859</v>
      </c>
      <c r="T226" s="66"/>
      <c r="U226" s="2"/>
      <c r="V226" s="43">
        <f>2+0.5+0.5</f>
        <v>3</v>
      </c>
      <c r="W226" s="1">
        <f>(V226/0.1)+1</f>
        <v>31</v>
      </c>
    </row>
    <row r="227" spans="2:24" s="1" customFormat="1" x14ac:dyDescent="0.3">
      <c r="B227" s="36"/>
      <c r="C227" s="17"/>
      <c r="D227" s="139" t="s">
        <v>711</v>
      </c>
      <c r="E227" s="172">
        <f>((0.34)*4)+(6*0.01)</f>
        <v>1.4200000000000002</v>
      </c>
      <c r="F227" s="521" t="s">
        <v>185</v>
      </c>
      <c r="G227" s="187"/>
      <c r="H227" s="498"/>
      <c r="I227" s="187"/>
      <c r="J227" s="498"/>
      <c r="K227" s="696">
        <v>14</v>
      </c>
      <c r="L227" s="521" t="s">
        <v>185</v>
      </c>
      <c r="M227" s="188">
        <f>M226</f>
        <v>68</v>
      </c>
      <c r="N227" s="521" t="s">
        <v>185</v>
      </c>
      <c r="O227" s="187">
        <v>7850</v>
      </c>
      <c r="P227" s="521" t="s">
        <v>185</v>
      </c>
      <c r="Q227" s="291">
        <f>22/7*0.005*0.005</f>
        <v>7.857142857142858E-5</v>
      </c>
      <c r="R227" s="521" t="s">
        <v>1323</v>
      </c>
      <c r="S227" s="244">
        <f>E227*K227*M227*O227*Q227</f>
        <v>833.79560000000026</v>
      </c>
      <c r="T227" s="66"/>
      <c r="U227" s="2"/>
      <c r="V227" s="43">
        <f>2</f>
        <v>2</v>
      </c>
      <c r="W227" s="1">
        <f>(V227/0.15)+1</f>
        <v>14.333333333333334</v>
      </c>
    </row>
    <row r="228" spans="2:24" s="1" customFormat="1" x14ac:dyDescent="0.3">
      <c r="B228" s="36"/>
      <c r="C228" s="17"/>
      <c r="D228" s="150"/>
      <c r="E228" s="199"/>
      <c r="F228" s="546"/>
      <c r="G228" s="160"/>
      <c r="H228" s="523"/>
      <c r="I228" s="160"/>
      <c r="J228" s="523"/>
      <c r="K228" s="160"/>
      <c r="L228" s="523"/>
      <c r="M228" s="195"/>
      <c r="N228" s="523"/>
      <c r="O228" s="160"/>
      <c r="P228" s="523"/>
      <c r="Q228" s="220"/>
      <c r="R228" s="523"/>
      <c r="S228" s="251"/>
      <c r="T228" s="66"/>
      <c r="U228" s="2"/>
      <c r="V228" s="43"/>
    </row>
    <row r="229" spans="2:24" s="1" customFormat="1" ht="17.25" thickBot="1" x14ac:dyDescent="0.35">
      <c r="B229" s="36"/>
      <c r="C229" s="17"/>
      <c r="D229" s="3093" t="s">
        <v>164</v>
      </c>
      <c r="E229" s="3094"/>
      <c r="F229" s="3094"/>
      <c r="G229" s="3094"/>
      <c r="H229" s="3094"/>
      <c r="I229" s="3095"/>
      <c r="J229" s="524"/>
      <c r="K229" s="178"/>
      <c r="L229" s="500"/>
      <c r="M229" s="175"/>
      <c r="N229" s="500"/>
      <c r="O229" s="178"/>
      <c r="P229" s="500"/>
      <c r="Q229" s="203"/>
      <c r="R229" s="500"/>
      <c r="S229" s="231">
        <f>SUM(S226:S227)</f>
        <v>2680.0572857142861</v>
      </c>
      <c r="T229" s="66"/>
      <c r="U229" s="2"/>
      <c r="V229" s="43"/>
    </row>
    <row r="230" spans="2:24" x14ac:dyDescent="0.3">
      <c r="B230" s="464"/>
      <c r="C230" s="465"/>
      <c r="D230" s="453"/>
      <c r="E230" s="455"/>
      <c r="F230" s="485"/>
      <c r="G230" s="455"/>
      <c r="H230" s="485"/>
      <c r="I230" s="455"/>
      <c r="J230" s="485"/>
      <c r="K230" s="438"/>
      <c r="L230" s="482"/>
      <c r="M230" s="439"/>
      <c r="N230" s="482"/>
      <c r="O230" s="438"/>
      <c r="P230" s="482"/>
      <c r="Q230" s="440"/>
      <c r="R230" s="482"/>
      <c r="S230" s="454"/>
    </row>
    <row r="231" spans="2:24" s="1" customFormat="1" ht="17.25" thickBot="1" x14ac:dyDescent="0.35">
      <c r="B231" s="36"/>
      <c r="C231" s="17" t="str">
        <f>RAB!D56</f>
        <v>Bekisting Kolom</v>
      </c>
      <c r="D231" s="38"/>
      <c r="E231" s="208"/>
      <c r="F231" s="551"/>
      <c r="G231" s="208"/>
      <c r="H231" s="551"/>
      <c r="I231" s="208"/>
      <c r="J231" s="551"/>
      <c r="K231" s="156"/>
      <c r="L231" s="501"/>
      <c r="M231" s="165"/>
      <c r="N231" s="501"/>
      <c r="O231" s="156"/>
      <c r="P231" s="501"/>
      <c r="Q231" s="204"/>
      <c r="R231" s="501"/>
      <c r="S231" s="232"/>
      <c r="T231" s="18">
        <f>ROUNDDOWN(Q235,2)</f>
        <v>433.02</v>
      </c>
      <c r="U231" s="2" t="s">
        <v>2</v>
      </c>
      <c r="V231" s="43"/>
    </row>
    <row r="232" spans="2:24" s="1" customFormat="1" x14ac:dyDescent="0.3">
      <c r="B232" s="36"/>
      <c r="C232" s="17"/>
      <c r="D232" s="8" t="s">
        <v>95</v>
      </c>
      <c r="E232" s="154" t="s">
        <v>150</v>
      </c>
      <c r="F232" s="493"/>
      <c r="G232" s="154" t="s">
        <v>151</v>
      </c>
      <c r="H232" s="493"/>
      <c r="I232" s="154" t="s">
        <v>152</v>
      </c>
      <c r="J232" s="493"/>
      <c r="K232" s="154" t="s">
        <v>153</v>
      </c>
      <c r="L232" s="494"/>
      <c r="M232" s="163" t="s">
        <v>32</v>
      </c>
      <c r="N232" s="494"/>
      <c r="O232" s="201" t="s">
        <v>163</v>
      </c>
      <c r="P232" s="494"/>
      <c r="Q232" s="202" t="s">
        <v>151</v>
      </c>
      <c r="R232" s="494"/>
      <c r="S232" s="226" t="s">
        <v>143</v>
      </c>
      <c r="T232" s="66"/>
      <c r="U232" s="2"/>
      <c r="V232" s="43"/>
    </row>
    <row r="233" spans="2:24" s="1" customFormat="1" x14ac:dyDescent="0.3">
      <c r="B233" s="36"/>
      <c r="C233" s="17"/>
      <c r="D233" s="149" t="s">
        <v>191</v>
      </c>
      <c r="E233" s="217"/>
      <c r="F233" s="516"/>
      <c r="G233" s="331">
        <f>(E211+G211)*2</f>
        <v>1.6</v>
      </c>
      <c r="H233" s="565" t="s">
        <v>185</v>
      </c>
      <c r="I233" s="578">
        <f>I211-0.4</f>
        <v>3.98</v>
      </c>
      <c r="J233" s="565" t="s">
        <v>185</v>
      </c>
      <c r="K233" s="331">
        <v>1</v>
      </c>
      <c r="L233" s="565" t="s">
        <v>185</v>
      </c>
      <c r="M233" s="331">
        <f>M226</f>
        <v>68</v>
      </c>
      <c r="N233" s="565"/>
      <c r="O233" s="331"/>
      <c r="P233" s="565" t="s">
        <v>114</v>
      </c>
      <c r="Q233" s="331">
        <f>M233*K233*I233*G233</f>
        <v>433.024</v>
      </c>
      <c r="R233" s="516"/>
      <c r="S233" s="248"/>
      <c r="T233" s="66"/>
      <c r="U233" s="2"/>
      <c r="V233" s="43"/>
    </row>
    <row r="234" spans="2:24" s="1" customFormat="1" x14ac:dyDescent="0.3">
      <c r="B234" s="36"/>
      <c r="C234" s="17"/>
      <c r="D234" s="150"/>
      <c r="E234" s="199"/>
      <c r="F234" s="546"/>
      <c r="G234" s="160"/>
      <c r="H234" s="523"/>
      <c r="I234" s="160"/>
      <c r="J234" s="523"/>
      <c r="K234" s="160"/>
      <c r="L234" s="523"/>
      <c r="M234" s="195"/>
      <c r="N234" s="523"/>
      <c r="O234" s="160"/>
      <c r="P234" s="523"/>
      <c r="Q234" s="220"/>
      <c r="R234" s="523"/>
      <c r="S234" s="251"/>
      <c r="T234" s="66"/>
      <c r="U234" s="2"/>
      <c r="V234" s="43"/>
    </row>
    <row r="235" spans="2:24" s="1" customFormat="1" ht="17.25" thickBot="1" x14ac:dyDescent="0.35">
      <c r="B235" s="36"/>
      <c r="C235" s="17"/>
      <c r="D235" s="3093" t="s">
        <v>164</v>
      </c>
      <c r="E235" s="3094"/>
      <c r="F235" s="3094"/>
      <c r="G235" s="3094"/>
      <c r="H235" s="3094"/>
      <c r="I235" s="3095"/>
      <c r="J235" s="524"/>
      <c r="K235" s="178"/>
      <c r="L235" s="500"/>
      <c r="M235" s="175"/>
      <c r="N235" s="500"/>
      <c r="O235" s="178"/>
      <c r="P235" s="500"/>
      <c r="Q235" s="579">
        <f>Q233</f>
        <v>433.024</v>
      </c>
      <c r="R235" s="500"/>
      <c r="S235" s="231"/>
      <c r="T235" s="66"/>
      <c r="U235" s="2"/>
      <c r="V235" s="43"/>
    </row>
    <row r="236" spans="2:24" x14ac:dyDescent="0.3">
      <c r="B236" s="464"/>
      <c r="C236" s="465"/>
      <c r="D236" s="453"/>
      <c r="E236" s="455"/>
      <c r="F236" s="485"/>
      <c r="G236" s="455"/>
      <c r="H236" s="485"/>
      <c r="I236" s="455"/>
      <c r="J236" s="485"/>
      <c r="K236" s="438"/>
      <c r="L236" s="482"/>
      <c r="M236" s="439"/>
      <c r="N236" s="482"/>
      <c r="O236" s="438"/>
      <c r="P236" s="482"/>
      <c r="Q236" s="440"/>
      <c r="R236" s="482"/>
      <c r="S236" s="454"/>
    </row>
    <row r="237" spans="2:24" s="1" customFormat="1" ht="17.25" thickBot="1" x14ac:dyDescent="0.35">
      <c r="B237" s="36">
        <f>RAB!B57</f>
        <v>6</v>
      </c>
      <c r="C237" s="17" t="str">
        <f>RAB!C57</f>
        <v>Kolom Praktis</v>
      </c>
      <c r="E237" s="153"/>
      <c r="F237" s="480"/>
      <c r="G237" s="153"/>
      <c r="H237" s="480"/>
      <c r="I237" s="153"/>
      <c r="J237" s="480"/>
      <c r="K237" s="153"/>
      <c r="L237" s="480"/>
      <c r="M237" s="162"/>
      <c r="N237" s="480"/>
      <c r="O237" s="153"/>
      <c r="P237" s="480"/>
      <c r="Q237" s="200"/>
      <c r="R237" s="480"/>
      <c r="S237" s="224"/>
      <c r="T237" s="18">
        <f>ROUNDDOWN(S239,2)</f>
        <v>28.8</v>
      </c>
      <c r="U237" s="2" t="s">
        <v>27</v>
      </c>
      <c r="V237" s="43"/>
    </row>
    <row r="238" spans="2:24" s="1" customFormat="1" x14ac:dyDescent="0.3">
      <c r="B238" s="36"/>
      <c r="C238" s="17"/>
      <c r="D238" s="8" t="s">
        <v>95</v>
      </c>
      <c r="E238" s="154" t="s">
        <v>150</v>
      </c>
      <c r="F238" s="493"/>
      <c r="G238" s="154" t="s">
        <v>151</v>
      </c>
      <c r="H238" s="493"/>
      <c r="I238" s="154" t="s">
        <v>152</v>
      </c>
      <c r="J238" s="493"/>
      <c r="K238" s="154" t="s">
        <v>153</v>
      </c>
      <c r="L238" s="494"/>
      <c r="M238" s="163" t="s">
        <v>32</v>
      </c>
      <c r="N238" s="494"/>
      <c r="O238" s="201" t="s">
        <v>163</v>
      </c>
      <c r="P238" s="494"/>
      <c r="Q238" s="202" t="s">
        <v>151</v>
      </c>
      <c r="R238" s="494"/>
      <c r="S238" s="226" t="s">
        <v>143</v>
      </c>
      <c r="T238" s="66"/>
      <c r="U238" s="2"/>
      <c r="V238" s="43"/>
    </row>
    <row r="239" spans="2:24" s="1" customFormat="1" x14ac:dyDescent="0.3">
      <c r="B239" s="36"/>
      <c r="C239" s="17"/>
      <c r="D239" s="149" t="s">
        <v>192</v>
      </c>
      <c r="E239" s="578"/>
      <c r="F239" s="565"/>
      <c r="G239" s="331"/>
      <c r="H239" s="565"/>
      <c r="I239" s="331">
        <f>4-0.4</f>
        <v>3.6</v>
      </c>
      <c r="J239" s="565" t="s">
        <v>185</v>
      </c>
      <c r="K239" s="331">
        <v>8</v>
      </c>
      <c r="L239" s="565"/>
      <c r="M239" s="331"/>
      <c r="N239" s="565"/>
      <c r="O239" s="331"/>
      <c r="P239" s="565"/>
      <c r="Q239" s="331"/>
      <c r="R239" s="565" t="s">
        <v>114</v>
      </c>
      <c r="S239" s="577">
        <f>K239*I239</f>
        <v>28.8</v>
      </c>
      <c r="T239" s="66"/>
      <c r="U239" s="2"/>
      <c r="V239" s="43"/>
    </row>
    <row r="240" spans="2:24" s="1" customFormat="1" x14ac:dyDescent="0.3">
      <c r="B240" s="36"/>
      <c r="C240" s="17"/>
      <c r="D240" s="139"/>
      <c r="E240" s="328"/>
      <c r="F240" s="518"/>
      <c r="G240" s="1161"/>
      <c r="H240" s="518"/>
      <c r="I240" s="1161"/>
      <c r="J240" s="518"/>
      <c r="K240" s="1161"/>
      <c r="L240" s="518"/>
      <c r="M240" s="1161"/>
      <c r="N240" s="518"/>
      <c r="O240" s="1161"/>
      <c r="P240" s="518"/>
      <c r="Q240" s="1161"/>
      <c r="R240" s="518"/>
      <c r="S240" s="519"/>
      <c r="T240" s="66"/>
      <c r="U240" s="2"/>
      <c r="V240" s="43"/>
    </row>
    <row r="241" spans="2:22" s="1" customFormat="1" x14ac:dyDescent="0.3">
      <c r="B241" s="36"/>
      <c r="C241" s="17"/>
      <c r="D241" s="139" t="s">
        <v>1236</v>
      </c>
      <c r="E241" s="328">
        <v>1</v>
      </c>
      <c r="F241" s="518" t="s">
        <v>185</v>
      </c>
      <c r="G241" s="1161"/>
      <c r="H241" s="518"/>
      <c r="I241" s="1161"/>
      <c r="J241" s="518"/>
      <c r="K241" s="1161">
        <f>K239</f>
        <v>8</v>
      </c>
      <c r="L241" s="518" t="s">
        <v>185</v>
      </c>
      <c r="M241" s="1161">
        <v>4</v>
      </c>
      <c r="N241" s="518" t="s">
        <v>185</v>
      </c>
      <c r="O241" s="1161">
        <v>7850</v>
      </c>
      <c r="P241" s="518" t="s">
        <v>185</v>
      </c>
      <c r="Q241" s="608">
        <f>22/7*0.005*0.005</f>
        <v>7.857142857142858E-5</v>
      </c>
      <c r="R241" s="518" t="s">
        <v>114</v>
      </c>
      <c r="S241" s="519">
        <f>Q241*O241*M241*K241*E241</f>
        <v>19.73714285714286</v>
      </c>
      <c r="T241" s="18">
        <f>ROUNDDOWN(S241,2)</f>
        <v>19.73</v>
      </c>
      <c r="U241" s="2" t="s">
        <v>0</v>
      </c>
      <c r="V241" s="43"/>
    </row>
    <row r="242" spans="2:22" s="1" customFormat="1" x14ac:dyDescent="0.3">
      <c r="B242" s="36"/>
      <c r="C242" s="17"/>
      <c r="D242" s="150"/>
      <c r="E242" s="592"/>
      <c r="F242" s="593"/>
      <c r="G242" s="330"/>
      <c r="H242" s="512"/>
      <c r="I242" s="330"/>
      <c r="J242" s="512"/>
      <c r="K242" s="330"/>
      <c r="L242" s="512"/>
      <c r="M242" s="330"/>
      <c r="N242" s="512"/>
      <c r="O242" s="330"/>
      <c r="P242" s="512"/>
      <c r="Q242" s="330"/>
      <c r="R242" s="512"/>
      <c r="S242" s="559"/>
      <c r="T242" s="66"/>
      <c r="U242" s="2"/>
      <c r="V242" s="43"/>
    </row>
    <row r="243" spans="2:22" s="1" customFormat="1" ht="17.25" thickBot="1" x14ac:dyDescent="0.35">
      <c r="B243" s="36"/>
      <c r="C243" s="17"/>
      <c r="D243" s="1159" t="s">
        <v>164</v>
      </c>
      <c r="E243" s="214"/>
      <c r="F243" s="560"/>
      <c r="G243" s="214"/>
      <c r="H243" s="560"/>
      <c r="I243" s="214"/>
      <c r="J243" s="560"/>
      <c r="K243" s="178"/>
      <c r="L243" s="500"/>
      <c r="M243" s="175"/>
      <c r="N243" s="500"/>
      <c r="O243" s="178"/>
      <c r="P243" s="500"/>
      <c r="Q243" s="178"/>
      <c r="R243" s="500"/>
      <c r="S243" s="231"/>
      <c r="T243" s="66"/>
      <c r="U243" s="2"/>
      <c r="V243" s="43"/>
    </row>
    <row r="244" spans="2:22" x14ac:dyDescent="0.3">
      <c r="B244" s="464"/>
      <c r="C244" s="465"/>
      <c r="D244" s="453"/>
      <c r="E244" s="455"/>
      <c r="F244" s="485"/>
      <c r="G244" s="455"/>
      <c r="H244" s="485"/>
      <c r="I244" s="455"/>
      <c r="J244" s="485"/>
      <c r="K244" s="438"/>
      <c r="L244" s="482"/>
      <c r="M244" s="439"/>
      <c r="N244" s="482"/>
      <c r="O244" s="438"/>
      <c r="P244" s="482"/>
      <c r="Q244" s="440"/>
      <c r="R244" s="482"/>
      <c r="S244" s="454"/>
    </row>
    <row r="245" spans="2:22" s="1" customFormat="1" ht="17.25" thickBot="1" x14ac:dyDescent="0.35">
      <c r="B245" s="1149">
        <f>RAB!B58</f>
        <v>7</v>
      </c>
      <c r="C245" s="17" t="str">
        <f>RAB!C58</f>
        <v>Balok Latai</v>
      </c>
      <c r="D245" s="38"/>
      <c r="E245" s="208"/>
      <c r="F245" s="551"/>
      <c r="G245" s="208"/>
      <c r="H245" s="551"/>
      <c r="I245" s="208"/>
      <c r="J245" s="551"/>
      <c r="K245" s="156"/>
      <c r="L245" s="501"/>
      <c r="M245" s="165"/>
      <c r="N245" s="501"/>
      <c r="O245" s="156"/>
      <c r="P245" s="501"/>
      <c r="Q245" s="204"/>
      <c r="R245" s="501"/>
      <c r="S245" s="232"/>
      <c r="T245" s="18">
        <f>ROUNDDOWN(S252,2)</f>
        <v>122.4</v>
      </c>
      <c r="U245" s="2" t="s">
        <v>27</v>
      </c>
      <c r="V245" s="43"/>
    </row>
    <row r="246" spans="2:22" s="1" customFormat="1" x14ac:dyDescent="0.3">
      <c r="B246" s="36"/>
      <c r="C246" s="17"/>
      <c r="D246" s="8" t="s">
        <v>95</v>
      </c>
      <c r="E246" s="154" t="s">
        <v>150</v>
      </c>
      <c r="F246" s="493"/>
      <c r="G246" s="154" t="s">
        <v>151</v>
      </c>
      <c r="H246" s="493"/>
      <c r="I246" s="154" t="s">
        <v>152</v>
      </c>
      <c r="J246" s="493"/>
      <c r="K246" s="154" t="s">
        <v>153</v>
      </c>
      <c r="L246" s="494"/>
      <c r="M246" s="163" t="s">
        <v>32</v>
      </c>
      <c r="N246" s="494"/>
      <c r="O246" s="201" t="s">
        <v>163</v>
      </c>
      <c r="P246" s="494"/>
      <c r="Q246" s="202" t="s">
        <v>151</v>
      </c>
      <c r="R246" s="494"/>
      <c r="S246" s="226" t="s">
        <v>143</v>
      </c>
      <c r="T246" s="66"/>
      <c r="U246" s="2"/>
      <c r="V246" s="43"/>
    </row>
    <row r="247" spans="2:22" s="1" customFormat="1" x14ac:dyDescent="0.3">
      <c r="B247" s="36"/>
      <c r="C247" s="17"/>
      <c r="D247" s="318" t="s">
        <v>156</v>
      </c>
      <c r="E247" s="159"/>
      <c r="F247" s="582"/>
      <c r="G247" s="159"/>
      <c r="H247" s="582"/>
      <c r="I247" s="159"/>
      <c r="J247" s="582"/>
      <c r="K247" s="159"/>
      <c r="L247" s="583"/>
      <c r="M247" s="584"/>
      <c r="N247" s="583"/>
      <c r="O247" s="585"/>
      <c r="P247" s="583"/>
      <c r="Q247" s="586"/>
      <c r="R247" s="583"/>
      <c r="S247" s="243"/>
      <c r="T247" s="66"/>
      <c r="U247" s="2"/>
      <c r="V247" s="43"/>
    </row>
    <row r="248" spans="2:22" s="1" customFormat="1" x14ac:dyDescent="0.3">
      <c r="B248" s="36"/>
      <c r="C248" s="17"/>
      <c r="D248" s="267" t="s">
        <v>1324</v>
      </c>
      <c r="E248" s="587">
        <v>3.6</v>
      </c>
      <c r="F248" s="588" t="s">
        <v>185</v>
      </c>
      <c r="G248" s="589"/>
      <c r="H248" s="588"/>
      <c r="I248" s="589"/>
      <c r="J248" s="588"/>
      <c r="K248" s="589">
        <v>24</v>
      </c>
      <c r="L248" s="588"/>
      <c r="M248" s="589"/>
      <c r="N248" s="588"/>
      <c r="O248" s="589"/>
      <c r="P248" s="588"/>
      <c r="Q248" s="589"/>
      <c r="R248" s="588" t="s">
        <v>114</v>
      </c>
      <c r="S248" s="590">
        <f>K248*E248</f>
        <v>86.4</v>
      </c>
      <c r="T248" s="66"/>
      <c r="U248" s="2"/>
      <c r="V248" s="43"/>
    </row>
    <row r="249" spans="2:22" s="1" customFormat="1" x14ac:dyDescent="0.3">
      <c r="B249" s="36"/>
      <c r="C249" s="17"/>
      <c r="D249" s="151" t="s">
        <v>157</v>
      </c>
      <c r="E249" s="1161"/>
      <c r="F249" s="518"/>
      <c r="G249" s="1161"/>
      <c r="H249" s="518"/>
      <c r="I249" s="1161"/>
      <c r="J249" s="518"/>
      <c r="K249" s="1161"/>
      <c r="L249" s="517"/>
      <c r="M249" s="1161"/>
      <c r="N249" s="517"/>
      <c r="O249" s="1161"/>
      <c r="P249" s="517"/>
      <c r="Q249" s="1161"/>
      <c r="R249" s="518"/>
      <c r="S249" s="519"/>
      <c r="T249" s="66"/>
      <c r="U249" s="2"/>
      <c r="V249" s="43"/>
    </row>
    <row r="250" spans="2:22" s="1" customFormat="1" x14ac:dyDescent="0.3">
      <c r="B250" s="36"/>
      <c r="C250" s="17"/>
      <c r="D250" s="267" t="s">
        <v>1324</v>
      </c>
      <c r="E250" s="328">
        <v>3.6</v>
      </c>
      <c r="F250" s="518" t="s">
        <v>185</v>
      </c>
      <c r="G250" s="1161"/>
      <c r="H250" s="518"/>
      <c r="I250" s="1161"/>
      <c r="J250" s="518"/>
      <c r="K250" s="1161">
        <v>10</v>
      </c>
      <c r="L250" s="518"/>
      <c r="M250" s="1161"/>
      <c r="N250" s="518"/>
      <c r="O250" s="1161"/>
      <c r="P250" s="518"/>
      <c r="Q250" s="1161"/>
      <c r="R250" s="518" t="s">
        <v>114</v>
      </c>
      <c r="S250" s="519">
        <f>E250*K250</f>
        <v>36</v>
      </c>
      <c r="T250" s="66"/>
      <c r="U250" s="2"/>
      <c r="V250" s="43"/>
    </row>
    <row r="251" spans="2:22" s="1" customFormat="1" x14ac:dyDescent="0.3">
      <c r="B251" s="36"/>
      <c r="C251" s="17"/>
      <c r="D251" s="150"/>
      <c r="E251" s="592"/>
      <c r="F251" s="593"/>
      <c r="G251" s="330"/>
      <c r="H251" s="512"/>
      <c r="I251" s="330"/>
      <c r="J251" s="512"/>
      <c r="K251" s="330"/>
      <c r="L251" s="512"/>
      <c r="M251" s="330"/>
      <c r="N251" s="512"/>
      <c r="O251" s="330"/>
      <c r="P251" s="512"/>
      <c r="Q251" s="330"/>
      <c r="R251" s="512"/>
      <c r="S251" s="559"/>
      <c r="T251" s="66"/>
      <c r="U251" s="2"/>
      <c r="V251" s="43"/>
    </row>
    <row r="252" spans="2:22" s="1" customFormat="1" x14ac:dyDescent="0.3">
      <c r="B252" s="36"/>
      <c r="C252" s="17"/>
      <c r="D252" s="1119" t="s">
        <v>164</v>
      </c>
      <c r="E252" s="1120"/>
      <c r="F252" s="1121"/>
      <c r="G252" s="1120"/>
      <c r="H252" s="1121"/>
      <c r="I252" s="1122"/>
      <c r="J252" s="1123"/>
      <c r="K252" s="1120"/>
      <c r="L252" s="1121"/>
      <c r="M252" s="1120"/>
      <c r="N252" s="1121"/>
      <c r="O252" s="1120"/>
      <c r="P252" s="1121"/>
      <c r="Q252" s="1120"/>
      <c r="R252" s="1121"/>
      <c r="S252" s="1124">
        <f>SUM(S247:S251)</f>
        <v>122.4</v>
      </c>
      <c r="T252" s="66"/>
      <c r="U252" s="2"/>
      <c r="V252" s="43"/>
    </row>
    <row r="253" spans="2:22" s="1" customFormat="1" x14ac:dyDescent="0.3">
      <c r="B253" s="36"/>
      <c r="C253" s="17"/>
      <c r="D253" s="318"/>
      <c r="E253" s="331"/>
      <c r="F253" s="575"/>
      <c r="G253" s="331"/>
      <c r="H253" s="575"/>
      <c r="I253" s="331"/>
      <c r="J253" s="575"/>
      <c r="K253" s="331"/>
      <c r="L253" s="575"/>
      <c r="M253" s="331"/>
      <c r="N253" s="575"/>
      <c r="O253" s="331"/>
      <c r="P253" s="575"/>
      <c r="Q253" s="331"/>
      <c r="R253" s="575"/>
      <c r="S253" s="1125"/>
      <c r="T253" s="66"/>
      <c r="U253" s="2"/>
      <c r="V253" s="43"/>
    </row>
    <row r="254" spans="2:22" s="1" customFormat="1" ht="17.25" thickBot="1" x14ac:dyDescent="0.35">
      <c r="B254" s="36"/>
      <c r="C254" s="17"/>
      <c r="D254" s="1126" t="s">
        <v>1236</v>
      </c>
      <c r="E254" s="1127">
        <v>1</v>
      </c>
      <c r="F254" s="1128" t="s">
        <v>185</v>
      </c>
      <c r="G254" s="1071"/>
      <c r="H254" s="1128"/>
      <c r="I254" s="1071"/>
      <c r="J254" s="1128"/>
      <c r="K254" s="1071">
        <f>SUM(K248:K250)</f>
        <v>34</v>
      </c>
      <c r="L254" s="1128" t="s">
        <v>185</v>
      </c>
      <c r="M254" s="1071">
        <v>4</v>
      </c>
      <c r="N254" s="1128" t="s">
        <v>185</v>
      </c>
      <c r="O254" s="1071">
        <v>7850</v>
      </c>
      <c r="P254" s="1128" t="s">
        <v>185</v>
      </c>
      <c r="Q254" s="1129">
        <f>22/7*0.005*0.005</f>
        <v>7.857142857142858E-5</v>
      </c>
      <c r="R254" s="1128" t="s">
        <v>114</v>
      </c>
      <c r="S254" s="1073">
        <f>Q254*O254*M254*K254*E254</f>
        <v>83.882857142857162</v>
      </c>
      <c r="T254" s="18">
        <f>ROUNDDOWN(S254,2)</f>
        <v>83.88</v>
      </c>
      <c r="U254" s="2" t="s">
        <v>0</v>
      </c>
      <c r="V254" s="43"/>
    </row>
    <row r="255" spans="2:22" x14ac:dyDescent="0.3">
      <c r="B255" s="464"/>
      <c r="C255" s="465"/>
      <c r="D255" s="453"/>
      <c r="E255" s="455"/>
      <c r="F255" s="485"/>
      <c r="G255" s="455"/>
      <c r="H255" s="485"/>
      <c r="I255" s="455"/>
      <c r="J255" s="485"/>
      <c r="K255" s="438"/>
      <c r="L255" s="482"/>
      <c r="M255" s="439"/>
      <c r="N255" s="482"/>
      <c r="O255" s="438"/>
      <c r="P255" s="482"/>
      <c r="Q255" s="440"/>
      <c r="R255" s="482"/>
      <c r="S255" s="454"/>
    </row>
    <row r="256" spans="2:22" s="32" customFormat="1" x14ac:dyDescent="0.3">
      <c r="B256" s="1149">
        <f>RAB!B59</f>
        <v>8</v>
      </c>
      <c r="C256" s="114" t="str">
        <f>RAB!C59</f>
        <v>Balok 25x50 Cm (B1)</v>
      </c>
      <c r="D256" s="56"/>
      <c r="E256" s="213"/>
      <c r="F256" s="549"/>
      <c r="G256" s="213"/>
      <c r="H256" s="549"/>
      <c r="I256" s="213"/>
      <c r="J256" s="549"/>
      <c r="K256" s="181"/>
      <c r="L256" s="529"/>
      <c r="M256" s="182"/>
      <c r="N256" s="529"/>
      <c r="O256" s="181"/>
      <c r="P256" s="529"/>
      <c r="Q256" s="211"/>
      <c r="R256" s="529"/>
      <c r="S256" s="239"/>
      <c r="T256" s="53"/>
      <c r="U256" s="50"/>
      <c r="V256" s="51"/>
    </row>
    <row r="257" spans="2:24" s="32" customFormat="1" ht="17.25" thickBot="1" x14ac:dyDescent="0.35">
      <c r="B257" s="113"/>
      <c r="C257" s="114" t="str">
        <f>RAB!D60</f>
        <v xml:space="preserve">Beton mutu f'c=26,4 Mpa </v>
      </c>
      <c r="D257" s="56"/>
      <c r="E257" s="213"/>
      <c r="F257" s="549"/>
      <c r="G257" s="213"/>
      <c r="H257" s="549"/>
      <c r="I257" s="213"/>
      <c r="J257" s="549"/>
      <c r="K257" s="181"/>
      <c r="L257" s="529"/>
      <c r="M257" s="182"/>
      <c r="N257" s="529"/>
      <c r="O257" s="181"/>
      <c r="P257" s="529"/>
      <c r="Q257" s="211"/>
      <c r="R257" s="529"/>
      <c r="S257" s="239"/>
      <c r="T257" s="54">
        <f>ROUNDDOWN(S265,2)</f>
        <v>1.31</v>
      </c>
      <c r="U257" s="50" t="s">
        <v>3</v>
      </c>
      <c r="V257" s="51"/>
    </row>
    <row r="258" spans="2:24" s="32" customFormat="1" x14ac:dyDescent="0.3">
      <c r="B258" s="113"/>
      <c r="C258" s="114"/>
      <c r="D258" s="52" t="s">
        <v>95</v>
      </c>
      <c r="E258" s="155" t="s">
        <v>150</v>
      </c>
      <c r="F258" s="505"/>
      <c r="G258" s="155" t="s">
        <v>151</v>
      </c>
      <c r="H258" s="505"/>
      <c r="I258" s="155" t="s">
        <v>152</v>
      </c>
      <c r="J258" s="505"/>
      <c r="K258" s="155" t="s">
        <v>153</v>
      </c>
      <c r="L258" s="506"/>
      <c r="M258" s="164" t="s">
        <v>32</v>
      </c>
      <c r="N258" s="506"/>
      <c r="O258" s="206" t="s">
        <v>163</v>
      </c>
      <c r="P258" s="506"/>
      <c r="Q258" s="207" t="s">
        <v>151</v>
      </c>
      <c r="R258" s="506"/>
      <c r="S258" s="230" t="s">
        <v>143</v>
      </c>
      <c r="T258" s="53"/>
      <c r="U258" s="50"/>
      <c r="V258" s="51"/>
    </row>
    <row r="259" spans="2:24" s="32" customFormat="1" x14ac:dyDescent="0.3">
      <c r="B259" s="113"/>
      <c r="C259" s="114"/>
      <c r="D259" s="284" t="s">
        <v>156</v>
      </c>
      <c r="E259" s="552">
        <f>4-0.4</f>
        <v>3.6</v>
      </c>
      <c r="F259" s="594" t="s">
        <v>185</v>
      </c>
      <c r="G259" s="578">
        <v>0.25</v>
      </c>
      <c r="H259" s="594" t="s">
        <v>185</v>
      </c>
      <c r="I259" s="578">
        <f>0.5-0.12</f>
        <v>0.38</v>
      </c>
      <c r="J259" s="594" t="s">
        <v>185</v>
      </c>
      <c r="K259" s="578">
        <v>4</v>
      </c>
      <c r="L259" s="594"/>
      <c r="M259" s="578"/>
      <c r="N259" s="594"/>
      <c r="O259" s="578"/>
      <c r="P259" s="594"/>
      <c r="Q259" s="578"/>
      <c r="R259" s="594" t="s">
        <v>114</v>
      </c>
      <c r="S259" s="595">
        <f>E259*G259*I259*K259</f>
        <v>1.3680000000000001</v>
      </c>
      <c r="T259" s="53"/>
      <c r="U259" s="50"/>
      <c r="V259" s="51"/>
    </row>
    <row r="260" spans="2:24" s="32" customFormat="1" x14ac:dyDescent="0.3">
      <c r="B260" s="113"/>
      <c r="C260" s="114"/>
      <c r="D260" s="285" t="s">
        <v>244</v>
      </c>
      <c r="E260" s="328"/>
      <c r="F260" s="509"/>
      <c r="G260" s="328"/>
      <c r="H260" s="509"/>
      <c r="I260" s="328"/>
      <c r="J260" s="509"/>
      <c r="K260" s="328"/>
      <c r="L260" s="509"/>
      <c r="M260" s="328"/>
      <c r="N260" s="509"/>
      <c r="O260" s="328"/>
      <c r="P260" s="509"/>
      <c r="Q260" s="328"/>
      <c r="R260" s="509"/>
      <c r="S260" s="596"/>
      <c r="T260" s="53"/>
      <c r="U260" s="50"/>
      <c r="V260" s="51"/>
    </row>
    <row r="261" spans="2:24" s="32" customFormat="1" x14ac:dyDescent="0.3">
      <c r="B261" s="113"/>
      <c r="C261" s="114"/>
      <c r="D261" s="140" t="s">
        <v>733</v>
      </c>
      <c r="E261" s="328"/>
      <c r="F261" s="509"/>
      <c r="G261" s="328"/>
      <c r="H261" s="509"/>
      <c r="I261" s="328"/>
      <c r="J261" s="509"/>
      <c r="K261" s="328">
        <f>S273</f>
        <v>361.24300457142857</v>
      </c>
      <c r="L261" s="509" t="s">
        <v>253</v>
      </c>
      <c r="M261" s="328"/>
      <c r="N261" s="510"/>
      <c r="O261" s="328">
        <v>7850</v>
      </c>
      <c r="P261" s="510"/>
      <c r="Q261" s="328"/>
      <c r="R261" s="509" t="s">
        <v>149</v>
      </c>
      <c r="S261" s="1171">
        <f>K261/O261</f>
        <v>4.6018217142857143E-2</v>
      </c>
      <c r="T261" s="53"/>
      <c r="U261" s="50"/>
      <c r="V261" s="51"/>
    </row>
    <row r="262" spans="2:24" s="32" customFormat="1" x14ac:dyDescent="0.3">
      <c r="B262" s="113"/>
      <c r="C262" s="114"/>
      <c r="D262" s="140" t="s">
        <v>734</v>
      </c>
      <c r="E262" s="328"/>
      <c r="F262" s="509"/>
      <c r="G262" s="328"/>
      <c r="H262" s="509"/>
      <c r="I262" s="328"/>
      <c r="J262" s="509"/>
      <c r="K262" s="328">
        <f>S280</f>
        <v>27.237257142857143</v>
      </c>
      <c r="L262" s="509" t="s">
        <v>253</v>
      </c>
      <c r="M262" s="328"/>
      <c r="N262" s="510"/>
      <c r="O262" s="328">
        <f>O261</f>
        <v>7850</v>
      </c>
      <c r="P262" s="510"/>
      <c r="Q262" s="328"/>
      <c r="R262" s="509" t="s">
        <v>149</v>
      </c>
      <c r="S262" s="1171">
        <f>K262/O262</f>
        <v>3.4697142857142856E-3</v>
      </c>
      <c r="T262" s="53"/>
      <c r="U262" s="50"/>
      <c r="V262" s="51"/>
    </row>
    <row r="263" spans="2:24" s="32" customFormat="1" x14ac:dyDescent="0.3">
      <c r="B263" s="113"/>
      <c r="C263" s="114"/>
      <c r="D263" s="555"/>
      <c r="E263" s="554"/>
      <c r="F263" s="556"/>
      <c r="G263" s="554"/>
      <c r="H263" s="556"/>
      <c r="I263" s="554"/>
      <c r="J263" s="556"/>
      <c r="K263" s="554"/>
      <c r="L263" s="556"/>
      <c r="M263" s="554"/>
      <c r="N263" s="557"/>
      <c r="O263" s="554"/>
      <c r="P263" s="557"/>
      <c r="Q263" s="554"/>
      <c r="R263" s="556"/>
      <c r="S263" s="1172">
        <f>SUM(S261:S262)</f>
        <v>4.9487931428571427E-2</v>
      </c>
      <c r="T263" s="53"/>
      <c r="U263" s="50"/>
      <c r="V263" s="51"/>
    </row>
    <row r="264" spans="2:24" s="32" customFormat="1" x14ac:dyDescent="0.3">
      <c r="B264" s="113"/>
      <c r="C264" s="114"/>
      <c r="D264" s="282"/>
      <c r="E264" s="592"/>
      <c r="F264" s="593"/>
      <c r="G264" s="592"/>
      <c r="H264" s="593"/>
      <c r="I264" s="592"/>
      <c r="J264" s="593"/>
      <c r="K264" s="592"/>
      <c r="L264" s="593"/>
      <c r="M264" s="592"/>
      <c r="N264" s="593"/>
      <c r="O264" s="592"/>
      <c r="P264" s="593"/>
      <c r="Q264" s="592"/>
      <c r="R264" s="593"/>
      <c r="S264" s="599"/>
      <c r="T264" s="53"/>
      <c r="U264" s="50"/>
      <c r="V264" s="51"/>
    </row>
    <row r="265" spans="2:24" s="32" customFormat="1" ht="17.25" thickBot="1" x14ac:dyDescent="0.35">
      <c r="B265" s="113"/>
      <c r="C265" s="114"/>
      <c r="D265" s="3103" t="s">
        <v>164</v>
      </c>
      <c r="E265" s="3104"/>
      <c r="F265" s="3104"/>
      <c r="G265" s="3104"/>
      <c r="H265" s="3104"/>
      <c r="I265" s="3105"/>
      <c r="J265" s="548"/>
      <c r="K265" s="183"/>
      <c r="L265" s="532"/>
      <c r="M265" s="180"/>
      <c r="N265" s="532"/>
      <c r="O265" s="183"/>
      <c r="P265" s="532"/>
      <c r="Q265" s="210"/>
      <c r="R265" s="532"/>
      <c r="S265" s="600">
        <f>S259-S263</f>
        <v>1.3185120685714287</v>
      </c>
      <c r="T265" s="53"/>
      <c r="U265" s="50"/>
      <c r="V265" s="51"/>
    </row>
    <row r="266" spans="2:24" s="444" customFormat="1" x14ac:dyDescent="0.3">
      <c r="B266" s="468"/>
      <c r="C266" s="428"/>
      <c r="D266" s="462"/>
      <c r="E266" s="463"/>
      <c r="F266" s="488"/>
      <c r="G266" s="463"/>
      <c r="H266" s="488"/>
      <c r="I266" s="463"/>
      <c r="J266" s="488"/>
      <c r="K266" s="458"/>
      <c r="L266" s="487"/>
      <c r="M266" s="459"/>
      <c r="N266" s="487"/>
      <c r="O266" s="458"/>
      <c r="P266" s="487"/>
      <c r="Q266" s="460"/>
      <c r="R266" s="487"/>
      <c r="S266" s="470"/>
      <c r="T266" s="449"/>
      <c r="U266" s="443"/>
      <c r="V266" s="674"/>
    </row>
    <row r="267" spans="2:24" s="32" customFormat="1" ht="17.25" thickBot="1" x14ac:dyDescent="0.35">
      <c r="B267" s="113"/>
      <c r="C267" s="114" t="str">
        <f>RAB!D61</f>
        <v>Pembesian Ulir</v>
      </c>
      <c r="D267" s="56"/>
      <c r="E267" s="213"/>
      <c r="F267" s="549"/>
      <c r="G267" s="213"/>
      <c r="H267" s="549"/>
      <c r="I267" s="213"/>
      <c r="J267" s="549"/>
      <c r="K267" s="181"/>
      <c r="L267" s="529"/>
      <c r="M267" s="182"/>
      <c r="N267" s="529"/>
      <c r="O267" s="181"/>
      <c r="P267" s="529"/>
      <c r="Q267" s="211"/>
      <c r="R267" s="529"/>
      <c r="S267" s="239"/>
      <c r="T267" s="54">
        <f>ROUNDDOWN(S273,2)</f>
        <v>361.24</v>
      </c>
      <c r="U267" s="50" t="s">
        <v>0</v>
      </c>
      <c r="V267" s="51"/>
      <c r="X267" s="120"/>
    </row>
    <row r="268" spans="2:24" s="32" customFormat="1" x14ac:dyDescent="0.3">
      <c r="B268" s="113"/>
      <c r="C268" s="114"/>
      <c r="D268" s="52" t="s">
        <v>95</v>
      </c>
      <c r="E268" s="155" t="s">
        <v>150</v>
      </c>
      <c r="F268" s="505"/>
      <c r="G268" s="155" t="s">
        <v>151</v>
      </c>
      <c r="H268" s="505"/>
      <c r="I268" s="155" t="s">
        <v>152</v>
      </c>
      <c r="J268" s="505"/>
      <c r="K268" s="155" t="s">
        <v>153</v>
      </c>
      <c r="L268" s="506"/>
      <c r="M268" s="164" t="s">
        <v>32</v>
      </c>
      <c r="N268" s="506"/>
      <c r="O268" s="206" t="s">
        <v>163</v>
      </c>
      <c r="P268" s="506"/>
      <c r="Q268" s="207" t="s">
        <v>151</v>
      </c>
      <c r="R268" s="506"/>
      <c r="S268" s="230" t="s">
        <v>143</v>
      </c>
      <c r="T268" s="53"/>
      <c r="U268" s="50"/>
      <c r="V268" s="51"/>
      <c r="W268" s="123"/>
    </row>
    <row r="269" spans="2:24" s="32" customFormat="1" x14ac:dyDescent="0.3">
      <c r="B269" s="113"/>
      <c r="C269" s="114"/>
      <c r="D269" s="277" t="s">
        <v>236</v>
      </c>
      <c r="E269" s="328">
        <v>4</v>
      </c>
      <c r="F269" s="509" t="s">
        <v>185</v>
      </c>
      <c r="G269" s="328"/>
      <c r="H269" s="510"/>
      <c r="I269" s="328"/>
      <c r="J269" s="510"/>
      <c r="K269" s="328">
        <v>6</v>
      </c>
      <c r="L269" s="509" t="s">
        <v>185</v>
      </c>
      <c r="M269" s="328">
        <f>K259</f>
        <v>4</v>
      </c>
      <c r="N269" s="509" t="s">
        <v>185</v>
      </c>
      <c r="O269" s="328">
        <v>7850</v>
      </c>
      <c r="P269" s="509" t="s">
        <v>185</v>
      </c>
      <c r="Q269" s="1162">
        <f>22/7*0.0095*0.0095</f>
        <v>2.8364285714285714E-4</v>
      </c>
      <c r="R269" s="509" t="s">
        <v>114</v>
      </c>
      <c r="S269" s="596">
        <f>E269*K269*M269*O269*Q269</f>
        <v>213.75325714285714</v>
      </c>
      <c r="T269" s="53"/>
      <c r="U269" s="50"/>
      <c r="V269" s="51"/>
    </row>
    <row r="270" spans="2:24" s="32" customFormat="1" x14ac:dyDescent="0.3">
      <c r="B270" s="113"/>
      <c r="C270" s="114"/>
      <c r="D270" s="278" t="s">
        <v>290</v>
      </c>
      <c r="E270" s="534">
        <f>V270/2+(40*0.019*2)</f>
        <v>3.52</v>
      </c>
      <c r="F270" s="514" t="s">
        <v>185</v>
      </c>
      <c r="G270" s="172"/>
      <c r="H270" s="543"/>
      <c r="I270" s="172"/>
      <c r="J270" s="543"/>
      <c r="K270" s="328">
        <v>3</v>
      </c>
      <c r="L270" s="514" t="s">
        <v>185</v>
      </c>
      <c r="M270" s="534">
        <f>M269</f>
        <v>4</v>
      </c>
      <c r="N270" s="514" t="s">
        <v>185</v>
      </c>
      <c r="O270" s="328">
        <v>7850</v>
      </c>
      <c r="P270" s="509" t="s">
        <v>185</v>
      </c>
      <c r="Q270" s="607">
        <f>22/7*0.0095*0.0095</f>
        <v>2.8364285714285714E-4</v>
      </c>
      <c r="R270" s="514" t="s">
        <v>114</v>
      </c>
      <c r="S270" s="596">
        <f>E270*K270*M270*O270*Q270</f>
        <v>94.05143314285715</v>
      </c>
      <c r="T270" s="53"/>
      <c r="U270" s="50"/>
      <c r="V270" s="51">
        <v>4</v>
      </c>
    </row>
    <row r="271" spans="2:24" s="32" customFormat="1" x14ac:dyDescent="0.3">
      <c r="B271" s="113"/>
      <c r="C271" s="114"/>
      <c r="D271" s="278" t="s">
        <v>288</v>
      </c>
      <c r="E271" s="534">
        <f>V271/2</f>
        <v>2</v>
      </c>
      <c r="F271" s="514" t="s">
        <v>185</v>
      </c>
      <c r="G271" s="172"/>
      <c r="H271" s="543"/>
      <c r="I271" s="172"/>
      <c r="J271" s="543"/>
      <c r="K271" s="328">
        <v>3</v>
      </c>
      <c r="L271" s="514" t="s">
        <v>185</v>
      </c>
      <c r="M271" s="534">
        <f>M270</f>
        <v>4</v>
      </c>
      <c r="N271" s="514" t="s">
        <v>185</v>
      </c>
      <c r="O271" s="328">
        <v>7850</v>
      </c>
      <c r="P271" s="509" t="s">
        <v>185</v>
      </c>
      <c r="Q271" s="607">
        <f>22/7*0.0095*0.0095</f>
        <v>2.8364285714285714E-4</v>
      </c>
      <c r="R271" s="514" t="s">
        <v>114</v>
      </c>
      <c r="S271" s="596">
        <f>E271*K271*M271*O271*Q271</f>
        <v>53.438314285714284</v>
      </c>
      <c r="T271" s="53"/>
      <c r="U271" s="50"/>
      <c r="V271" s="51">
        <v>4</v>
      </c>
    </row>
    <row r="272" spans="2:24" s="32" customFormat="1" x14ac:dyDescent="0.3">
      <c r="B272" s="113"/>
      <c r="C272" s="114"/>
      <c r="D272" s="282"/>
      <c r="E272" s="199"/>
      <c r="F272" s="545"/>
      <c r="G272" s="199"/>
      <c r="H272" s="546"/>
      <c r="I272" s="199"/>
      <c r="J272" s="546"/>
      <c r="K272" s="199"/>
      <c r="L272" s="545"/>
      <c r="M272" s="219"/>
      <c r="N272" s="545"/>
      <c r="O272" s="199"/>
      <c r="P272" s="545"/>
      <c r="Q272" s="283"/>
      <c r="R272" s="545"/>
      <c r="S272" s="272"/>
      <c r="T272" s="53"/>
      <c r="U272" s="50"/>
      <c r="V272" s="51"/>
    </row>
    <row r="273" spans="2:25" s="32" customFormat="1" ht="17.25" thickBot="1" x14ac:dyDescent="0.35">
      <c r="B273" s="113"/>
      <c r="C273" s="114"/>
      <c r="D273" s="3103" t="s">
        <v>164</v>
      </c>
      <c r="E273" s="3104"/>
      <c r="F273" s="3104"/>
      <c r="G273" s="3104"/>
      <c r="H273" s="3104"/>
      <c r="I273" s="3105"/>
      <c r="J273" s="548"/>
      <c r="K273" s="183"/>
      <c r="L273" s="532"/>
      <c r="M273" s="180"/>
      <c r="N273" s="532"/>
      <c r="O273" s="183"/>
      <c r="P273" s="532"/>
      <c r="Q273" s="210"/>
      <c r="R273" s="532"/>
      <c r="S273" s="240">
        <f>SUM(S269:S272)</f>
        <v>361.24300457142857</v>
      </c>
      <c r="T273" s="53"/>
      <c r="U273" s="50"/>
      <c r="V273" s="51"/>
    </row>
    <row r="274" spans="2:25" s="444" customFormat="1" x14ac:dyDescent="0.3">
      <c r="B274" s="468"/>
      <c r="C274" s="428"/>
      <c r="D274" s="462"/>
      <c r="E274" s="463"/>
      <c r="F274" s="488"/>
      <c r="G274" s="463"/>
      <c r="H274" s="488"/>
      <c r="I274" s="463"/>
      <c r="J274" s="488"/>
      <c r="K274" s="458"/>
      <c r="L274" s="487"/>
      <c r="M274" s="459"/>
      <c r="N274" s="487"/>
      <c r="O274" s="458"/>
      <c r="P274" s="487"/>
      <c r="Q274" s="460"/>
      <c r="R274" s="487"/>
      <c r="S274" s="470"/>
      <c r="T274" s="449"/>
      <c r="U274" s="443"/>
      <c r="V274" s="674"/>
    </row>
    <row r="275" spans="2:25" s="32" customFormat="1" ht="17.25" thickBot="1" x14ac:dyDescent="0.35">
      <c r="B275" s="113"/>
      <c r="C275" s="114" t="str">
        <f>RAB!D62</f>
        <v>Pembesian sengkang</v>
      </c>
      <c r="D275" s="56"/>
      <c r="E275" s="213"/>
      <c r="F275" s="549"/>
      <c r="G275" s="213"/>
      <c r="H275" s="549"/>
      <c r="I275" s="213"/>
      <c r="J275" s="549"/>
      <c r="K275" s="181"/>
      <c r="L275" s="529"/>
      <c r="M275" s="182"/>
      <c r="N275" s="529"/>
      <c r="O275" s="181"/>
      <c r="P275" s="529"/>
      <c r="Q275" s="211"/>
      <c r="R275" s="529"/>
      <c r="S275" s="239"/>
      <c r="T275" s="54">
        <f>ROUNDDOWN(S280,2)</f>
        <v>27.23</v>
      </c>
      <c r="U275" s="50" t="s">
        <v>0</v>
      </c>
      <c r="V275" s="51"/>
    </row>
    <row r="276" spans="2:25" s="32" customFormat="1" x14ac:dyDescent="0.3">
      <c r="B276" s="113"/>
      <c r="C276" s="114"/>
      <c r="D276" s="52" t="s">
        <v>95</v>
      </c>
      <c r="E276" s="155" t="s">
        <v>150</v>
      </c>
      <c r="F276" s="505"/>
      <c r="G276" s="155" t="s">
        <v>151</v>
      </c>
      <c r="H276" s="505"/>
      <c r="I276" s="155" t="s">
        <v>152</v>
      </c>
      <c r="J276" s="505"/>
      <c r="K276" s="155" t="s">
        <v>153</v>
      </c>
      <c r="L276" s="506"/>
      <c r="M276" s="164" t="s">
        <v>32</v>
      </c>
      <c r="N276" s="506"/>
      <c r="O276" s="206" t="s">
        <v>163</v>
      </c>
      <c r="P276" s="506"/>
      <c r="Q276" s="207" t="s">
        <v>151</v>
      </c>
      <c r="R276" s="506"/>
      <c r="S276" s="230" t="s">
        <v>143</v>
      </c>
      <c r="T276" s="53"/>
      <c r="U276" s="50"/>
      <c r="V276" s="51"/>
      <c r="W276" s="120"/>
      <c r="Y276" s="120"/>
    </row>
    <row r="277" spans="2:25" s="32" customFormat="1" x14ac:dyDescent="0.3">
      <c r="B277" s="113"/>
      <c r="C277" s="114"/>
      <c r="D277" s="275" t="s">
        <v>237</v>
      </c>
      <c r="E277" s="578">
        <f>(0.44+0.19)*2+(2*6*0.01)</f>
        <v>1.38</v>
      </c>
      <c r="F277" s="594" t="s">
        <v>185</v>
      </c>
      <c r="G277" s="578"/>
      <c r="H277" s="604"/>
      <c r="I277" s="578"/>
      <c r="J277" s="604"/>
      <c r="K277" s="578">
        <f>ROUNDDOWN(W277,0.3)+1</f>
        <v>19</v>
      </c>
      <c r="L277" s="594" t="s">
        <v>185</v>
      </c>
      <c r="M277" s="578">
        <v>1</v>
      </c>
      <c r="N277" s="594" t="s">
        <v>185</v>
      </c>
      <c r="O277" s="578">
        <v>7850</v>
      </c>
      <c r="P277" s="594" t="s">
        <v>185</v>
      </c>
      <c r="Q277" s="1163">
        <f>22/7*0.005*0.005</f>
        <v>7.857142857142858E-5</v>
      </c>
      <c r="R277" s="594" t="s">
        <v>114</v>
      </c>
      <c r="S277" s="595">
        <f>E277*K277*M277*O277*Q277</f>
        <v>16.17212142857143</v>
      </c>
      <c r="T277" s="53"/>
      <c r="U277" s="50"/>
      <c r="V277" s="51"/>
      <c r="W277" s="120">
        <f>(E259/2)/0.1</f>
        <v>18</v>
      </c>
      <c r="X277" s="120"/>
      <c r="Y277" s="120"/>
    </row>
    <row r="278" spans="2:25" s="32" customFormat="1" x14ac:dyDescent="0.3">
      <c r="B278" s="113"/>
      <c r="C278" s="114"/>
      <c r="D278" s="1164" t="s">
        <v>237</v>
      </c>
      <c r="E278" s="1165">
        <f>(0.44+0.19)*2+(2*6*0.01)</f>
        <v>1.38</v>
      </c>
      <c r="F278" s="1166" t="s">
        <v>185</v>
      </c>
      <c r="G278" s="1165"/>
      <c r="H278" s="1167"/>
      <c r="I278" s="1165"/>
      <c r="J278" s="1167"/>
      <c r="K278" s="1165">
        <f>ROUNDDOWN(W278,0.3)+1</f>
        <v>13</v>
      </c>
      <c r="L278" s="1166" t="s">
        <v>185</v>
      </c>
      <c r="M278" s="1165">
        <v>1</v>
      </c>
      <c r="N278" s="1166" t="s">
        <v>185</v>
      </c>
      <c r="O278" s="1165">
        <v>7850</v>
      </c>
      <c r="P278" s="1166" t="s">
        <v>185</v>
      </c>
      <c r="Q278" s="1168">
        <f>22/7*0.005*0.005</f>
        <v>7.857142857142858E-5</v>
      </c>
      <c r="R278" s="1166" t="s">
        <v>114</v>
      </c>
      <c r="S278" s="1169">
        <f>E278*K278*M278*O278*Q278</f>
        <v>11.065135714285713</v>
      </c>
      <c r="T278" s="53"/>
      <c r="U278" s="50"/>
      <c r="V278" s="51"/>
      <c r="W278" s="120">
        <f>(E259/2)/0.15</f>
        <v>12</v>
      </c>
      <c r="X278" s="120"/>
      <c r="Y278" s="120"/>
    </row>
    <row r="279" spans="2:25" s="32" customFormat="1" x14ac:dyDescent="0.3">
      <c r="B279" s="113"/>
      <c r="C279" s="114"/>
      <c r="D279" s="49"/>
      <c r="E279" s="157"/>
      <c r="F279" s="598"/>
      <c r="G279" s="157"/>
      <c r="H279" s="598"/>
      <c r="I279" s="157"/>
      <c r="J279" s="598"/>
      <c r="K279" s="157"/>
      <c r="L279" s="598"/>
      <c r="M279" s="184"/>
      <c r="N279" s="598"/>
      <c r="O279" s="157"/>
      <c r="P279" s="598"/>
      <c r="Q279" s="209"/>
      <c r="R279" s="598"/>
      <c r="S279" s="237"/>
      <c r="T279" s="53"/>
      <c r="U279" s="50"/>
      <c r="V279" s="51"/>
    </row>
    <row r="280" spans="2:25" s="32" customFormat="1" ht="17.25" thickBot="1" x14ac:dyDescent="0.35">
      <c r="B280" s="113"/>
      <c r="C280" s="114"/>
      <c r="D280" s="3103" t="s">
        <v>164</v>
      </c>
      <c r="E280" s="3104"/>
      <c r="F280" s="3104"/>
      <c r="G280" s="3104"/>
      <c r="H280" s="3104"/>
      <c r="I280" s="3105"/>
      <c r="J280" s="548"/>
      <c r="K280" s="183"/>
      <c r="L280" s="532"/>
      <c r="M280" s="180"/>
      <c r="N280" s="532"/>
      <c r="O280" s="183"/>
      <c r="P280" s="532"/>
      <c r="Q280" s="210"/>
      <c r="R280" s="532"/>
      <c r="S280" s="240">
        <f>SUM(S277:S279)</f>
        <v>27.237257142857143</v>
      </c>
      <c r="T280" s="53"/>
      <c r="U280" s="50"/>
      <c r="V280" s="51"/>
    </row>
    <row r="281" spans="2:25" s="444" customFormat="1" x14ac:dyDescent="0.3">
      <c r="B281" s="468"/>
      <c r="C281" s="428"/>
      <c r="D281" s="462"/>
      <c r="E281" s="463"/>
      <c r="F281" s="488"/>
      <c r="G281" s="463"/>
      <c r="H281" s="488"/>
      <c r="I281" s="463"/>
      <c r="J281" s="488"/>
      <c r="K281" s="458"/>
      <c r="L281" s="487"/>
      <c r="M281" s="459"/>
      <c r="N281" s="487"/>
      <c r="O281" s="458"/>
      <c r="P281" s="487"/>
      <c r="Q281" s="460"/>
      <c r="R281" s="487"/>
      <c r="S281" s="470"/>
      <c r="T281" s="449"/>
      <c r="U281" s="443"/>
      <c r="V281" s="674"/>
    </row>
    <row r="282" spans="2:25" s="32" customFormat="1" ht="17.25" thickBot="1" x14ac:dyDescent="0.35">
      <c r="B282" s="113"/>
      <c r="C282" s="114" t="str">
        <f>RAB!D63</f>
        <v>Bekisting Balok</v>
      </c>
      <c r="D282" s="56"/>
      <c r="E282" s="213"/>
      <c r="F282" s="549"/>
      <c r="G282" s="213"/>
      <c r="H282" s="549"/>
      <c r="I282" s="213"/>
      <c r="J282" s="549"/>
      <c r="K282" s="181"/>
      <c r="L282" s="529"/>
      <c r="M282" s="182"/>
      <c r="N282" s="529"/>
      <c r="O282" s="181"/>
      <c r="P282" s="529"/>
      <c r="Q282" s="211"/>
      <c r="R282" s="529"/>
      <c r="S282" s="239"/>
      <c r="T282" s="54">
        <f>ROUNDDOWN(Q286,2)</f>
        <v>14.54</v>
      </c>
      <c r="U282" s="50" t="s">
        <v>2</v>
      </c>
      <c r="V282" s="51"/>
    </row>
    <row r="283" spans="2:25" s="32" customFormat="1" x14ac:dyDescent="0.3">
      <c r="B283" s="113"/>
      <c r="C283" s="114"/>
      <c r="D283" s="52" t="s">
        <v>95</v>
      </c>
      <c r="E283" s="155" t="s">
        <v>150</v>
      </c>
      <c r="F283" s="505"/>
      <c r="G283" s="155" t="s">
        <v>151</v>
      </c>
      <c r="H283" s="505"/>
      <c r="I283" s="155" t="s">
        <v>152</v>
      </c>
      <c r="J283" s="505"/>
      <c r="K283" s="155" t="s">
        <v>153</v>
      </c>
      <c r="L283" s="506"/>
      <c r="M283" s="164" t="s">
        <v>32</v>
      </c>
      <c r="N283" s="506"/>
      <c r="O283" s="206" t="s">
        <v>163</v>
      </c>
      <c r="P283" s="506"/>
      <c r="Q283" s="207" t="s">
        <v>151</v>
      </c>
      <c r="R283" s="506"/>
      <c r="S283" s="230" t="s">
        <v>143</v>
      </c>
      <c r="T283" s="53"/>
      <c r="U283" s="50"/>
      <c r="V283" s="51"/>
    </row>
    <row r="284" spans="2:25" s="32" customFormat="1" x14ac:dyDescent="0.3">
      <c r="B284" s="113"/>
      <c r="C284" s="114"/>
      <c r="D284" s="275" t="s">
        <v>156</v>
      </c>
      <c r="E284" s="578">
        <f>E259</f>
        <v>3.6</v>
      </c>
      <c r="F284" s="594" t="s">
        <v>185</v>
      </c>
      <c r="G284" s="578">
        <f>(2*I259)+G259</f>
        <v>1.01</v>
      </c>
      <c r="H284" s="594" t="s">
        <v>185</v>
      </c>
      <c r="I284" s="578"/>
      <c r="J284" s="594"/>
      <c r="K284" s="578">
        <f>K259</f>
        <v>4</v>
      </c>
      <c r="L284" s="594"/>
      <c r="M284" s="578"/>
      <c r="N284" s="594"/>
      <c r="O284" s="578"/>
      <c r="P284" s="594" t="s">
        <v>114</v>
      </c>
      <c r="Q284" s="578">
        <f>E284*G284*K284</f>
        <v>14.544</v>
      </c>
      <c r="R284" s="594"/>
      <c r="S284" s="595"/>
      <c r="T284" s="53"/>
      <c r="U284" s="50"/>
      <c r="V284" s="51"/>
    </row>
    <row r="285" spans="2:25" s="32" customFormat="1" x14ac:dyDescent="0.3">
      <c r="B285" s="113"/>
      <c r="C285" s="114"/>
      <c r="D285" s="282"/>
      <c r="E285" s="592"/>
      <c r="F285" s="593"/>
      <c r="G285" s="592"/>
      <c r="H285" s="593"/>
      <c r="I285" s="592"/>
      <c r="J285" s="593"/>
      <c r="K285" s="592"/>
      <c r="L285" s="593"/>
      <c r="M285" s="592"/>
      <c r="N285" s="593"/>
      <c r="O285" s="592"/>
      <c r="P285" s="593"/>
      <c r="Q285" s="592"/>
      <c r="R285" s="593"/>
      <c r="S285" s="599"/>
      <c r="T285" s="53"/>
      <c r="U285" s="50"/>
      <c r="V285" s="51"/>
    </row>
    <row r="286" spans="2:25" s="32" customFormat="1" ht="17.25" thickBot="1" x14ac:dyDescent="0.35">
      <c r="B286" s="113"/>
      <c r="C286" s="114"/>
      <c r="D286" s="3103" t="s">
        <v>164</v>
      </c>
      <c r="E286" s="3104"/>
      <c r="F286" s="3104"/>
      <c r="G286" s="3104"/>
      <c r="H286" s="3104"/>
      <c r="I286" s="3105"/>
      <c r="J286" s="548"/>
      <c r="K286" s="183"/>
      <c r="L286" s="532"/>
      <c r="M286" s="180"/>
      <c r="N286" s="532"/>
      <c r="O286" s="183"/>
      <c r="P286" s="532"/>
      <c r="Q286" s="601">
        <f>SUM(Q284:Q285)</f>
        <v>14.544</v>
      </c>
      <c r="R286" s="532"/>
      <c r="S286" s="240"/>
      <c r="T286" s="53"/>
      <c r="U286" s="50"/>
      <c r="V286" s="51"/>
    </row>
    <row r="287" spans="2:25" x14ac:dyDescent="0.3">
      <c r="B287" s="464"/>
      <c r="C287" s="465"/>
      <c r="D287" s="453"/>
      <c r="E287" s="455"/>
      <c r="F287" s="485"/>
      <c r="G287" s="455"/>
      <c r="H287" s="485"/>
      <c r="I287" s="455"/>
      <c r="J287" s="485"/>
      <c r="K287" s="438"/>
      <c r="L287" s="482"/>
      <c r="M287" s="439"/>
      <c r="N287" s="482"/>
      <c r="O287" s="438"/>
      <c r="P287" s="482"/>
      <c r="Q287" s="440"/>
      <c r="R287" s="482"/>
      <c r="S287" s="454"/>
    </row>
    <row r="288" spans="2:25" s="1" customFormat="1" x14ac:dyDescent="0.3">
      <c r="B288" s="1170">
        <f>RAB!B64</f>
        <v>9</v>
      </c>
      <c r="C288" s="60" t="str">
        <f>RAB!C64</f>
        <v>Balok 20x40 Cm (B2)</v>
      </c>
      <c r="D288" s="16"/>
      <c r="E288" s="216"/>
      <c r="F288" s="602"/>
      <c r="G288" s="216"/>
      <c r="H288" s="602"/>
      <c r="I288" s="216"/>
      <c r="J288" s="602"/>
      <c r="K288" s="181"/>
      <c r="L288" s="529"/>
      <c r="M288" s="182"/>
      <c r="N288" s="529"/>
      <c r="O288" s="181"/>
      <c r="P288" s="529"/>
      <c r="Q288" s="181"/>
      <c r="R288" s="529"/>
      <c r="S288" s="239"/>
      <c r="T288" s="66"/>
      <c r="U288" s="2"/>
      <c r="V288" s="43"/>
    </row>
    <row r="289" spans="2:24" s="1" customFormat="1" ht="17.25" thickBot="1" x14ac:dyDescent="0.35">
      <c r="B289" s="59"/>
      <c r="C289" s="60" t="str">
        <f>RAB!D65</f>
        <v xml:space="preserve">Beton mutu f'c=26,4 Mpa </v>
      </c>
      <c r="D289" s="16"/>
      <c r="E289" s="216"/>
      <c r="F289" s="602"/>
      <c r="G289" s="216"/>
      <c r="H289" s="602"/>
      <c r="I289" s="216"/>
      <c r="J289" s="602"/>
      <c r="K289" s="181"/>
      <c r="L289" s="529"/>
      <c r="M289" s="182"/>
      <c r="N289" s="529"/>
      <c r="O289" s="181"/>
      <c r="P289" s="529"/>
      <c r="Q289" s="181"/>
      <c r="R289" s="529"/>
      <c r="S289" s="239"/>
      <c r="T289" s="18">
        <f>ROUNDDOWN(S303,2)</f>
        <v>17.96</v>
      </c>
      <c r="U289" s="2" t="s">
        <v>3</v>
      </c>
      <c r="V289" s="43"/>
    </row>
    <row r="290" spans="2:24" s="1" customFormat="1" x14ac:dyDescent="0.3">
      <c r="B290" s="59"/>
      <c r="C290" s="60"/>
      <c r="D290" s="8" t="s">
        <v>95</v>
      </c>
      <c r="E290" s="155" t="s">
        <v>150</v>
      </c>
      <c r="F290" s="505"/>
      <c r="G290" s="155" t="s">
        <v>151</v>
      </c>
      <c r="H290" s="505"/>
      <c r="I290" s="155" t="s">
        <v>152</v>
      </c>
      <c r="J290" s="505"/>
      <c r="K290" s="155" t="s">
        <v>153</v>
      </c>
      <c r="L290" s="506"/>
      <c r="M290" s="164" t="s">
        <v>32</v>
      </c>
      <c r="N290" s="506"/>
      <c r="O290" s="206" t="s">
        <v>163</v>
      </c>
      <c r="P290" s="506"/>
      <c r="Q290" s="206" t="s">
        <v>151</v>
      </c>
      <c r="R290" s="506"/>
      <c r="S290" s="230" t="s">
        <v>143</v>
      </c>
      <c r="T290" s="66"/>
      <c r="U290" s="2"/>
      <c r="V290" s="43"/>
    </row>
    <row r="291" spans="2:24" s="1" customFormat="1" x14ac:dyDescent="0.3">
      <c r="B291" s="59"/>
      <c r="C291" s="60"/>
      <c r="D291" s="1173" t="s">
        <v>156</v>
      </c>
      <c r="E291" s="331">
        <f>4-0.4</f>
        <v>3.6</v>
      </c>
      <c r="F291" s="594" t="s">
        <v>185</v>
      </c>
      <c r="G291" s="578">
        <v>0.2</v>
      </c>
      <c r="H291" s="604" t="s">
        <v>185</v>
      </c>
      <c r="I291" s="578">
        <f>0.4-0.12</f>
        <v>0.28000000000000003</v>
      </c>
      <c r="J291" s="594"/>
      <c r="K291" s="578">
        <v>9</v>
      </c>
      <c r="L291" s="517" t="s">
        <v>185</v>
      </c>
      <c r="M291" s="578">
        <v>2</v>
      </c>
      <c r="N291" s="594"/>
      <c r="O291" s="578"/>
      <c r="P291" s="594"/>
      <c r="Q291" s="578"/>
      <c r="R291" s="594" t="s">
        <v>114</v>
      </c>
      <c r="S291" s="595">
        <f t="shared" ref="S291:S296" si="3">E291*G291*I291*K291*M291</f>
        <v>3.6288000000000005</v>
      </c>
      <c r="T291" s="66"/>
      <c r="U291" s="2"/>
      <c r="V291" s="43"/>
    </row>
    <row r="292" spans="2:24" s="1" customFormat="1" x14ac:dyDescent="0.3">
      <c r="B292" s="59"/>
      <c r="C292" s="60"/>
      <c r="D292" s="288"/>
      <c r="E292" s="1161">
        <f>4-0.4</f>
        <v>3.6</v>
      </c>
      <c r="F292" s="509" t="s">
        <v>185</v>
      </c>
      <c r="G292" s="328">
        <v>0.2</v>
      </c>
      <c r="H292" s="510" t="s">
        <v>185</v>
      </c>
      <c r="I292" s="328">
        <f>I291</f>
        <v>0.28000000000000003</v>
      </c>
      <c r="J292" s="509"/>
      <c r="K292" s="328">
        <v>6</v>
      </c>
      <c r="L292" s="517" t="s">
        <v>185</v>
      </c>
      <c r="M292" s="328">
        <v>2</v>
      </c>
      <c r="N292" s="509"/>
      <c r="O292" s="328"/>
      <c r="P292" s="509"/>
      <c r="Q292" s="328"/>
      <c r="R292" s="509" t="s">
        <v>114</v>
      </c>
      <c r="S292" s="596">
        <f t="shared" si="3"/>
        <v>2.4192000000000005</v>
      </c>
      <c r="T292" s="66"/>
      <c r="U292" s="2"/>
      <c r="V292" s="43"/>
      <c r="X292" s="325"/>
    </row>
    <row r="293" spans="2:24" s="1" customFormat="1" x14ac:dyDescent="0.3">
      <c r="B293" s="59"/>
      <c r="C293" s="60"/>
      <c r="D293" s="288"/>
      <c r="E293" s="1161">
        <f>4-0.4</f>
        <v>3.6</v>
      </c>
      <c r="F293" s="509" t="s">
        <v>185</v>
      </c>
      <c r="G293" s="328">
        <v>0.2</v>
      </c>
      <c r="H293" s="510" t="s">
        <v>185</v>
      </c>
      <c r="I293" s="328">
        <f>I292</f>
        <v>0.28000000000000003</v>
      </c>
      <c r="J293" s="509"/>
      <c r="K293" s="328">
        <v>8</v>
      </c>
      <c r="L293" s="517" t="s">
        <v>185</v>
      </c>
      <c r="M293" s="328">
        <v>2</v>
      </c>
      <c r="N293" s="509"/>
      <c r="O293" s="328"/>
      <c r="P293" s="509"/>
      <c r="Q293" s="328"/>
      <c r="R293" s="509" t="s">
        <v>114</v>
      </c>
      <c r="S293" s="596">
        <f t="shared" si="3"/>
        <v>3.2256000000000005</v>
      </c>
      <c r="T293" s="66"/>
      <c r="U293" s="2"/>
      <c r="V293" s="43"/>
    </row>
    <row r="294" spans="2:24" s="1" customFormat="1" x14ac:dyDescent="0.3">
      <c r="B294" s="59"/>
      <c r="C294" s="60"/>
      <c r="D294" s="138" t="s">
        <v>157</v>
      </c>
      <c r="E294" s="1161">
        <f>4-0.4</f>
        <v>3.6</v>
      </c>
      <c r="F294" s="509" t="s">
        <v>185</v>
      </c>
      <c r="G294" s="328">
        <v>0.2</v>
      </c>
      <c r="H294" s="510" t="s">
        <v>185</v>
      </c>
      <c r="I294" s="328">
        <f>I293</f>
        <v>0.28000000000000003</v>
      </c>
      <c r="J294" s="509"/>
      <c r="K294" s="328">
        <v>5</v>
      </c>
      <c r="L294" s="517" t="s">
        <v>185</v>
      </c>
      <c r="M294" s="328">
        <v>2</v>
      </c>
      <c r="N294" s="509"/>
      <c r="O294" s="328"/>
      <c r="P294" s="509"/>
      <c r="Q294" s="328"/>
      <c r="R294" s="509" t="s">
        <v>114</v>
      </c>
      <c r="S294" s="596">
        <f t="shared" si="3"/>
        <v>2.0160000000000005</v>
      </c>
      <c r="T294" s="66"/>
      <c r="U294" s="2"/>
      <c r="V294" s="43"/>
    </row>
    <row r="295" spans="2:24" s="1" customFormat="1" x14ac:dyDescent="0.3">
      <c r="B295" s="59"/>
      <c r="C295" s="60"/>
      <c r="D295" s="288"/>
      <c r="E295" s="1161">
        <f>4-0.4</f>
        <v>3.6</v>
      </c>
      <c r="F295" s="509" t="s">
        <v>185</v>
      </c>
      <c r="G295" s="328">
        <v>0.2</v>
      </c>
      <c r="H295" s="510" t="s">
        <v>185</v>
      </c>
      <c r="I295" s="328">
        <f>I294</f>
        <v>0.28000000000000003</v>
      </c>
      <c r="J295" s="509"/>
      <c r="K295" s="328">
        <v>8</v>
      </c>
      <c r="L295" s="517" t="s">
        <v>185</v>
      </c>
      <c r="M295" s="328">
        <v>4</v>
      </c>
      <c r="N295" s="509"/>
      <c r="O295" s="328"/>
      <c r="P295" s="509"/>
      <c r="Q295" s="328"/>
      <c r="R295" s="509" t="s">
        <v>1323</v>
      </c>
      <c r="S295" s="596">
        <f t="shared" si="3"/>
        <v>6.4512000000000009</v>
      </c>
      <c r="T295" s="66"/>
      <c r="U295" s="2"/>
      <c r="V295" s="43"/>
      <c r="X295" s="325"/>
    </row>
    <row r="296" spans="2:24" s="1" customFormat="1" x14ac:dyDescent="0.3">
      <c r="B296" s="59"/>
      <c r="C296" s="60"/>
      <c r="D296" s="288"/>
      <c r="E296" s="1174">
        <f>1.5-0.125</f>
        <v>1.375</v>
      </c>
      <c r="F296" s="509" t="s">
        <v>185</v>
      </c>
      <c r="G296" s="328">
        <v>0.2</v>
      </c>
      <c r="H296" s="510" t="s">
        <v>185</v>
      </c>
      <c r="I296" s="328">
        <f>I295</f>
        <v>0.28000000000000003</v>
      </c>
      <c r="J296" s="509"/>
      <c r="K296" s="328">
        <v>4</v>
      </c>
      <c r="L296" s="517" t="s">
        <v>185</v>
      </c>
      <c r="M296" s="328">
        <v>4</v>
      </c>
      <c r="N296" s="509"/>
      <c r="O296" s="328"/>
      <c r="P296" s="509"/>
      <c r="Q296" s="328"/>
      <c r="R296" s="509" t="s">
        <v>1323</v>
      </c>
      <c r="S296" s="596">
        <f t="shared" si="3"/>
        <v>1.2320000000000002</v>
      </c>
      <c r="T296" s="66"/>
      <c r="U296" s="2"/>
      <c r="V296" s="43"/>
      <c r="X296" s="325"/>
    </row>
    <row r="297" spans="2:24" s="1" customFormat="1" x14ac:dyDescent="0.3">
      <c r="B297" s="59"/>
      <c r="C297" s="60"/>
      <c r="D297" s="288"/>
      <c r="E297" s="1174"/>
      <c r="F297" s="509"/>
      <c r="G297" s="328"/>
      <c r="H297" s="510"/>
      <c r="I297" s="328"/>
      <c r="J297" s="509"/>
      <c r="K297" s="328"/>
      <c r="L297" s="517"/>
      <c r="M297" s="328"/>
      <c r="N297" s="509"/>
      <c r="O297" s="328"/>
      <c r="P297" s="509"/>
      <c r="Q297" s="328"/>
      <c r="R297" s="509"/>
      <c r="S297" s="1176">
        <f>SUM(S291:S296)</f>
        <v>18.972800000000003</v>
      </c>
      <c r="T297" s="66"/>
      <c r="U297" s="2"/>
      <c r="V297" s="43"/>
      <c r="X297" s="325"/>
    </row>
    <row r="298" spans="2:24" x14ac:dyDescent="0.3">
      <c r="B298" s="341"/>
      <c r="C298" s="342"/>
      <c r="D298" s="138" t="s">
        <v>244</v>
      </c>
      <c r="E298" s="328"/>
      <c r="F298" s="509"/>
      <c r="G298" s="328"/>
      <c r="H298" s="509"/>
      <c r="I298" s="328"/>
      <c r="J298" s="509"/>
      <c r="K298" s="328"/>
      <c r="L298" s="509"/>
      <c r="M298" s="328"/>
      <c r="N298" s="509"/>
      <c r="O298" s="328"/>
      <c r="P298" s="517"/>
      <c r="Q298" s="328"/>
      <c r="R298" s="517"/>
      <c r="S298" s="519"/>
    </row>
    <row r="299" spans="2:24" x14ac:dyDescent="0.3">
      <c r="B299" s="341"/>
      <c r="C299" s="342"/>
      <c r="D299" s="140" t="s">
        <v>733</v>
      </c>
      <c r="E299" s="328"/>
      <c r="F299" s="509"/>
      <c r="G299" s="328"/>
      <c r="H299" s="509"/>
      <c r="I299" s="328"/>
      <c r="J299" s="509"/>
      <c r="K299" s="328">
        <f>S325</f>
        <v>5848.3838537142856</v>
      </c>
      <c r="L299" s="517" t="s">
        <v>253</v>
      </c>
      <c r="M299" s="328"/>
      <c r="N299" s="517"/>
      <c r="O299" s="328">
        <v>7850</v>
      </c>
      <c r="P299" s="517"/>
      <c r="Q299" s="328"/>
      <c r="R299" s="509" t="s">
        <v>1323</v>
      </c>
      <c r="S299" s="519">
        <f>K299/O299</f>
        <v>0.74501705142857144</v>
      </c>
    </row>
    <row r="300" spans="2:24" s="1" customFormat="1" x14ac:dyDescent="0.3">
      <c r="B300" s="59"/>
      <c r="C300" s="60"/>
      <c r="D300" s="140" t="s">
        <v>734</v>
      </c>
      <c r="E300" s="328"/>
      <c r="F300" s="509"/>
      <c r="G300" s="328"/>
      <c r="H300" s="509"/>
      <c r="I300" s="328"/>
      <c r="J300" s="509"/>
      <c r="K300" s="328">
        <f>S336</f>
        <v>2083.6501714285719</v>
      </c>
      <c r="L300" s="517" t="s">
        <v>253</v>
      </c>
      <c r="M300" s="328"/>
      <c r="N300" s="517"/>
      <c r="O300" s="328">
        <f>O299</f>
        <v>7850</v>
      </c>
      <c r="P300" s="517"/>
      <c r="Q300" s="328"/>
      <c r="R300" s="509" t="s">
        <v>1323</v>
      </c>
      <c r="S300" s="519">
        <f>K300/O300</f>
        <v>0.26543314285714292</v>
      </c>
      <c r="T300" s="66"/>
      <c r="U300" s="2"/>
      <c r="V300" s="43"/>
    </row>
    <row r="301" spans="2:24" s="1" customFormat="1" x14ac:dyDescent="0.3">
      <c r="B301" s="59"/>
      <c r="C301" s="60"/>
      <c r="D301" s="555"/>
      <c r="E301" s="554"/>
      <c r="F301" s="556"/>
      <c r="G301" s="554"/>
      <c r="H301" s="556"/>
      <c r="I301" s="554"/>
      <c r="J301" s="556"/>
      <c r="K301" s="554"/>
      <c r="L301" s="526"/>
      <c r="M301" s="554"/>
      <c r="N301" s="526"/>
      <c r="O301" s="554"/>
      <c r="P301" s="526"/>
      <c r="Q301" s="554"/>
      <c r="R301" s="526"/>
      <c r="S301" s="1177">
        <f>SUM(S299:S300)</f>
        <v>1.0104501942857143</v>
      </c>
      <c r="T301" s="66"/>
      <c r="U301" s="2"/>
      <c r="V301" s="43"/>
    </row>
    <row r="302" spans="2:24" x14ac:dyDescent="0.3">
      <c r="B302" s="341"/>
      <c r="C302" s="342"/>
      <c r="D302" s="466"/>
      <c r="E302" s="580"/>
      <c r="F302" s="581"/>
      <c r="G302" s="580"/>
      <c r="H302" s="581"/>
      <c r="I302" s="580"/>
      <c r="J302" s="581"/>
      <c r="K302" s="580"/>
      <c r="L302" s="581"/>
      <c r="M302" s="503"/>
      <c r="N302" s="581"/>
      <c r="O302" s="580"/>
      <c r="P302" s="581"/>
      <c r="Q302" s="580"/>
      <c r="R302" s="581"/>
      <c r="S302" s="550"/>
    </row>
    <row r="303" spans="2:24" s="1" customFormat="1" ht="17.25" thickBot="1" x14ac:dyDescent="0.35">
      <c r="B303" s="59"/>
      <c r="C303" s="60"/>
      <c r="D303" s="3093" t="s">
        <v>164</v>
      </c>
      <c r="E303" s="3093"/>
      <c r="F303" s="3093"/>
      <c r="G303" s="3093"/>
      <c r="H303" s="3093"/>
      <c r="I303" s="3093"/>
      <c r="J303" s="524"/>
      <c r="K303" s="183"/>
      <c r="L303" s="532"/>
      <c r="M303" s="180"/>
      <c r="N303" s="532"/>
      <c r="O303" s="183"/>
      <c r="P303" s="532"/>
      <c r="Q303" s="183"/>
      <c r="R303" s="532"/>
      <c r="S303" s="240">
        <f>S297-S301</f>
        <v>17.96234980571429</v>
      </c>
      <c r="T303" s="66"/>
      <c r="U303" s="2"/>
      <c r="V303" s="43"/>
    </row>
    <row r="304" spans="2:24" x14ac:dyDescent="0.3">
      <c r="B304" s="341"/>
      <c r="C304" s="342"/>
      <c r="D304" s="343"/>
      <c r="E304" s="471"/>
      <c r="F304" s="489"/>
      <c r="G304" s="471"/>
      <c r="H304" s="489"/>
      <c r="I304" s="471"/>
      <c r="J304" s="489"/>
      <c r="K304" s="458"/>
      <c r="L304" s="487"/>
      <c r="M304" s="459"/>
      <c r="N304" s="487"/>
      <c r="O304" s="458"/>
      <c r="P304" s="487"/>
      <c r="Q304" s="458"/>
      <c r="R304" s="487"/>
      <c r="S304" s="470"/>
    </row>
    <row r="305" spans="2:24" s="1" customFormat="1" ht="17.25" thickBot="1" x14ac:dyDescent="0.35">
      <c r="B305" s="59"/>
      <c r="C305" s="60" t="str">
        <f>RAB!D66</f>
        <v>Pembesian Ulir</v>
      </c>
      <c r="D305" s="16"/>
      <c r="E305" s="216"/>
      <c r="F305" s="602"/>
      <c r="G305" s="216"/>
      <c r="H305" s="602"/>
      <c r="I305" s="216"/>
      <c r="J305" s="602"/>
      <c r="K305" s="181"/>
      <c r="L305" s="529"/>
      <c r="M305" s="182"/>
      <c r="N305" s="529"/>
      <c r="O305" s="181"/>
      <c r="P305" s="529"/>
      <c r="Q305" s="181"/>
      <c r="R305" s="529"/>
      <c r="S305" s="239"/>
      <c r="T305" s="18">
        <f>ROUNDDOWN(S325,2)</f>
        <v>5848.38</v>
      </c>
      <c r="U305" s="2" t="s">
        <v>0</v>
      </c>
      <c r="V305" s="43"/>
      <c r="X305" s="37"/>
    </row>
    <row r="306" spans="2:24" s="1" customFormat="1" x14ac:dyDescent="0.3">
      <c r="B306" s="59"/>
      <c r="C306" s="60"/>
      <c r="D306" s="8" t="s">
        <v>95</v>
      </c>
      <c r="E306" s="155" t="s">
        <v>150</v>
      </c>
      <c r="F306" s="505"/>
      <c r="G306" s="155" t="s">
        <v>151</v>
      </c>
      <c r="H306" s="505"/>
      <c r="I306" s="155" t="s">
        <v>152</v>
      </c>
      <c r="J306" s="505"/>
      <c r="K306" s="155" t="s">
        <v>153</v>
      </c>
      <c r="L306" s="506"/>
      <c r="M306" s="164" t="s">
        <v>32</v>
      </c>
      <c r="N306" s="506"/>
      <c r="O306" s="206" t="s">
        <v>163</v>
      </c>
      <c r="P306" s="506"/>
      <c r="Q306" s="206" t="s">
        <v>151</v>
      </c>
      <c r="R306" s="506"/>
      <c r="S306" s="230" t="s">
        <v>143</v>
      </c>
      <c r="T306" s="66"/>
      <c r="U306" s="2"/>
      <c r="V306" s="43"/>
      <c r="W306" s="325"/>
    </row>
    <row r="307" spans="2:24" x14ac:dyDescent="0.3">
      <c r="B307" s="341"/>
      <c r="C307" s="342"/>
      <c r="D307" s="277" t="s">
        <v>1327</v>
      </c>
      <c r="E307" s="328">
        <v>4</v>
      </c>
      <c r="F307" s="509" t="s">
        <v>185</v>
      </c>
      <c r="G307" s="328"/>
      <c r="H307" s="510"/>
      <c r="I307" s="328"/>
      <c r="J307" s="510"/>
      <c r="K307" s="328">
        <v>6</v>
      </c>
      <c r="L307" s="509" t="s">
        <v>185</v>
      </c>
      <c r="M307" s="328">
        <f>K291*M291</f>
        <v>18</v>
      </c>
      <c r="N307" s="509" t="s">
        <v>185</v>
      </c>
      <c r="O307" s="328">
        <v>7850</v>
      </c>
      <c r="P307" s="509" t="s">
        <v>185</v>
      </c>
      <c r="Q307" s="1162">
        <f>22/7*0.008*0.008</f>
        <v>2.0114285714285715E-4</v>
      </c>
      <c r="R307" s="509" t="s">
        <v>114</v>
      </c>
      <c r="S307" s="596">
        <f t="shared" ref="S307:S315" si="4">E307*K307*M307*O307*Q307</f>
        <v>682.11565714285712</v>
      </c>
      <c r="T307" s="53"/>
      <c r="U307" s="50"/>
      <c r="V307" s="51"/>
    </row>
    <row r="308" spans="2:24" x14ac:dyDescent="0.3">
      <c r="B308" s="341"/>
      <c r="C308" s="342"/>
      <c r="D308" s="279" t="s">
        <v>1320</v>
      </c>
      <c r="E308" s="534">
        <f>V308/2+(40*0.016*2)</f>
        <v>3.2800000000000002</v>
      </c>
      <c r="F308" s="514" t="s">
        <v>185</v>
      </c>
      <c r="G308" s="172"/>
      <c r="H308" s="543"/>
      <c r="I308" s="172"/>
      <c r="J308" s="543"/>
      <c r="K308" s="328">
        <v>3</v>
      </c>
      <c r="L308" s="514" t="s">
        <v>185</v>
      </c>
      <c r="M308" s="534">
        <f>M307</f>
        <v>18</v>
      </c>
      <c r="N308" s="514" t="s">
        <v>185</v>
      </c>
      <c r="O308" s="328">
        <v>7850</v>
      </c>
      <c r="P308" s="509" t="s">
        <v>185</v>
      </c>
      <c r="Q308" s="607">
        <f>Q307</f>
        <v>2.0114285714285715E-4</v>
      </c>
      <c r="R308" s="514" t="s">
        <v>114</v>
      </c>
      <c r="S308" s="596">
        <f t="shared" si="4"/>
        <v>279.66741942857141</v>
      </c>
      <c r="T308" s="53"/>
      <c r="U308" s="50"/>
      <c r="V308" s="51">
        <v>4</v>
      </c>
    </row>
    <row r="309" spans="2:24" x14ac:dyDescent="0.3">
      <c r="B309" s="341"/>
      <c r="C309" s="342"/>
      <c r="D309" s="279" t="s">
        <v>1321</v>
      </c>
      <c r="E309" s="534">
        <f>V309/2</f>
        <v>2</v>
      </c>
      <c r="F309" s="514" t="s">
        <v>185</v>
      </c>
      <c r="G309" s="172"/>
      <c r="H309" s="543"/>
      <c r="I309" s="172"/>
      <c r="J309" s="543"/>
      <c r="K309" s="328">
        <v>3</v>
      </c>
      <c r="L309" s="514" t="s">
        <v>185</v>
      </c>
      <c r="M309" s="534">
        <f>M308</f>
        <v>18</v>
      </c>
      <c r="N309" s="514" t="s">
        <v>185</v>
      </c>
      <c r="O309" s="328">
        <v>7850</v>
      </c>
      <c r="P309" s="509" t="s">
        <v>185</v>
      </c>
      <c r="Q309" s="607">
        <f>Q308</f>
        <v>2.0114285714285715E-4</v>
      </c>
      <c r="R309" s="514" t="s">
        <v>114</v>
      </c>
      <c r="S309" s="596">
        <f t="shared" si="4"/>
        <v>170.52891428571428</v>
      </c>
      <c r="T309" s="1175">
        <f>SUM(S307:S309)</f>
        <v>1132.3119908571427</v>
      </c>
      <c r="U309" s="50"/>
      <c r="V309" s="51">
        <v>4</v>
      </c>
    </row>
    <row r="310" spans="2:24" x14ac:dyDescent="0.3">
      <c r="B310" s="341"/>
      <c r="C310" s="342"/>
      <c r="D310" s="281" t="s">
        <v>1327</v>
      </c>
      <c r="E310" s="328">
        <v>4</v>
      </c>
      <c r="F310" s="509" t="s">
        <v>185</v>
      </c>
      <c r="G310" s="328"/>
      <c r="H310" s="510"/>
      <c r="I310" s="328"/>
      <c r="J310" s="510"/>
      <c r="K310" s="328">
        <v>6</v>
      </c>
      <c r="L310" s="509" t="s">
        <v>185</v>
      </c>
      <c r="M310" s="328">
        <f>K292*M292</f>
        <v>12</v>
      </c>
      <c r="N310" s="509" t="s">
        <v>185</v>
      </c>
      <c r="O310" s="328">
        <v>7850</v>
      </c>
      <c r="P310" s="509" t="s">
        <v>185</v>
      </c>
      <c r="Q310" s="1162">
        <f>22/7*0.008*0.008</f>
        <v>2.0114285714285715E-4</v>
      </c>
      <c r="R310" s="509" t="s">
        <v>114</v>
      </c>
      <c r="S310" s="596">
        <f t="shared" si="4"/>
        <v>454.74377142857145</v>
      </c>
      <c r="T310" s="53"/>
      <c r="U310" s="50"/>
      <c r="V310" s="51"/>
    </row>
    <row r="311" spans="2:24" x14ac:dyDescent="0.3">
      <c r="B311" s="341"/>
      <c r="C311" s="342"/>
      <c r="D311" s="279" t="s">
        <v>1320</v>
      </c>
      <c r="E311" s="534">
        <f>V311/2+(40*0.016*2)</f>
        <v>3.2800000000000002</v>
      </c>
      <c r="F311" s="514" t="s">
        <v>185</v>
      </c>
      <c r="G311" s="172"/>
      <c r="H311" s="543"/>
      <c r="I311" s="172"/>
      <c r="J311" s="543"/>
      <c r="K311" s="328">
        <v>3</v>
      </c>
      <c r="L311" s="514" t="s">
        <v>185</v>
      </c>
      <c r="M311" s="534">
        <f>M310</f>
        <v>12</v>
      </c>
      <c r="N311" s="514" t="s">
        <v>185</v>
      </c>
      <c r="O311" s="328">
        <v>7850</v>
      </c>
      <c r="P311" s="509" t="s">
        <v>185</v>
      </c>
      <c r="Q311" s="607">
        <f>Q310</f>
        <v>2.0114285714285715E-4</v>
      </c>
      <c r="R311" s="514" t="s">
        <v>114</v>
      </c>
      <c r="S311" s="596">
        <f t="shared" si="4"/>
        <v>186.44494628571428</v>
      </c>
      <c r="T311" s="53"/>
      <c r="U311" s="50"/>
      <c r="V311" s="51">
        <v>4</v>
      </c>
    </row>
    <row r="312" spans="2:24" x14ac:dyDescent="0.3">
      <c r="B312" s="341"/>
      <c r="C312" s="342"/>
      <c r="D312" s="279" t="s">
        <v>1321</v>
      </c>
      <c r="E312" s="534">
        <f>V312/2</f>
        <v>2</v>
      </c>
      <c r="F312" s="514" t="s">
        <v>185</v>
      </c>
      <c r="G312" s="172"/>
      <c r="H312" s="543"/>
      <c r="I312" s="172"/>
      <c r="J312" s="543"/>
      <c r="K312" s="328">
        <v>3</v>
      </c>
      <c r="L312" s="514" t="s">
        <v>185</v>
      </c>
      <c r="M312" s="534">
        <f>M311</f>
        <v>12</v>
      </c>
      <c r="N312" s="514" t="s">
        <v>185</v>
      </c>
      <c r="O312" s="328">
        <v>7850</v>
      </c>
      <c r="P312" s="509" t="s">
        <v>185</v>
      </c>
      <c r="Q312" s="607">
        <f>Q311</f>
        <v>2.0114285714285715E-4</v>
      </c>
      <c r="R312" s="514" t="s">
        <v>114</v>
      </c>
      <c r="S312" s="596">
        <f t="shared" si="4"/>
        <v>113.68594285714286</v>
      </c>
      <c r="T312" s="53"/>
      <c r="U312" s="50"/>
      <c r="V312" s="51">
        <v>4</v>
      </c>
    </row>
    <row r="313" spans="2:24" x14ac:dyDescent="0.3">
      <c r="B313" s="341"/>
      <c r="C313" s="342"/>
      <c r="D313" s="281" t="s">
        <v>1327</v>
      </c>
      <c r="E313" s="328">
        <v>4</v>
      </c>
      <c r="F313" s="509" t="s">
        <v>185</v>
      </c>
      <c r="G313" s="328"/>
      <c r="H313" s="510"/>
      <c r="I313" s="328"/>
      <c r="J313" s="510"/>
      <c r="K313" s="328">
        <v>6</v>
      </c>
      <c r="L313" s="509" t="s">
        <v>185</v>
      </c>
      <c r="M313" s="328">
        <f>K293*M293</f>
        <v>16</v>
      </c>
      <c r="N313" s="509" t="s">
        <v>185</v>
      </c>
      <c r="O313" s="328">
        <v>7850</v>
      </c>
      <c r="P313" s="509" t="s">
        <v>185</v>
      </c>
      <c r="Q313" s="1162">
        <f>22/7*0.008*0.008</f>
        <v>2.0114285714285715E-4</v>
      </c>
      <c r="R313" s="509" t="s">
        <v>114</v>
      </c>
      <c r="S313" s="596">
        <f t="shared" si="4"/>
        <v>606.32502857142856</v>
      </c>
      <c r="T313" s="53"/>
      <c r="U313" s="50"/>
      <c r="V313" s="51"/>
    </row>
    <row r="314" spans="2:24" x14ac:dyDescent="0.3">
      <c r="B314" s="341"/>
      <c r="C314" s="342"/>
      <c r="D314" s="279" t="s">
        <v>1320</v>
      </c>
      <c r="E314" s="534">
        <f>V314/2+(40*0.016*2)</f>
        <v>3.2800000000000002</v>
      </c>
      <c r="F314" s="514" t="s">
        <v>185</v>
      </c>
      <c r="G314" s="172"/>
      <c r="H314" s="543"/>
      <c r="I314" s="172"/>
      <c r="J314" s="543"/>
      <c r="K314" s="328">
        <v>3</v>
      </c>
      <c r="L314" s="514" t="s">
        <v>185</v>
      </c>
      <c r="M314" s="534">
        <f>M313</f>
        <v>16</v>
      </c>
      <c r="N314" s="514" t="s">
        <v>185</v>
      </c>
      <c r="O314" s="328">
        <v>7850</v>
      </c>
      <c r="P314" s="509" t="s">
        <v>185</v>
      </c>
      <c r="Q314" s="607">
        <f>Q313</f>
        <v>2.0114285714285715E-4</v>
      </c>
      <c r="R314" s="514" t="s">
        <v>114</v>
      </c>
      <c r="S314" s="596">
        <f t="shared" si="4"/>
        <v>248.59326171428572</v>
      </c>
      <c r="T314" s="53"/>
      <c r="U314" s="50"/>
      <c r="V314" s="51">
        <v>4</v>
      </c>
    </row>
    <row r="315" spans="2:24" x14ac:dyDescent="0.3">
      <c r="B315" s="341"/>
      <c r="C315" s="342"/>
      <c r="D315" s="279" t="s">
        <v>1321</v>
      </c>
      <c r="E315" s="534">
        <f>V315/2</f>
        <v>2</v>
      </c>
      <c r="F315" s="514" t="s">
        <v>185</v>
      </c>
      <c r="G315" s="172"/>
      <c r="H315" s="543"/>
      <c r="I315" s="172"/>
      <c r="J315" s="543"/>
      <c r="K315" s="328">
        <v>3</v>
      </c>
      <c r="L315" s="514" t="s">
        <v>185</v>
      </c>
      <c r="M315" s="534">
        <f>M314</f>
        <v>16</v>
      </c>
      <c r="N315" s="514" t="s">
        <v>185</v>
      </c>
      <c r="O315" s="328">
        <v>7850</v>
      </c>
      <c r="P315" s="509" t="s">
        <v>185</v>
      </c>
      <c r="Q315" s="607">
        <f>Q314</f>
        <v>2.0114285714285715E-4</v>
      </c>
      <c r="R315" s="514" t="s">
        <v>114</v>
      </c>
      <c r="S315" s="596">
        <f t="shared" si="4"/>
        <v>151.58125714285714</v>
      </c>
      <c r="T315" s="53"/>
      <c r="U315" s="50"/>
      <c r="V315" s="51">
        <v>4</v>
      </c>
    </row>
    <row r="316" spans="2:24" x14ac:dyDescent="0.3">
      <c r="B316" s="341"/>
      <c r="C316" s="342"/>
      <c r="D316" s="279"/>
      <c r="E316" s="534"/>
      <c r="F316" s="514"/>
      <c r="G316" s="172"/>
      <c r="H316" s="543"/>
      <c r="I316" s="172"/>
      <c r="J316" s="543"/>
      <c r="K316" s="328"/>
      <c r="L316" s="514"/>
      <c r="M316" s="534"/>
      <c r="N316" s="514"/>
      <c r="O316" s="328"/>
      <c r="P316" s="509"/>
      <c r="Q316" s="607"/>
      <c r="R316" s="514"/>
      <c r="S316" s="596"/>
      <c r="T316" s="53"/>
      <c r="U316" s="50"/>
      <c r="V316" s="51"/>
    </row>
    <row r="317" spans="2:24" x14ac:dyDescent="0.3">
      <c r="B317" s="341"/>
      <c r="C317" s="342"/>
      <c r="D317" s="281" t="s">
        <v>1328</v>
      </c>
      <c r="E317" s="328">
        <v>4</v>
      </c>
      <c r="F317" s="509" t="s">
        <v>185</v>
      </c>
      <c r="G317" s="328"/>
      <c r="H317" s="510"/>
      <c r="I317" s="328"/>
      <c r="J317" s="510"/>
      <c r="K317" s="328">
        <v>6</v>
      </c>
      <c r="L317" s="509" t="s">
        <v>185</v>
      </c>
      <c r="M317" s="328">
        <f>K294*M294</f>
        <v>10</v>
      </c>
      <c r="N317" s="509" t="s">
        <v>185</v>
      </c>
      <c r="O317" s="328">
        <v>7850</v>
      </c>
      <c r="P317" s="509" t="s">
        <v>185</v>
      </c>
      <c r="Q317" s="1162">
        <f>22/7*0.008*0.008</f>
        <v>2.0114285714285715E-4</v>
      </c>
      <c r="R317" s="509" t="s">
        <v>114</v>
      </c>
      <c r="S317" s="596">
        <f t="shared" ref="S317:S323" si="5">E317*K317*M317*O317*Q317</f>
        <v>378.95314285714284</v>
      </c>
      <c r="T317" s="53"/>
      <c r="U317" s="50"/>
      <c r="V317" s="51"/>
    </row>
    <row r="318" spans="2:24" x14ac:dyDescent="0.3">
      <c r="B318" s="341"/>
      <c r="C318" s="342"/>
      <c r="D318" s="279" t="s">
        <v>1320</v>
      </c>
      <c r="E318" s="534">
        <f>V318/2+(40*0.016*2)</f>
        <v>3.2800000000000002</v>
      </c>
      <c r="F318" s="514" t="s">
        <v>185</v>
      </c>
      <c r="G318" s="172"/>
      <c r="H318" s="543"/>
      <c r="I318" s="172"/>
      <c r="J318" s="543"/>
      <c r="K318" s="328">
        <v>3</v>
      </c>
      <c r="L318" s="514" t="s">
        <v>185</v>
      </c>
      <c r="M318" s="534">
        <f>M317</f>
        <v>10</v>
      </c>
      <c r="N318" s="514" t="s">
        <v>185</v>
      </c>
      <c r="O318" s="328">
        <v>7850</v>
      </c>
      <c r="P318" s="509" t="s">
        <v>185</v>
      </c>
      <c r="Q318" s="607">
        <f>Q317</f>
        <v>2.0114285714285715E-4</v>
      </c>
      <c r="R318" s="514" t="s">
        <v>114</v>
      </c>
      <c r="S318" s="596">
        <f t="shared" si="5"/>
        <v>155.37078857142856</v>
      </c>
      <c r="T318" s="53"/>
      <c r="U318" s="50"/>
      <c r="V318" s="51">
        <v>4</v>
      </c>
    </row>
    <row r="319" spans="2:24" x14ac:dyDescent="0.3">
      <c r="B319" s="341"/>
      <c r="C319" s="342"/>
      <c r="D319" s="279" t="s">
        <v>1321</v>
      </c>
      <c r="E319" s="534">
        <f>V319/2</f>
        <v>2</v>
      </c>
      <c r="F319" s="514" t="s">
        <v>185</v>
      </c>
      <c r="G319" s="172"/>
      <c r="H319" s="543"/>
      <c r="I319" s="172"/>
      <c r="J319" s="543"/>
      <c r="K319" s="328">
        <v>3</v>
      </c>
      <c r="L319" s="514" t="s">
        <v>185</v>
      </c>
      <c r="M319" s="534">
        <f>M318</f>
        <v>10</v>
      </c>
      <c r="N319" s="514" t="s">
        <v>185</v>
      </c>
      <c r="O319" s="328">
        <v>7850</v>
      </c>
      <c r="P319" s="509" t="s">
        <v>185</v>
      </c>
      <c r="Q319" s="607">
        <f>Q318</f>
        <v>2.0114285714285715E-4</v>
      </c>
      <c r="R319" s="514" t="s">
        <v>114</v>
      </c>
      <c r="S319" s="596">
        <f t="shared" si="5"/>
        <v>94.738285714285709</v>
      </c>
      <c r="T319" s="53"/>
      <c r="U319" s="50"/>
      <c r="V319" s="51">
        <v>4</v>
      </c>
    </row>
    <row r="320" spans="2:24" x14ac:dyDescent="0.3">
      <c r="B320" s="341"/>
      <c r="C320" s="342"/>
      <c r="D320" s="281" t="s">
        <v>1328</v>
      </c>
      <c r="E320" s="328">
        <v>4</v>
      </c>
      <c r="F320" s="509" t="s">
        <v>185</v>
      </c>
      <c r="G320" s="328"/>
      <c r="H320" s="510"/>
      <c r="I320" s="328"/>
      <c r="J320" s="510"/>
      <c r="K320" s="328">
        <v>6</v>
      </c>
      <c r="L320" s="509" t="s">
        <v>185</v>
      </c>
      <c r="M320" s="328">
        <f>K295*M295</f>
        <v>32</v>
      </c>
      <c r="N320" s="509" t="s">
        <v>185</v>
      </c>
      <c r="O320" s="328">
        <v>7850</v>
      </c>
      <c r="P320" s="509" t="s">
        <v>185</v>
      </c>
      <c r="Q320" s="1162">
        <f>22/7*0.008*0.008</f>
        <v>2.0114285714285715E-4</v>
      </c>
      <c r="R320" s="509" t="s">
        <v>114</v>
      </c>
      <c r="S320" s="596">
        <f t="shared" si="5"/>
        <v>1212.6500571428571</v>
      </c>
      <c r="T320" s="53"/>
      <c r="U320" s="50"/>
      <c r="V320" s="51"/>
    </row>
    <row r="321" spans="2:25" x14ac:dyDescent="0.3">
      <c r="B321" s="341"/>
      <c r="C321" s="342"/>
      <c r="D321" s="279" t="s">
        <v>1320</v>
      </c>
      <c r="E321" s="534">
        <f>V321/2+(40*0.016*2)</f>
        <v>3.2800000000000002</v>
      </c>
      <c r="F321" s="514" t="s">
        <v>185</v>
      </c>
      <c r="G321" s="172"/>
      <c r="H321" s="543"/>
      <c r="I321" s="172"/>
      <c r="J321" s="543"/>
      <c r="K321" s="328">
        <v>3</v>
      </c>
      <c r="L321" s="514" t="s">
        <v>185</v>
      </c>
      <c r="M321" s="534">
        <f>M320</f>
        <v>32</v>
      </c>
      <c r="N321" s="514" t="s">
        <v>185</v>
      </c>
      <c r="O321" s="328">
        <v>7850</v>
      </c>
      <c r="P321" s="509" t="s">
        <v>185</v>
      </c>
      <c r="Q321" s="607">
        <f>Q320</f>
        <v>2.0114285714285715E-4</v>
      </c>
      <c r="R321" s="514" t="s">
        <v>114</v>
      </c>
      <c r="S321" s="596">
        <f t="shared" si="5"/>
        <v>497.18652342857143</v>
      </c>
      <c r="T321" s="53"/>
      <c r="U321" s="50"/>
      <c r="V321" s="51">
        <v>4</v>
      </c>
    </row>
    <row r="322" spans="2:25" x14ac:dyDescent="0.3">
      <c r="B322" s="341"/>
      <c r="C322" s="342"/>
      <c r="D322" s="279" t="s">
        <v>1321</v>
      </c>
      <c r="E322" s="534">
        <f>V322/2</f>
        <v>2</v>
      </c>
      <c r="F322" s="514" t="s">
        <v>185</v>
      </c>
      <c r="G322" s="172"/>
      <c r="H322" s="543"/>
      <c r="I322" s="172"/>
      <c r="J322" s="543"/>
      <c r="K322" s="328">
        <v>3</v>
      </c>
      <c r="L322" s="514" t="s">
        <v>185</v>
      </c>
      <c r="M322" s="534">
        <f>M321</f>
        <v>32</v>
      </c>
      <c r="N322" s="514" t="s">
        <v>185</v>
      </c>
      <c r="O322" s="328">
        <v>7850</v>
      </c>
      <c r="P322" s="509" t="s">
        <v>185</v>
      </c>
      <c r="Q322" s="607">
        <f>Q321</f>
        <v>2.0114285714285715E-4</v>
      </c>
      <c r="R322" s="514" t="s">
        <v>114</v>
      </c>
      <c r="S322" s="596">
        <f t="shared" si="5"/>
        <v>303.16251428571428</v>
      </c>
      <c r="T322" s="53"/>
      <c r="U322" s="50"/>
      <c r="V322" s="51">
        <v>4</v>
      </c>
    </row>
    <row r="323" spans="2:25" x14ac:dyDescent="0.3">
      <c r="B323" s="341"/>
      <c r="C323" s="342"/>
      <c r="D323" s="281" t="s">
        <v>1328</v>
      </c>
      <c r="E323" s="328">
        <f>E296</f>
        <v>1.375</v>
      </c>
      <c r="F323" s="509" t="s">
        <v>185</v>
      </c>
      <c r="G323" s="328"/>
      <c r="H323" s="510"/>
      <c r="I323" s="328"/>
      <c r="J323" s="510"/>
      <c r="K323" s="328">
        <v>9</v>
      </c>
      <c r="L323" s="509" t="s">
        <v>185</v>
      </c>
      <c r="M323" s="328">
        <f>K296*M296</f>
        <v>16</v>
      </c>
      <c r="N323" s="509" t="s">
        <v>185</v>
      </c>
      <c r="O323" s="328">
        <v>7850</v>
      </c>
      <c r="P323" s="509" t="s">
        <v>185</v>
      </c>
      <c r="Q323" s="1162">
        <f>22/7*0.008*0.008</f>
        <v>2.0114285714285715E-4</v>
      </c>
      <c r="R323" s="509" t="s">
        <v>114</v>
      </c>
      <c r="S323" s="596">
        <f t="shared" si="5"/>
        <v>312.63634285714284</v>
      </c>
      <c r="T323" s="53"/>
      <c r="U323" s="50"/>
      <c r="V323" s="51"/>
    </row>
    <row r="324" spans="2:25" x14ac:dyDescent="0.3">
      <c r="B324" s="341"/>
      <c r="C324" s="342"/>
      <c r="D324" s="466"/>
      <c r="E324" s="580"/>
      <c r="F324" s="605"/>
      <c r="G324" s="580"/>
      <c r="H324" s="581"/>
      <c r="I324" s="580"/>
      <c r="J324" s="581"/>
      <c r="K324" s="580"/>
      <c r="L324" s="605"/>
      <c r="M324" s="580"/>
      <c r="N324" s="605"/>
      <c r="O324" s="580"/>
      <c r="P324" s="605"/>
      <c r="Q324" s="503"/>
      <c r="R324" s="605"/>
      <c r="S324" s="597"/>
    </row>
    <row r="325" spans="2:25" s="1" customFormat="1" ht="17.25" thickBot="1" x14ac:dyDescent="0.35">
      <c r="B325" s="59"/>
      <c r="C325" s="60"/>
      <c r="D325" s="3093" t="s">
        <v>164</v>
      </c>
      <c r="E325" s="3093"/>
      <c r="F325" s="3093"/>
      <c r="G325" s="3093"/>
      <c r="H325" s="3093"/>
      <c r="I325" s="3093"/>
      <c r="J325" s="524"/>
      <c r="K325" s="183"/>
      <c r="L325" s="532"/>
      <c r="M325" s="180"/>
      <c r="N325" s="532"/>
      <c r="O325" s="183"/>
      <c r="P325" s="532"/>
      <c r="Q325" s="183"/>
      <c r="R325" s="532"/>
      <c r="S325" s="240">
        <f>SUM(S307:S324)</f>
        <v>5848.3838537142856</v>
      </c>
      <c r="T325" s="66"/>
      <c r="U325" s="2"/>
      <c r="V325" s="43"/>
    </row>
    <row r="326" spans="2:25" x14ac:dyDescent="0.3">
      <c r="B326" s="341"/>
      <c r="C326" s="342"/>
      <c r="D326" s="343"/>
      <c r="E326" s="471"/>
      <c r="F326" s="489"/>
      <c r="G326" s="471"/>
      <c r="H326" s="489"/>
      <c r="I326" s="471"/>
      <c r="J326" s="489"/>
      <c r="K326" s="458"/>
      <c r="L326" s="487"/>
      <c r="M326" s="459"/>
      <c r="N326" s="487"/>
      <c r="O326" s="458"/>
      <c r="P326" s="487"/>
      <c r="Q326" s="458"/>
      <c r="R326" s="487"/>
      <c r="S326" s="470"/>
    </row>
    <row r="327" spans="2:25" x14ac:dyDescent="0.3">
      <c r="B327" s="341"/>
      <c r="C327" s="342"/>
      <c r="D327" s="343"/>
      <c r="E327" s="534">
        <f>36+(40*0.016*18)</f>
        <v>47.519999999999996</v>
      </c>
      <c r="F327" s="514" t="s">
        <v>185</v>
      </c>
      <c r="G327" s="172"/>
      <c r="H327" s="543"/>
      <c r="I327" s="172"/>
      <c r="J327" s="543"/>
      <c r="K327" s="328">
        <v>3</v>
      </c>
      <c r="L327" s="514" t="s">
        <v>185</v>
      </c>
      <c r="M327" s="534">
        <v>2</v>
      </c>
      <c r="N327" s="514" t="s">
        <v>185</v>
      </c>
      <c r="O327" s="328">
        <v>7850</v>
      </c>
      <c r="P327" s="509" t="s">
        <v>185</v>
      </c>
      <c r="Q327" s="607">
        <f>Q308</f>
        <v>2.0114285714285715E-4</v>
      </c>
      <c r="R327" s="514" t="s">
        <v>114</v>
      </c>
      <c r="S327" s="596">
        <f>E327*K327*M327*O327*Q327</f>
        <v>450.19633371428574</v>
      </c>
    </row>
    <row r="328" spans="2:25" x14ac:dyDescent="0.3">
      <c r="B328" s="341"/>
      <c r="C328" s="342"/>
      <c r="D328" s="343"/>
      <c r="E328" s="534">
        <f>36</f>
        <v>36</v>
      </c>
      <c r="F328" s="514" t="s">
        <v>185</v>
      </c>
      <c r="G328" s="172"/>
      <c r="H328" s="543"/>
      <c r="I328" s="172"/>
      <c r="J328" s="543"/>
      <c r="K328" s="328">
        <v>6</v>
      </c>
      <c r="L328" s="514" t="s">
        <v>185</v>
      </c>
      <c r="M328" s="534">
        <f>M327</f>
        <v>2</v>
      </c>
      <c r="N328" s="514" t="s">
        <v>185</v>
      </c>
      <c r="O328" s="328">
        <v>7850</v>
      </c>
      <c r="P328" s="509" t="s">
        <v>185</v>
      </c>
      <c r="Q328" s="607">
        <f>Q327</f>
        <v>2.0114285714285715E-4</v>
      </c>
      <c r="R328" s="514" t="s">
        <v>114</v>
      </c>
      <c r="S328" s="596">
        <f>E328*K328*M328*O328*Q328</f>
        <v>682.11565714285712</v>
      </c>
    </row>
    <row r="329" spans="2:25" x14ac:dyDescent="0.3">
      <c r="B329" s="341"/>
      <c r="C329" s="342"/>
      <c r="D329" s="343"/>
      <c r="E329" s="471"/>
      <c r="F329" s="489"/>
      <c r="G329" s="471"/>
      <c r="H329" s="489"/>
      <c r="I329" s="471"/>
      <c r="J329" s="489"/>
      <c r="K329" s="458"/>
      <c r="L329" s="487"/>
      <c r="M329" s="459"/>
      <c r="N329" s="487"/>
      <c r="O329" s="458"/>
      <c r="P329" s="487"/>
      <c r="Q329" s="458"/>
      <c r="R329" s="487"/>
      <c r="S329" s="470">
        <f>SUM(S327:S328)</f>
        <v>1132.311990857143</v>
      </c>
    </row>
    <row r="330" spans="2:25" s="1" customFormat="1" ht="17.25" thickBot="1" x14ac:dyDescent="0.35">
      <c r="B330" s="59"/>
      <c r="C330" s="60" t="str">
        <f>RAB!D67</f>
        <v>Pembesian sengkang</v>
      </c>
      <c r="D330" s="16"/>
      <c r="E330" s="216"/>
      <c r="F330" s="602"/>
      <c r="G330" s="216"/>
      <c r="H330" s="602"/>
      <c r="I330" s="216"/>
      <c r="J330" s="602"/>
      <c r="K330" s="181"/>
      <c r="L330" s="529"/>
      <c r="M330" s="182"/>
      <c r="N330" s="529"/>
      <c r="O330" s="181"/>
      <c r="P330" s="529"/>
      <c r="Q330" s="181"/>
      <c r="R330" s="529"/>
      <c r="S330" s="239"/>
      <c r="T330" s="18">
        <f>ROUNDDOWN(S336,2)</f>
        <v>2083.65</v>
      </c>
      <c r="U330" s="2" t="s">
        <v>0</v>
      </c>
      <c r="V330" s="43"/>
    </row>
    <row r="331" spans="2:25" s="1" customFormat="1" x14ac:dyDescent="0.3">
      <c r="B331" s="59"/>
      <c r="C331" s="60"/>
      <c r="D331" s="8" t="s">
        <v>95</v>
      </c>
      <c r="E331" s="155" t="s">
        <v>150</v>
      </c>
      <c r="F331" s="505"/>
      <c r="G331" s="155" t="s">
        <v>151</v>
      </c>
      <c r="H331" s="505"/>
      <c r="I331" s="155" t="s">
        <v>152</v>
      </c>
      <c r="J331" s="505"/>
      <c r="K331" s="155" t="s">
        <v>153</v>
      </c>
      <c r="L331" s="506"/>
      <c r="M331" s="164" t="s">
        <v>32</v>
      </c>
      <c r="N331" s="506"/>
      <c r="O331" s="206" t="s">
        <v>163</v>
      </c>
      <c r="P331" s="506"/>
      <c r="Q331" s="206" t="s">
        <v>151</v>
      </c>
      <c r="R331" s="506"/>
      <c r="S331" s="230" t="s">
        <v>143</v>
      </c>
      <c r="T331" s="66"/>
      <c r="U331" s="2"/>
      <c r="V331" s="43"/>
      <c r="W331" s="37"/>
      <c r="Y331" s="37"/>
    </row>
    <row r="332" spans="2:25" s="1" customFormat="1" x14ac:dyDescent="0.3">
      <c r="B332" s="59"/>
      <c r="C332" s="60"/>
      <c r="D332" s="149" t="s">
        <v>237</v>
      </c>
      <c r="E332" s="566">
        <f>(0.34+0.14)*2+ (2*6*0.01)</f>
        <v>1.08</v>
      </c>
      <c r="F332" s="567" t="s">
        <v>185</v>
      </c>
      <c r="G332" s="117"/>
      <c r="H332" s="568"/>
      <c r="I332" s="117"/>
      <c r="J332" s="568"/>
      <c r="K332" s="117">
        <f>W332</f>
        <v>33</v>
      </c>
      <c r="L332" s="567" t="s">
        <v>185</v>
      </c>
      <c r="M332" s="117">
        <f>M307+M310+M313</f>
        <v>46</v>
      </c>
      <c r="N332" s="567" t="s">
        <v>185</v>
      </c>
      <c r="O332" s="117">
        <v>7850</v>
      </c>
      <c r="P332" s="567" t="s">
        <v>185</v>
      </c>
      <c r="Q332" s="569">
        <f>22/7*0.005*0.005</f>
        <v>7.857142857142858E-5</v>
      </c>
      <c r="R332" s="570" t="s">
        <v>114</v>
      </c>
      <c r="S332" s="62">
        <f>E332*K332*M332*O332*Q332</f>
        <v>1011.1831714285715</v>
      </c>
      <c r="T332" s="66"/>
      <c r="U332" s="2"/>
      <c r="V332" s="43"/>
      <c r="W332" s="132">
        <f>4/0.125+1</f>
        <v>33</v>
      </c>
      <c r="X332" s="37"/>
      <c r="Y332" s="37"/>
    </row>
    <row r="333" spans="2:25" s="1" customFormat="1" x14ac:dyDescent="0.3">
      <c r="B333" s="59"/>
      <c r="C333" s="60"/>
      <c r="D333" s="139" t="s">
        <v>238</v>
      </c>
      <c r="E333" s="35">
        <f>E332</f>
        <v>1.08</v>
      </c>
      <c r="F333" s="571" t="s">
        <v>185</v>
      </c>
      <c r="G333" s="29"/>
      <c r="H333" s="572"/>
      <c r="I333" s="29"/>
      <c r="J333" s="572"/>
      <c r="K333" s="29">
        <f>W333</f>
        <v>33</v>
      </c>
      <c r="L333" s="571" t="s">
        <v>185</v>
      </c>
      <c r="M333" s="29">
        <f>M317+M320</f>
        <v>42</v>
      </c>
      <c r="N333" s="571" t="s">
        <v>185</v>
      </c>
      <c r="O333" s="29">
        <f>O332</f>
        <v>7850</v>
      </c>
      <c r="P333" s="571" t="s">
        <v>185</v>
      </c>
      <c r="Q333" s="573">
        <f>Q332</f>
        <v>7.857142857142858E-5</v>
      </c>
      <c r="R333" s="574" t="s">
        <v>114</v>
      </c>
      <c r="S333" s="63">
        <f>E333*K333*M333*O333*Q333</f>
        <v>923.25420000000008</v>
      </c>
      <c r="T333" s="66"/>
      <c r="U333" s="2"/>
      <c r="V333" s="43"/>
      <c r="W333" s="132">
        <f>4/0.125+1</f>
        <v>33</v>
      </c>
      <c r="X333" s="37"/>
      <c r="Y333" s="37"/>
    </row>
    <row r="334" spans="2:25" s="1" customFormat="1" x14ac:dyDescent="0.3">
      <c r="B334" s="59"/>
      <c r="C334" s="60"/>
      <c r="D334" s="659"/>
      <c r="E334" s="35">
        <f>E333</f>
        <v>1.08</v>
      </c>
      <c r="F334" s="571" t="s">
        <v>185</v>
      </c>
      <c r="G334" s="29"/>
      <c r="H334" s="572"/>
      <c r="I334" s="29"/>
      <c r="J334" s="572"/>
      <c r="K334" s="29">
        <v>14</v>
      </c>
      <c r="L334" s="571" t="s">
        <v>185</v>
      </c>
      <c r="M334" s="29">
        <f>M323</f>
        <v>16</v>
      </c>
      <c r="N334" s="571" t="s">
        <v>185</v>
      </c>
      <c r="O334" s="29">
        <f>O333</f>
        <v>7850</v>
      </c>
      <c r="P334" s="571" t="s">
        <v>185</v>
      </c>
      <c r="Q334" s="573">
        <f>Q333</f>
        <v>7.857142857142858E-5</v>
      </c>
      <c r="R334" s="574" t="s">
        <v>114</v>
      </c>
      <c r="S334" s="63">
        <f>E334*K334*M334*O334*Q334</f>
        <v>149.21280000000004</v>
      </c>
      <c r="T334" s="66"/>
      <c r="U334" s="2"/>
      <c r="V334" s="43"/>
      <c r="W334" s="132">
        <f>1.375/0.1+1</f>
        <v>14.75</v>
      </c>
      <c r="X334" s="37"/>
      <c r="Y334" s="37"/>
    </row>
    <row r="335" spans="2:25" s="1" customFormat="1" x14ac:dyDescent="0.3">
      <c r="B335" s="59"/>
      <c r="C335" s="60"/>
      <c r="D335" s="150"/>
      <c r="E335" s="592"/>
      <c r="F335" s="593"/>
      <c r="G335" s="592"/>
      <c r="H335" s="593"/>
      <c r="I335" s="592"/>
      <c r="J335" s="593"/>
      <c r="K335" s="592"/>
      <c r="L335" s="593"/>
      <c r="M335" s="592"/>
      <c r="N335" s="593"/>
      <c r="O335" s="592"/>
      <c r="P335" s="593"/>
      <c r="Q335" s="592"/>
      <c r="R335" s="593"/>
      <c r="S335" s="599"/>
      <c r="T335" s="66"/>
      <c r="U335" s="2"/>
      <c r="V335" s="43"/>
    </row>
    <row r="336" spans="2:25" s="1" customFormat="1" ht="17.25" thickBot="1" x14ac:dyDescent="0.35">
      <c r="B336" s="59"/>
      <c r="C336" s="60"/>
      <c r="D336" s="3093" t="s">
        <v>164</v>
      </c>
      <c r="E336" s="3093"/>
      <c r="F336" s="3093"/>
      <c r="G336" s="3093"/>
      <c r="H336" s="3093"/>
      <c r="I336" s="3093"/>
      <c r="J336" s="524"/>
      <c r="K336" s="183"/>
      <c r="L336" s="532"/>
      <c r="M336" s="180"/>
      <c r="N336" s="532"/>
      <c r="O336" s="183"/>
      <c r="P336" s="532"/>
      <c r="Q336" s="183"/>
      <c r="R336" s="532"/>
      <c r="S336" s="240">
        <f>SUM(S332:S335)</f>
        <v>2083.6501714285719</v>
      </c>
      <c r="T336" s="66"/>
      <c r="U336" s="2"/>
      <c r="V336" s="43"/>
    </row>
    <row r="337" spans="2:25" x14ac:dyDescent="0.3">
      <c r="B337" s="341"/>
      <c r="C337" s="342"/>
      <c r="D337" s="343"/>
      <c r="E337" s="471"/>
      <c r="F337" s="489"/>
      <c r="G337" s="471"/>
      <c r="H337" s="489"/>
      <c r="I337" s="471"/>
      <c r="J337" s="489"/>
      <c r="K337" s="458"/>
      <c r="L337" s="487"/>
      <c r="M337" s="459"/>
      <c r="N337" s="487"/>
      <c r="O337" s="458"/>
      <c r="P337" s="487"/>
      <c r="Q337" s="458"/>
      <c r="R337" s="487"/>
      <c r="S337" s="470"/>
    </row>
    <row r="338" spans="2:25" s="1" customFormat="1" ht="17.25" thickBot="1" x14ac:dyDescent="0.35">
      <c r="B338" s="59"/>
      <c r="C338" s="60" t="str">
        <f>RAB!D68</f>
        <v>Bekisting Balok</v>
      </c>
      <c r="D338" s="16"/>
      <c r="E338" s="216"/>
      <c r="F338" s="602"/>
      <c r="G338" s="216"/>
      <c r="H338" s="602"/>
      <c r="I338" s="216"/>
      <c r="J338" s="602"/>
      <c r="K338" s="181"/>
      <c r="L338" s="529"/>
      <c r="M338" s="182"/>
      <c r="N338" s="529"/>
      <c r="O338" s="181"/>
      <c r="P338" s="529"/>
      <c r="Q338" s="181"/>
      <c r="R338" s="529"/>
      <c r="S338" s="239"/>
      <c r="T338" s="18">
        <f>ROUNDDOWN(Q344,2)</f>
        <v>257.48</v>
      </c>
      <c r="U338" s="2" t="s">
        <v>2</v>
      </c>
      <c r="V338" s="43"/>
    </row>
    <row r="339" spans="2:25" s="1" customFormat="1" x14ac:dyDescent="0.3">
      <c r="B339" s="59"/>
      <c r="C339" s="60"/>
      <c r="D339" s="8" t="s">
        <v>95</v>
      </c>
      <c r="E339" s="155" t="s">
        <v>150</v>
      </c>
      <c r="F339" s="505"/>
      <c r="G339" s="155" t="s">
        <v>151</v>
      </c>
      <c r="H339" s="505"/>
      <c r="I339" s="155" t="s">
        <v>152</v>
      </c>
      <c r="J339" s="505"/>
      <c r="K339" s="155" t="s">
        <v>153</v>
      </c>
      <c r="L339" s="506"/>
      <c r="M339" s="164" t="s">
        <v>32</v>
      </c>
      <c r="N339" s="506"/>
      <c r="O339" s="206" t="s">
        <v>163</v>
      </c>
      <c r="P339" s="506"/>
      <c r="Q339" s="206" t="s">
        <v>151</v>
      </c>
      <c r="R339" s="506"/>
      <c r="S339" s="230" t="s">
        <v>143</v>
      </c>
      <c r="T339" s="66"/>
      <c r="U339" s="2"/>
      <c r="V339" s="43"/>
    </row>
    <row r="340" spans="2:25" s="1" customFormat="1" x14ac:dyDescent="0.3">
      <c r="B340" s="59"/>
      <c r="C340" s="60"/>
      <c r="D340" s="149" t="s">
        <v>156</v>
      </c>
      <c r="E340" s="609">
        <f>E291</f>
        <v>3.6</v>
      </c>
      <c r="F340" s="610" t="s">
        <v>185</v>
      </c>
      <c r="G340" s="609">
        <f>G341</f>
        <v>0.76</v>
      </c>
      <c r="H340" s="610" t="s">
        <v>185</v>
      </c>
      <c r="I340" s="609"/>
      <c r="J340" s="610"/>
      <c r="K340" s="609">
        <f>M332</f>
        <v>46</v>
      </c>
      <c r="L340" s="610"/>
      <c r="M340" s="609"/>
      <c r="N340" s="610"/>
      <c r="O340" s="609"/>
      <c r="P340" s="610" t="s">
        <v>114</v>
      </c>
      <c r="Q340" s="609">
        <f>E340*G340*K340</f>
        <v>125.85600000000001</v>
      </c>
      <c r="R340" s="610"/>
      <c r="S340" s="611"/>
      <c r="T340" s="66"/>
      <c r="U340" s="2"/>
      <c r="V340" s="43"/>
    </row>
    <row r="341" spans="2:25" s="1" customFormat="1" x14ac:dyDescent="0.3">
      <c r="B341" s="59"/>
      <c r="C341" s="60"/>
      <c r="D341" s="139" t="s">
        <v>157</v>
      </c>
      <c r="E341" s="612">
        <f>E294</f>
        <v>3.6</v>
      </c>
      <c r="F341" s="613" t="s">
        <v>185</v>
      </c>
      <c r="G341" s="612">
        <f>(2*I294)+G294</f>
        <v>0.76</v>
      </c>
      <c r="H341" s="613" t="s">
        <v>185</v>
      </c>
      <c r="I341" s="612"/>
      <c r="J341" s="613"/>
      <c r="K341" s="612">
        <f>M333</f>
        <v>42</v>
      </c>
      <c r="L341" s="613"/>
      <c r="M341" s="612"/>
      <c r="N341" s="613"/>
      <c r="O341" s="612"/>
      <c r="P341" s="613" t="s">
        <v>114</v>
      </c>
      <c r="Q341" s="612">
        <f>E341*G341*K341</f>
        <v>114.91200000000001</v>
      </c>
      <c r="R341" s="613"/>
      <c r="S341" s="614"/>
      <c r="T341" s="66"/>
      <c r="U341" s="2"/>
      <c r="V341" s="43"/>
      <c r="X341" s="37"/>
      <c r="Y341" s="37"/>
    </row>
    <row r="342" spans="2:25" s="1" customFormat="1" x14ac:dyDescent="0.3">
      <c r="B342" s="59"/>
      <c r="C342" s="60"/>
      <c r="D342" s="659"/>
      <c r="E342" s="612">
        <f>E323</f>
        <v>1.375</v>
      </c>
      <c r="F342" s="613" t="s">
        <v>185</v>
      </c>
      <c r="G342" s="612">
        <f>(2*I295)+G295</f>
        <v>0.76</v>
      </c>
      <c r="H342" s="613" t="s">
        <v>185</v>
      </c>
      <c r="I342" s="612"/>
      <c r="J342" s="613"/>
      <c r="K342" s="612">
        <f>M334</f>
        <v>16</v>
      </c>
      <c r="L342" s="613"/>
      <c r="M342" s="612"/>
      <c r="N342" s="613"/>
      <c r="O342" s="612"/>
      <c r="P342" s="613" t="s">
        <v>114</v>
      </c>
      <c r="Q342" s="612">
        <f>E342*G342*K342</f>
        <v>16.72</v>
      </c>
      <c r="R342" s="660"/>
      <c r="S342" s="661"/>
      <c r="T342" s="66"/>
      <c r="U342" s="2"/>
      <c r="V342" s="43"/>
      <c r="X342" s="37"/>
      <c r="Y342" s="37"/>
    </row>
    <row r="343" spans="2:25" s="1" customFormat="1" x14ac:dyDescent="0.3">
      <c r="B343" s="59"/>
      <c r="C343" s="60"/>
      <c r="D343" s="150"/>
      <c r="E343" s="615"/>
      <c r="F343" s="616"/>
      <c r="G343" s="615"/>
      <c r="H343" s="616"/>
      <c r="I343" s="615"/>
      <c r="J343" s="616"/>
      <c r="K343" s="615"/>
      <c r="L343" s="616"/>
      <c r="M343" s="615"/>
      <c r="N343" s="616"/>
      <c r="O343" s="615"/>
      <c r="P343" s="616"/>
      <c r="Q343" s="615"/>
      <c r="R343" s="616"/>
      <c r="S343" s="617"/>
      <c r="T343" s="66"/>
      <c r="U343" s="2"/>
      <c r="V343" s="43"/>
    </row>
    <row r="344" spans="2:25" s="1" customFormat="1" ht="17.25" thickBot="1" x14ac:dyDescent="0.35">
      <c r="B344" s="59"/>
      <c r="C344" s="60"/>
      <c r="D344" s="3093" t="s">
        <v>164</v>
      </c>
      <c r="E344" s="3093"/>
      <c r="F344" s="3093"/>
      <c r="G344" s="3093"/>
      <c r="H344" s="3093"/>
      <c r="I344" s="3093"/>
      <c r="J344" s="524"/>
      <c r="K344" s="183"/>
      <c r="L344" s="532"/>
      <c r="M344" s="180"/>
      <c r="N344" s="532"/>
      <c r="O344" s="183"/>
      <c r="P344" s="532"/>
      <c r="Q344" s="1160">
        <f>SUM(Q340:Q343)</f>
        <v>257.48800000000006</v>
      </c>
      <c r="R344" s="532"/>
      <c r="S344" s="240"/>
      <c r="T344" s="66"/>
      <c r="U344" s="2"/>
      <c r="V344" s="43"/>
    </row>
    <row r="345" spans="2:25" s="1" customFormat="1" x14ac:dyDescent="0.3">
      <c r="B345" s="59"/>
      <c r="C345" s="60"/>
      <c r="D345" s="38"/>
      <c r="E345" s="38"/>
      <c r="F345" s="38"/>
      <c r="G345" s="38"/>
      <c r="H345" s="38"/>
      <c r="I345" s="38"/>
      <c r="J345" s="551"/>
      <c r="K345" s="181"/>
      <c r="L345" s="529"/>
      <c r="M345" s="182"/>
      <c r="N345" s="529"/>
      <c r="O345" s="181"/>
      <c r="P345" s="529"/>
      <c r="Q345" s="121"/>
      <c r="R345" s="529"/>
      <c r="S345" s="239"/>
      <c r="T345" s="66"/>
      <c r="U345" s="2"/>
      <c r="V345" s="43"/>
    </row>
    <row r="346" spans="2:25" s="1" customFormat="1" x14ac:dyDescent="0.3">
      <c r="B346" s="1170">
        <f>RAB!B69</f>
        <v>10</v>
      </c>
      <c r="C346" s="60" t="str">
        <f>RAB!C69</f>
        <v>Balok 15x30 Cm (B3)</v>
      </c>
      <c r="D346" s="38"/>
      <c r="E346" s="38"/>
      <c r="F346" s="38"/>
      <c r="G346" s="38"/>
      <c r="H346" s="38"/>
      <c r="I346" s="38"/>
      <c r="J346" s="551"/>
      <c r="K346" s="181"/>
      <c r="L346" s="529"/>
      <c r="M346" s="182"/>
      <c r="N346" s="529"/>
      <c r="O346" s="181"/>
      <c r="P346" s="529"/>
      <c r="Q346" s="121"/>
      <c r="R346" s="529"/>
      <c r="S346" s="239"/>
      <c r="T346" s="66"/>
      <c r="U346" s="2"/>
      <c r="V346" s="43"/>
    </row>
    <row r="347" spans="2:25" s="1" customFormat="1" ht="17.25" thickBot="1" x14ac:dyDescent="0.35">
      <c r="B347" s="59"/>
      <c r="C347" s="60" t="str">
        <f>RAB!D70</f>
        <v xml:space="preserve">Beton mutu f'c=26,4 Mpa </v>
      </c>
      <c r="D347" s="38"/>
      <c r="E347" s="38"/>
      <c r="F347" s="38"/>
      <c r="G347" s="38"/>
      <c r="H347" s="38"/>
      <c r="I347" s="38"/>
      <c r="J347" s="551"/>
      <c r="K347" s="181"/>
      <c r="L347" s="529"/>
      <c r="M347" s="182"/>
      <c r="N347" s="529"/>
      <c r="O347" s="181"/>
      <c r="P347" s="529"/>
      <c r="Q347" s="121"/>
      <c r="R347" s="529"/>
      <c r="S347" s="239"/>
      <c r="T347" s="18">
        <f>ROUNDDOWN(S358,2)</f>
        <v>4.08</v>
      </c>
      <c r="U347" s="2" t="s">
        <v>3</v>
      </c>
      <c r="V347" s="43"/>
    </row>
    <row r="348" spans="2:25" s="1" customFormat="1" x14ac:dyDescent="0.3">
      <c r="B348" s="59"/>
      <c r="C348" s="60"/>
      <c r="D348" s="8" t="s">
        <v>95</v>
      </c>
      <c r="E348" s="155" t="s">
        <v>150</v>
      </c>
      <c r="F348" s="505"/>
      <c r="G348" s="155" t="s">
        <v>151</v>
      </c>
      <c r="H348" s="505"/>
      <c r="I348" s="155" t="s">
        <v>152</v>
      </c>
      <c r="J348" s="505"/>
      <c r="K348" s="155" t="s">
        <v>153</v>
      </c>
      <c r="L348" s="506"/>
      <c r="M348" s="164" t="s">
        <v>32</v>
      </c>
      <c r="N348" s="506"/>
      <c r="O348" s="206" t="s">
        <v>163</v>
      </c>
      <c r="P348" s="506"/>
      <c r="Q348" s="206" t="s">
        <v>151</v>
      </c>
      <c r="R348" s="506"/>
      <c r="S348" s="230" t="s">
        <v>143</v>
      </c>
      <c r="T348" s="66"/>
      <c r="U348" s="2"/>
      <c r="V348" s="43"/>
    </row>
    <row r="349" spans="2:25" s="1" customFormat="1" x14ac:dyDescent="0.3">
      <c r="B349" s="59"/>
      <c r="C349" s="60"/>
      <c r="D349" s="274" t="s">
        <v>156</v>
      </c>
      <c r="E349" s="331">
        <f>4-(0.2*1)</f>
        <v>3.8</v>
      </c>
      <c r="F349" s="594" t="s">
        <v>185</v>
      </c>
      <c r="G349" s="578">
        <v>0.15</v>
      </c>
      <c r="H349" s="604" t="s">
        <v>185</v>
      </c>
      <c r="I349" s="578">
        <f>0.3-0.12</f>
        <v>0.18</v>
      </c>
      <c r="J349" s="594" t="s">
        <v>185</v>
      </c>
      <c r="K349" s="578">
        <v>4</v>
      </c>
      <c r="L349" s="594" t="s">
        <v>185</v>
      </c>
      <c r="M349" s="578">
        <v>4</v>
      </c>
      <c r="N349" s="594"/>
      <c r="O349" s="578"/>
      <c r="P349" s="594"/>
      <c r="Q349" s="578"/>
      <c r="R349" s="594" t="s">
        <v>114</v>
      </c>
      <c r="S349" s="595">
        <f>E349*G349*I349*K349*M349</f>
        <v>1.6415999999999997</v>
      </c>
      <c r="T349" s="66"/>
      <c r="U349" s="2"/>
      <c r="V349" s="43"/>
    </row>
    <row r="350" spans="2:25" s="1" customFormat="1" x14ac:dyDescent="0.3">
      <c r="B350" s="59"/>
      <c r="C350" s="60"/>
      <c r="D350" s="151" t="s">
        <v>157</v>
      </c>
      <c r="E350" s="1161">
        <f>4-(0.2*1)</f>
        <v>3.8</v>
      </c>
      <c r="F350" s="509" t="s">
        <v>185</v>
      </c>
      <c r="G350" s="328">
        <v>0.15</v>
      </c>
      <c r="H350" s="510" t="s">
        <v>185</v>
      </c>
      <c r="I350" s="328">
        <f>0.3-0.12</f>
        <v>0.18</v>
      </c>
      <c r="J350" s="509" t="s">
        <v>185</v>
      </c>
      <c r="K350" s="328">
        <v>6</v>
      </c>
      <c r="L350" s="509" t="s">
        <v>185</v>
      </c>
      <c r="M350" s="328">
        <v>4</v>
      </c>
      <c r="N350" s="509"/>
      <c r="O350" s="328"/>
      <c r="P350" s="509"/>
      <c r="Q350" s="328"/>
      <c r="R350" s="509" t="s">
        <v>114</v>
      </c>
      <c r="S350" s="596">
        <f>E350*G350*I350*K350*M350</f>
        <v>2.4623999999999997</v>
      </c>
      <c r="T350" s="66"/>
      <c r="U350" s="2"/>
      <c r="V350" s="43"/>
    </row>
    <row r="351" spans="2:25" s="1" customFormat="1" x14ac:dyDescent="0.3">
      <c r="B351" s="59"/>
      <c r="C351" s="60"/>
      <c r="D351" s="1178"/>
      <c r="E351" s="1161">
        <f>2-(0.2*1)</f>
        <v>1.8</v>
      </c>
      <c r="F351" s="509" t="s">
        <v>185</v>
      </c>
      <c r="G351" s="328">
        <v>0.15</v>
      </c>
      <c r="H351" s="510" t="s">
        <v>185</v>
      </c>
      <c r="I351" s="328">
        <f>0.3-0.12</f>
        <v>0.18</v>
      </c>
      <c r="J351" s="509" t="s">
        <v>185</v>
      </c>
      <c r="K351" s="328">
        <v>1</v>
      </c>
      <c r="L351" s="509" t="s">
        <v>185</v>
      </c>
      <c r="M351" s="328">
        <v>4</v>
      </c>
      <c r="N351" s="509"/>
      <c r="O351" s="328"/>
      <c r="P351" s="509"/>
      <c r="Q351" s="328"/>
      <c r="R351" s="509" t="s">
        <v>114</v>
      </c>
      <c r="S351" s="596">
        <f>E351*G351*I351*K351*M351</f>
        <v>0.19440000000000002</v>
      </c>
      <c r="T351" s="66"/>
      <c r="U351" s="2"/>
      <c r="V351" s="43"/>
    </row>
    <row r="352" spans="2:25" s="1" customFormat="1" x14ac:dyDescent="0.3">
      <c r="B352" s="59"/>
      <c r="C352" s="60"/>
      <c r="D352" s="1178"/>
      <c r="E352" s="1161"/>
      <c r="F352" s="509"/>
      <c r="G352" s="328"/>
      <c r="H352" s="510"/>
      <c r="I352" s="328"/>
      <c r="J352" s="509"/>
      <c r="K352" s="328"/>
      <c r="L352" s="509"/>
      <c r="M352" s="328"/>
      <c r="N352" s="509"/>
      <c r="O352" s="328"/>
      <c r="P352" s="509"/>
      <c r="Q352" s="328"/>
      <c r="R352" s="509"/>
      <c r="S352" s="1176">
        <f>SUM(S349:S351)</f>
        <v>4.2983999999999991</v>
      </c>
      <c r="T352" s="66"/>
      <c r="U352" s="2"/>
      <c r="V352" s="43"/>
    </row>
    <row r="353" spans="2:23" x14ac:dyDescent="0.3">
      <c r="B353" s="341"/>
      <c r="C353" s="342"/>
      <c r="D353" s="138" t="s">
        <v>244</v>
      </c>
      <c r="E353" s="328"/>
      <c r="F353" s="509"/>
      <c r="G353" s="328"/>
      <c r="H353" s="509"/>
      <c r="I353" s="328"/>
      <c r="J353" s="509"/>
      <c r="K353" s="328"/>
      <c r="L353" s="509"/>
      <c r="M353" s="328"/>
      <c r="N353" s="509"/>
      <c r="O353" s="328"/>
      <c r="P353" s="517"/>
      <c r="Q353" s="328"/>
      <c r="R353" s="517"/>
      <c r="S353" s="519"/>
    </row>
    <row r="354" spans="2:23" x14ac:dyDescent="0.3">
      <c r="B354" s="341"/>
      <c r="C354" s="342"/>
      <c r="D354" s="140" t="s">
        <v>733</v>
      </c>
      <c r="E354" s="328"/>
      <c r="F354" s="509"/>
      <c r="G354" s="328"/>
      <c r="H354" s="509"/>
      <c r="I354" s="328"/>
      <c r="J354" s="509"/>
      <c r="K354" s="328">
        <f>S371</f>
        <v>918.95150285714271</v>
      </c>
      <c r="L354" s="517" t="s">
        <v>253</v>
      </c>
      <c r="M354" s="328"/>
      <c r="N354" s="517"/>
      <c r="O354" s="328">
        <v>7850</v>
      </c>
      <c r="P354" s="517"/>
      <c r="Q354" s="328"/>
      <c r="R354" s="517" t="s">
        <v>149</v>
      </c>
      <c r="S354" s="519">
        <f>K354/O354</f>
        <v>0.11706388571428569</v>
      </c>
    </row>
    <row r="355" spans="2:23" s="1" customFormat="1" x14ac:dyDescent="0.3">
      <c r="B355" s="59"/>
      <c r="C355" s="60"/>
      <c r="D355" s="140" t="s">
        <v>734</v>
      </c>
      <c r="E355" s="328"/>
      <c r="F355" s="509"/>
      <c r="G355" s="328"/>
      <c r="H355" s="509"/>
      <c r="I355" s="328"/>
      <c r="J355" s="509"/>
      <c r="K355" s="328">
        <f>S379</f>
        <v>740.34022857142872</v>
      </c>
      <c r="L355" s="517" t="s">
        <v>253</v>
      </c>
      <c r="M355" s="328"/>
      <c r="N355" s="517"/>
      <c r="O355" s="328">
        <f>O354</f>
        <v>7850</v>
      </c>
      <c r="P355" s="517"/>
      <c r="Q355" s="328"/>
      <c r="R355" s="517" t="s">
        <v>149</v>
      </c>
      <c r="S355" s="519">
        <f>K355/O355</f>
        <v>9.4310857142857168E-2</v>
      </c>
      <c r="T355" s="66"/>
      <c r="U355" s="2"/>
      <c r="V355" s="43"/>
    </row>
    <row r="356" spans="2:23" s="1" customFormat="1" x14ac:dyDescent="0.3">
      <c r="B356" s="59"/>
      <c r="C356" s="60"/>
      <c r="D356" s="555"/>
      <c r="E356" s="554"/>
      <c r="F356" s="556"/>
      <c r="G356" s="554"/>
      <c r="H356" s="556"/>
      <c r="I356" s="554"/>
      <c r="J356" s="556"/>
      <c r="K356" s="554"/>
      <c r="L356" s="526"/>
      <c r="M356" s="554"/>
      <c r="N356" s="526"/>
      <c r="O356" s="554"/>
      <c r="P356" s="526"/>
      <c r="Q356" s="554"/>
      <c r="R356" s="526"/>
      <c r="S356" s="1177">
        <f>SUM(S354:S355)</f>
        <v>0.21137474285714286</v>
      </c>
      <c r="T356" s="66"/>
      <c r="U356" s="2"/>
      <c r="V356" s="43"/>
    </row>
    <row r="357" spans="2:23" x14ac:dyDescent="0.3">
      <c r="B357" s="341"/>
      <c r="C357" s="342"/>
      <c r="D357" s="466"/>
      <c r="E357" s="580"/>
      <c r="F357" s="581"/>
      <c r="G357" s="580"/>
      <c r="H357" s="581"/>
      <c r="I357" s="580"/>
      <c r="J357" s="581"/>
      <c r="K357" s="580"/>
      <c r="L357" s="581"/>
      <c r="M357" s="503"/>
      <c r="N357" s="581"/>
      <c r="O357" s="580"/>
      <c r="P357" s="581"/>
      <c r="Q357" s="580"/>
      <c r="R357" s="581"/>
      <c r="S357" s="550"/>
    </row>
    <row r="358" spans="2:23" s="1" customFormat="1" ht="17.25" thickBot="1" x14ac:dyDescent="0.35">
      <c r="B358" s="59"/>
      <c r="C358" s="60"/>
      <c r="D358" s="3093" t="s">
        <v>164</v>
      </c>
      <c r="E358" s="3093"/>
      <c r="F358" s="3093"/>
      <c r="G358" s="3093"/>
      <c r="H358" s="3093"/>
      <c r="I358" s="3093"/>
      <c r="J358" s="524"/>
      <c r="K358" s="183"/>
      <c r="L358" s="532"/>
      <c r="M358" s="180"/>
      <c r="N358" s="532"/>
      <c r="O358" s="183"/>
      <c r="P358" s="532"/>
      <c r="Q358" s="183"/>
      <c r="R358" s="532"/>
      <c r="S358" s="240">
        <f>S352-S356</f>
        <v>4.087025257142856</v>
      </c>
      <c r="T358" s="66"/>
      <c r="U358" s="2"/>
      <c r="V358" s="43"/>
    </row>
    <row r="359" spans="2:23" s="1" customFormat="1" x14ac:dyDescent="0.3">
      <c r="B359" s="59"/>
      <c r="C359" s="60"/>
      <c r="D359" s="38"/>
      <c r="E359" s="38"/>
      <c r="F359" s="38"/>
      <c r="G359" s="38"/>
      <c r="H359" s="38"/>
      <c r="I359" s="38"/>
      <c r="J359" s="551"/>
      <c r="K359" s="181"/>
      <c r="L359" s="529"/>
      <c r="M359" s="182"/>
      <c r="N359" s="529"/>
      <c r="O359" s="181"/>
      <c r="P359" s="529"/>
      <c r="Q359" s="181"/>
      <c r="R359" s="529"/>
      <c r="S359" s="239"/>
      <c r="T359" s="66"/>
      <c r="U359" s="2"/>
      <c r="V359" s="43"/>
    </row>
    <row r="360" spans="2:23" s="1" customFormat="1" ht="17.25" thickBot="1" x14ac:dyDescent="0.35">
      <c r="B360" s="59"/>
      <c r="C360" s="60" t="str">
        <f>RAB!D71</f>
        <v>Pembesian Ulir</v>
      </c>
      <c r="D360" s="38"/>
      <c r="E360" s="38"/>
      <c r="F360" s="38"/>
      <c r="G360" s="38"/>
      <c r="H360" s="38"/>
      <c r="I360" s="38"/>
      <c r="J360" s="551"/>
      <c r="K360" s="181"/>
      <c r="L360" s="529"/>
      <c r="M360" s="182"/>
      <c r="N360" s="529"/>
      <c r="O360" s="181"/>
      <c r="P360" s="529"/>
      <c r="Q360" s="121"/>
      <c r="R360" s="529"/>
      <c r="S360" s="239"/>
      <c r="T360" s="18">
        <f>ROUNDDOWN(S371,2)</f>
        <v>918.95</v>
      </c>
      <c r="U360" s="2" t="s">
        <v>0</v>
      </c>
      <c r="V360" s="43"/>
    </row>
    <row r="361" spans="2:23" s="1" customFormat="1" x14ac:dyDescent="0.3">
      <c r="B361" s="59"/>
      <c r="C361" s="60"/>
      <c r="D361" s="8" t="s">
        <v>95</v>
      </c>
      <c r="E361" s="155" t="s">
        <v>150</v>
      </c>
      <c r="F361" s="505"/>
      <c r="G361" s="155" t="s">
        <v>151</v>
      </c>
      <c r="H361" s="505"/>
      <c r="I361" s="155" t="s">
        <v>152</v>
      </c>
      <c r="J361" s="505"/>
      <c r="K361" s="155" t="s">
        <v>153</v>
      </c>
      <c r="L361" s="506"/>
      <c r="M361" s="164" t="s">
        <v>32</v>
      </c>
      <c r="N361" s="506"/>
      <c r="O361" s="206" t="s">
        <v>163</v>
      </c>
      <c r="P361" s="506"/>
      <c r="Q361" s="206" t="s">
        <v>151</v>
      </c>
      <c r="R361" s="506"/>
      <c r="S361" s="230" t="s">
        <v>143</v>
      </c>
      <c r="T361" s="66"/>
      <c r="U361" s="2"/>
      <c r="V361" s="43"/>
      <c r="W361" s="325"/>
    </row>
    <row r="362" spans="2:23" x14ac:dyDescent="0.3">
      <c r="B362" s="341"/>
      <c r="C362" s="342"/>
      <c r="D362" s="277" t="s">
        <v>1329</v>
      </c>
      <c r="E362" s="331"/>
      <c r="F362" s="565"/>
      <c r="G362" s="331"/>
      <c r="H362" s="575"/>
      <c r="I362" s="331"/>
      <c r="J362" s="575"/>
      <c r="K362" s="331"/>
      <c r="L362" s="565"/>
      <c r="M362" s="331"/>
      <c r="N362" s="565"/>
      <c r="O362" s="331"/>
      <c r="P362" s="565"/>
      <c r="Q362" s="606"/>
      <c r="R362" s="565"/>
      <c r="S362" s="577"/>
    </row>
    <row r="363" spans="2:23" x14ac:dyDescent="0.3">
      <c r="B363" s="341"/>
      <c r="C363" s="342"/>
      <c r="D363" s="279" t="s">
        <v>615</v>
      </c>
      <c r="E363" s="534">
        <f>16+(40*0.013*8)</f>
        <v>20.16</v>
      </c>
      <c r="F363" s="509" t="s">
        <v>185</v>
      </c>
      <c r="G363" s="328"/>
      <c r="H363" s="510"/>
      <c r="I363" s="328"/>
      <c r="J363" s="510"/>
      <c r="K363" s="328">
        <v>1</v>
      </c>
      <c r="L363" s="509" t="s">
        <v>185</v>
      </c>
      <c r="M363" s="328">
        <f>M349</f>
        <v>4</v>
      </c>
      <c r="N363" s="509" t="s">
        <v>185</v>
      </c>
      <c r="O363" s="328">
        <v>7850</v>
      </c>
      <c r="P363" s="509" t="s">
        <v>185</v>
      </c>
      <c r="Q363" s="1162">
        <f>22/7*0.0065*0.0065</f>
        <v>1.3278571428571427E-4</v>
      </c>
      <c r="R363" s="509" t="s">
        <v>114</v>
      </c>
      <c r="S363" s="596">
        <f>E363*K363*M363*O363*Q363</f>
        <v>84.056543999999988</v>
      </c>
    </row>
    <row r="364" spans="2:23" x14ac:dyDescent="0.3">
      <c r="B364" s="341"/>
      <c r="C364" s="342"/>
      <c r="D364" s="279" t="s">
        <v>616</v>
      </c>
      <c r="E364" s="328">
        <v>16</v>
      </c>
      <c r="F364" s="509" t="s">
        <v>185</v>
      </c>
      <c r="G364" s="328"/>
      <c r="H364" s="510"/>
      <c r="I364" s="328"/>
      <c r="J364" s="510"/>
      <c r="K364" s="328">
        <v>4</v>
      </c>
      <c r="L364" s="509" t="s">
        <v>185</v>
      </c>
      <c r="M364" s="328">
        <f>M350</f>
        <v>4</v>
      </c>
      <c r="N364" s="509" t="s">
        <v>185</v>
      </c>
      <c r="O364" s="328">
        <v>7850</v>
      </c>
      <c r="P364" s="509" t="s">
        <v>185</v>
      </c>
      <c r="Q364" s="1162">
        <f>22/7*0.0065*0.0065</f>
        <v>1.3278571428571427E-4</v>
      </c>
      <c r="R364" s="509" t="s">
        <v>114</v>
      </c>
      <c r="S364" s="596">
        <f>E364*K364*M364*O364*Q364</f>
        <v>266.84617142857138</v>
      </c>
    </row>
    <row r="365" spans="2:23" x14ac:dyDescent="0.3">
      <c r="B365" s="341"/>
      <c r="C365" s="342"/>
      <c r="D365" s="279"/>
      <c r="E365" s="328"/>
      <c r="F365" s="509"/>
      <c r="G365" s="328"/>
      <c r="H365" s="510"/>
      <c r="I365" s="328"/>
      <c r="J365" s="510"/>
      <c r="K365" s="328"/>
      <c r="L365" s="509"/>
      <c r="M365" s="328"/>
      <c r="N365" s="509"/>
      <c r="O365" s="328"/>
      <c r="P365" s="509"/>
      <c r="Q365" s="607"/>
      <c r="R365" s="509"/>
      <c r="S365" s="596"/>
    </row>
    <row r="366" spans="2:23" x14ac:dyDescent="0.3">
      <c r="B366" s="341"/>
      <c r="C366" s="342"/>
      <c r="D366" s="281" t="s">
        <v>1330</v>
      </c>
      <c r="E366" s="1161"/>
      <c r="F366" s="518"/>
      <c r="G366" s="1161"/>
      <c r="H366" s="517"/>
      <c r="I366" s="1161"/>
      <c r="J366" s="517"/>
      <c r="K366" s="1161"/>
      <c r="L366" s="518"/>
      <c r="M366" s="1161"/>
      <c r="N366" s="518"/>
      <c r="O366" s="1161"/>
      <c r="P366" s="518"/>
      <c r="Q366" s="608"/>
      <c r="R366" s="518"/>
      <c r="S366" s="519"/>
    </row>
    <row r="367" spans="2:23" x14ac:dyDescent="0.3">
      <c r="B367" s="341"/>
      <c r="C367" s="342"/>
      <c r="D367" s="279" t="s">
        <v>615</v>
      </c>
      <c r="E367" s="534">
        <f>(8*3)+(40*0.013*12)</f>
        <v>30.240000000000002</v>
      </c>
      <c r="F367" s="509" t="s">
        <v>185</v>
      </c>
      <c r="G367" s="328"/>
      <c r="H367" s="510"/>
      <c r="I367" s="328"/>
      <c r="J367" s="510"/>
      <c r="K367" s="328">
        <v>1</v>
      </c>
      <c r="L367" s="509" t="s">
        <v>185</v>
      </c>
      <c r="M367" s="328">
        <f>M350</f>
        <v>4</v>
      </c>
      <c r="N367" s="509" t="s">
        <v>185</v>
      </c>
      <c r="O367" s="328">
        <v>7850</v>
      </c>
      <c r="P367" s="509" t="s">
        <v>185</v>
      </c>
      <c r="Q367" s="1162">
        <f>22/7*0.0065*0.0065</f>
        <v>1.3278571428571427E-4</v>
      </c>
      <c r="R367" s="509" t="s">
        <v>114</v>
      </c>
      <c r="S367" s="596">
        <f>E367*K367*M367*O367*Q367</f>
        <v>126.084816</v>
      </c>
    </row>
    <row r="368" spans="2:23" x14ac:dyDescent="0.3">
      <c r="B368" s="341"/>
      <c r="C368" s="342"/>
      <c r="D368" s="279" t="s">
        <v>616</v>
      </c>
      <c r="E368" s="534">
        <f>(8*3)</f>
        <v>24</v>
      </c>
      <c r="F368" s="509" t="s">
        <v>185</v>
      </c>
      <c r="G368" s="328"/>
      <c r="H368" s="510"/>
      <c r="I368" s="328"/>
      <c r="J368" s="510"/>
      <c r="K368" s="328">
        <v>4</v>
      </c>
      <c r="L368" s="509" t="s">
        <v>185</v>
      </c>
      <c r="M368" s="328">
        <f>M367</f>
        <v>4</v>
      </c>
      <c r="N368" s="509" t="s">
        <v>185</v>
      </c>
      <c r="O368" s="328">
        <v>7850</v>
      </c>
      <c r="P368" s="509" t="s">
        <v>185</v>
      </c>
      <c r="Q368" s="1162">
        <f>22/7*0.0065*0.0065</f>
        <v>1.3278571428571427E-4</v>
      </c>
      <c r="R368" s="509" t="s">
        <v>114</v>
      </c>
      <c r="S368" s="596">
        <f>E368*K368*M368*O368*Q368</f>
        <v>400.2692571428571</v>
      </c>
    </row>
    <row r="369" spans="2:25" x14ac:dyDescent="0.3">
      <c r="B369" s="341"/>
      <c r="C369" s="342"/>
      <c r="D369" s="281" t="s">
        <v>1330</v>
      </c>
      <c r="E369" s="534">
        <f>2</f>
        <v>2</v>
      </c>
      <c r="F369" s="509" t="s">
        <v>185</v>
      </c>
      <c r="G369" s="328"/>
      <c r="H369" s="510"/>
      <c r="I369" s="328"/>
      <c r="J369" s="510"/>
      <c r="K369" s="328">
        <v>5</v>
      </c>
      <c r="L369" s="509" t="s">
        <v>185</v>
      </c>
      <c r="M369" s="328">
        <f>M351</f>
        <v>4</v>
      </c>
      <c r="N369" s="509" t="s">
        <v>185</v>
      </c>
      <c r="O369" s="328">
        <v>7850</v>
      </c>
      <c r="P369" s="509" t="s">
        <v>185</v>
      </c>
      <c r="Q369" s="1162">
        <f>22/7*0.0065*0.0065</f>
        <v>1.3278571428571427E-4</v>
      </c>
      <c r="R369" s="509" t="s">
        <v>114</v>
      </c>
      <c r="S369" s="596">
        <f>E369*K369*M369*O369*Q369</f>
        <v>41.694714285714284</v>
      </c>
    </row>
    <row r="370" spans="2:25" x14ac:dyDescent="0.3">
      <c r="B370" s="341"/>
      <c r="C370" s="342"/>
      <c r="D370" s="466"/>
      <c r="E370" s="580"/>
      <c r="F370" s="605"/>
      <c r="G370" s="580"/>
      <c r="H370" s="581"/>
      <c r="I370" s="580"/>
      <c r="J370" s="581"/>
      <c r="K370" s="580"/>
      <c r="L370" s="605"/>
      <c r="M370" s="580"/>
      <c r="N370" s="605"/>
      <c r="O370" s="580"/>
      <c r="P370" s="605"/>
      <c r="Q370" s="503"/>
      <c r="R370" s="605"/>
      <c r="S370" s="597"/>
    </row>
    <row r="371" spans="2:25" s="1" customFormat="1" ht="17.25" thickBot="1" x14ac:dyDescent="0.35">
      <c r="B371" s="59"/>
      <c r="C371" s="60"/>
      <c r="D371" s="3093" t="s">
        <v>164</v>
      </c>
      <c r="E371" s="3093"/>
      <c r="F371" s="3093"/>
      <c r="G371" s="3093"/>
      <c r="H371" s="3093"/>
      <c r="I371" s="3093"/>
      <c r="J371" s="524"/>
      <c r="K371" s="183"/>
      <c r="L371" s="532"/>
      <c r="M371" s="180"/>
      <c r="N371" s="532"/>
      <c r="O371" s="183"/>
      <c r="P371" s="532"/>
      <c r="Q371" s="183"/>
      <c r="R371" s="532"/>
      <c r="S371" s="240">
        <f>SUM(S362:S370)</f>
        <v>918.95150285714271</v>
      </c>
      <c r="T371" s="66"/>
      <c r="U371" s="2"/>
      <c r="V371" s="43"/>
    </row>
    <row r="372" spans="2:25" x14ac:dyDescent="0.3">
      <c r="B372" s="341"/>
      <c r="C372" s="342"/>
      <c r="D372" s="343"/>
      <c r="E372" s="471"/>
      <c r="F372" s="489"/>
      <c r="G372" s="471"/>
      <c r="H372" s="489"/>
      <c r="I372" s="471"/>
      <c r="J372" s="489"/>
      <c r="K372" s="458"/>
      <c r="L372" s="487"/>
      <c r="M372" s="459"/>
      <c r="N372" s="487"/>
      <c r="O372" s="458"/>
      <c r="P372" s="487"/>
      <c r="Q372" s="458"/>
      <c r="R372" s="487"/>
      <c r="S372" s="470"/>
    </row>
    <row r="373" spans="2:25" s="1" customFormat="1" ht="17.25" thickBot="1" x14ac:dyDescent="0.35">
      <c r="B373" s="59"/>
      <c r="C373" s="60" t="str">
        <f>RAB!D72</f>
        <v>Pembesian sengkang</v>
      </c>
      <c r="D373" s="38"/>
      <c r="E373" s="38"/>
      <c r="F373" s="38"/>
      <c r="G373" s="38"/>
      <c r="H373" s="38"/>
      <c r="I373" s="38"/>
      <c r="J373" s="551"/>
      <c r="K373" s="181"/>
      <c r="L373" s="529"/>
      <c r="M373" s="182"/>
      <c r="N373" s="529"/>
      <c r="O373" s="181"/>
      <c r="P373" s="529"/>
      <c r="Q373" s="121"/>
      <c r="R373" s="529"/>
      <c r="S373" s="239"/>
      <c r="T373" s="18">
        <f>ROUNDDOWN(S379,2)</f>
        <v>740.34</v>
      </c>
      <c r="U373" s="2" t="s">
        <v>0</v>
      </c>
      <c r="V373" s="43"/>
    </row>
    <row r="374" spans="2:25" s="1" customFormat="1" x14ac:dyDescent="0.3">
      <c r="B374" s="59"/>
      <c r="C374" s="60"/>
      <c r="D374" s="8" t="s">
        <v>95</v>
      </c>
      <c r="E374" s="155" t="s">
        <v>150</v>
      </c>
      <c r="F374" s="505"/>
      <c r="G374" s="155" t="s">
        <v>151</v>
      </c>
      <c r="H374" s="505"/>
      <c r="I374" s="155" t="s">
        <v>152</v>
      </c>
      <c r="J374" s="505"/>
      <c r="K374" s="155" t="s">
        <v>153</v>
      </c>
      <c r="L374" s="506"/>
      <c r="M374" s="164" t="s">
        <v>32</v>
      </c>
      <c r="N374" s="506"/>
      <c r="O374" s="206" t="s">
        <v>163</v>
      </c>
      <c r="P374" s="506"/>
      <c r="Q374" s="206" t="s">
        <v>151</v>
      </c>
      <c r="R374" s="506"/>
      <c r="S374" s="230" t="s">
        <v>143</v>
      </c>
      <c r="T374" s="66"/>
      <c r="U374" s="2"/>
      <c r="V374" s="43"/>
      <c r="W374" s="37"/>
      <c r="Y374" s="37"/>
    </row>
    <row r="375" spans="2:25" s="1" customFormat="1" x14ac:dyDescent="0.3">
      <c r="B375" s="59"/>
      <c r="C375" s="60"/>
      <c r="D375" s="149" t="s">
        <v>237</v>
      </c>
      <c r="E375" s="578">
        <f>(0.29+0.09)*2+ (2*6*0.01)</f>
        <v>0.88</v>
      </c>
      <c r="F375" s="565" t="s">
        <v>185</v>
      </c>
      <c r="G375" s="331"/>
      <c r="H375" s="575"/>
      <c r="I375" s="331"/>
      <c r="J375" s="575"/>
      <c r="K375" s="331">
        <f>W375</f>
        <v>129</v>
      </c>
      <c r="L375" s="565" t="s">
        <v>185</v>
      </c>
      <c r="M375" s="331">
        <f>M349</f>
        <v>4</v>
      </c>
      <c r="N375" s="565" t="s">
        <v>185</v>
      </c>
      <c r="O375" s="331">
        <v>7850</v>
      </c>
      <c r="P375" s="565" t="s">
        <v>185</v>
      </c>
      <c r="Q375" s="606">
        <f>22/7*0.005*0.005</f>
        <v>7.857142857142858E-5</v>
      </c>
      <c r="R375" s="1069" t="s">
        <v>114</v>
      </c>
      <c r="S375" s="577">
        <f>E375*K375*M375*O375*Q375</f>
        <v>280.07005714285719</v>
      </c>
      <c r="T375" s="66"/>
      <c r="U375" s="2"/>
      <c r="V375" s="43"/>
      <c r="W375" s="132">
        <f>16/0.125+1</f>
        <v>129</v>
      </c>
      <c r="X375" s="37"/>
      <c r="Y375" s="37"/>
    </row>
    <row r="376" spans="2:25" s="1" customFormat="1" x14ac:dyDescent="0.3">
      <c r="B376" s="59"/>
      <c r="C376" s="60"/>
      <c r="D376" s="139" t="s">
        <v>238</v>
      </c>
      <c r="E376" s="328">
        <f>(0.29+0.09)*2+ (2*6*0.01)</f>
        <v>0.88</v>
      </c>
      <c r="F376" s="518" t="s">
        <v>185</v>
      </c>
      <c r="G376" s="1161"/>
      <c r="H376" s="517"/>
      <c r="I376" s="1161"/>
      <c r="J376" s="517"/>
      <c r="K376" s="1161">
        <f>W376*3</f>
        <v>195</v>
      </c>
      <c r="L376" s="518" t="s">
        <v>185</v>
      </c>
      <c r="M376" s="1161">
        <f>M350</f>
        <v>4</v>
      </c>
      <c r="N376" s="518" t="s">
        <v>185</v>
      </c>
      <c r="O376" s="1161">
        <v>7850</v>
      </c>
      <c r="P376" s="518" t="s">
        <v>185</v>
      </c>
      <c r="Q376" s="608">
        <f>22/7*0.005*0.005</f>
        <v>7.857142857142858E-5</v>
      </c>
      <c r="R376" s="1070" t="s">
        <v>114</v>
      </c>
      <c r="S376" s="519">
        <f>E376*K376*M376*O376*Q376</f>
        <v>423.36171428571436</v>
      </c>
      <c r="T376" s="66"/>
      <c r="U376" s="2"/>
      <c r="V376" s="43"/>
      <c r="W376" s="132">
        <f>8/0.125+1</f>
        <v>65</v>
      </c>
      <c r="X376" s="37"/>
      <c r="Y376" s="37"/>
    </row>
    <row r="377" spans="2:25" s="1" customFormat="1" x14ac:dyDescent="0.3">
      <c r="B377" s="59"/>
      <c r="C377" s="60"/>
      <c r="D377" s="139"/>
      <c r="E377" s="328">
        <f>(0.29+0.09)*2+ (2*6*0.01)</f>
        <v>0.88</v>
      </c>
      <c r="F377" s="518" t="s">
        <v>185</v>
      </c>
      <c r="G377" s="1161"/>
      <c r="H377" s="517"/>
      <c r="I377" s="1161"/>
      <c r="J377" s="517"/>
      <c r="K377" s="1161">
        <f>W377</f>
        <v>17</v>
      </c>
      <c r="L377" s="518" t="s">
        <v>185</v>
      </c>
      <c r="M377" s="1161">
        <f>M351</f>
        <v>4</v>
      </c>
      <c r="N377" s="518" t="s">
        <v>185</v>
      </c>
      <c r="O377" s="1161">
        <v>7850</v>
      </c>
      <c r="P377" s="518" t="s">
        <v>185</v>
      </c>
      <c r="Q377" s="608">
        <f>22/7*0.005*0.005</f>
        <v>7.857142857142858E-5</v>
      </c>
      <c r="R377" s="1070" t="s">
        <v>114</v>
      </c>
      <c r="S377" s="519">
        <f>E377*K377*M377*O377*Q377</f>
        <v>36.908457142857145</v>
      </c>
      <c r="T377" s="66"/>
      <c r="U377" s="2"/>
      <c r="V377" s="43"/>
      <c r="W377" s="132">
        <f>2/0.125+1</f>
        <v>17</v>
      </c>
      <c r="X377" s="37"/>
      <c r="Y377" s="37"/>
    </row>
    <row r="378" spans="2:25" s="1" customFormat="1" x14ac:dyDescent="0.3">
      <c r="B378" s="59"/>
      <c r="C378" s="60"/>
      <c r="D378" s="150"/>
      <c r="E378" s="592"/>
      <c r="F378" s="593"/>
      <c r="G378" s="592"/>
      <c r="H378" s="593"/>
      <c r="I378" s="592"/>
      <c r="J378" s="593"/>
      <c r="K378" s="592"/>
      <c r="L378" s="593"/>
      <c r="M378" s="592"/>
      <c r="N378" s="593"/>
      <c r="O378" s="592"/>
      <c r="P378" s="593"/>
      <c r="Q378" s="592"/>
      <c r="R378" s="593"/>
      <c r="S378" s="599"/>
      <c r="T378" s="66"/>
      <c r="U378" s="2"/>
      <c r="V378" s="43"/>
    </row>
    <row r="379" spans="2:25" s="1" customFormat="1" ht="17.25" thickBot="1" x14ac:dyDescent="0.35">
      <c r="B379" s="59"/>
      <c r="C379" s="60"/>
      <c r="D379" s="3093" t="s">
        <v>164</v>
      </c>
      <c r="E379" s="3093"/>
      <c r="F379" s="3093"/>
      <c r="G379" s="3093"/>
      <c r="H379" s="3093"/>
      <c r="I379" s="3093"/>
      <c r="J379" s="524"/>
      <c r="K379" s="183"/>
      <c r="L379" s="532"/>
      <c r="M379" s="180"/>
      <c r="N379" s="532"/>
      <c r="O379" s="183"/>
      <c r="P379" s="532"/>
      <c r="Q379" s="183"/>
      <c r="R379" s="532"/>
      <c r="S379" s="240">
        <f>SUM(S375:S378)</f>
        <v>740.34022857142872</v>
      </c>
      <c r="T379" s="66"/>
      <c r="U379" s="2"/>
      <c r="V379" s="43"/>
    </row>
    <row r="380" spans="2:25" x14ac:dyDescent="0.3">
      <c r="B380" s="341"/>
      <c r="C380" s="342"/>
      <c r="D380" s="343"/>
      <c r="E380" s="471"/>
      <c r="F380" s="489"/>
      <c r="G380" s="471"/>
      <c r="H380" s="489"/>
      <c r="I380" s="471"/>
      <c r="J380" s="489"/>
      <c r="K380" s="458"/>
      <c r="L380" s="487"/>
      <c r="M380" s="459"/>
      <c r="N380" s="487"/>
      <c r="O380" s="458"/>
      <c r="P380" s="487"/>
      <c r="Q380" s="458"/>
      <c r="R380" s="487"/>
      <c r="S380" s="470"/>
    </row>
    <row r="381" spans="2:25" s="1" customFormat="1" ht="17.25" thickBot="1" x14ac:dyDescent="0.35">
      <c r="B381" s="59"/>
      <c r="C381" s="60" t="str">
        <f>RAB!D73</f>
        <v>Bekisting Balok</v>
      </c>
      <c r="D381" s="38"/>
      <c r="E381" s="38"/>
      <c r="F381" s="38"/>
      <c r="G381" s="38"/>
      <c r="H381" s="38"/>
      <c r="I381" s="38"/>
      <c r="J381" s="551"/>
      <c r="K381" s="181"/>
      <c r="L381" s="529"/>
      <c r="M381" s="182"/>
      <c r="N381" s="529"/>
      <c r="O381" s="181"/>
      <c r="P381" s="529"/>
      <c r="Q381" s="121"/>
      <c r="R381" s="529"/>
      <c r="S381" s="239"/>
      <c r="T381" s="18">
        <f>ROUNDDOWN(Q387,2)</f>
        <v>81.19</v>
      </c>
      <c r="U381" s="2" t="s">
        <v>2</v>
      </c>
      <c r="V381" s="43"/>
    </row>
    <row r="382" spans="2:25" s="1" customFormat="1" x14ac:dyDescent="0.3">
      <c r="B382" s="59"/>
      <c r="C382" s="60"/>
      <c r="D382" s="8" t="s">
        <v>95</v>
      </c>
      <c r="E382" s="155" t="s">
        <v>150</v>
      </c>
      <c r="F382" s="505"/>
      <c r="G382" s="155" t="s">
        <v>151</v>
      </c>
      <c r="H382" s="505"/>
      <c r="I382" s="155" t="s">
        <v>152</v>
      </c>
      <c r="J382" s="505"/>
      <c r="K382" s="155" t="s">
        <v>153</v>
      </c>
      <c r="L382" s="506"/>
      <c r="M382" s="164" t="s">
        <v>32</v>
      </c>
      <c r="N382" s="506"/>
      <c r="O382" s="206" t="s">
        <v>163</v>
      </c>
      <c r="P382" s="506"/>
      <c r="Q382" s="206" t="s">
        <v>151</v>
      </c>
      <c r="R382" s="506"/>
      <c r="S382" s="230" t="s">
        <v>143</v>
      </c>
      <c r="T382" s="66"/>
      <c r="U382" s="2"/>
      <c r="V382" s="43"/>
    </row>
    <row r="383" spans="2:25" s="1" customFormat="1" x14ac:dyDescent="0.3">
      <c r="B383" s="59"/>
      <c r="C383" s="60"/>
      <c r="D383" s="149" t="s">
        <v>156</v>
      </c>
      <c r="E383" s="609">
        <f>E349</f>
        <v>3.8</v>
      </c>
      <c r="F383" s="610" t="s">
        <v>185</v>
      </c>
      <c r="G383" s="609">
        <f>G349+2*I349</f>
        <v>0.51</v>
      </c>
      <c r="H383" s="610" t="s">
        <v>185</v>
      </c>
      <c r="I383" s="609"/>
      <c r="J383" s="610"/>
      <c r="K383" s="609">
        <f>K349</f>
        <v>4</v>
      </c>
      <c r="L383" s="610" t="s">
        <v>185</v>
      </c>
      <c r="M383" s="609">
        <f>M349</f>
        <v>4</v>
      </c>
      <c r="N383" s="610"/>
      <c r="O383" s="609"/>
      <c r="P383" s="610" t="s">
        <v>114</v>
      </c>
      <c r="Q383" s="609">
        <f>E383*G383*K383*M383</f>
        <v>31.007999999999999</v>
      </c>
      <c r="R383" s="610"/>
      <c r="S383" s="611"/>
      <c r="T383" s="66"/>
      <c r="U383" s="2"/>
      <c r="V383" s="43"/>
    </row>
    <row r="384" spans="2:25" s="1" customFormat="1" x14ac:dyDescent="0.3">
      <c r="B384" s="59"/>
      <c r="C384" s="60"/>
      <c r="D384" s="139" t="s">
        <v>157</v>
      </c>
      <c r="E384" s="612">
        <f>E350</f>
        <v>3.8</v>
      </c>
      <c r="F384" s="613" t="s">
        <v>185</v>
      </c>
      <c r="G384" s="612">
        <f>G350+2*I350</f>
        <v>0.51</v>
      </c>
      <c r="H384" s="613" t="s">
        <v>185</v>
      </c>
      <c r="I384" s="612"/>
      <c r="J384" s="613"/>
      <c r="K384" s="612">
        <f>K350</f>
        <v>6</v>
      </c>
      <c r="L384" s="613" t="s">
        <v>185</v>
      </c>
      <c r="M384" s="612">
        <f>M350</f>
        <v>4</v>
      </c>
      <c r="N384" s="613"/>
      <c r="O384" s="612"/>
      <c r="P384" s="613" t="s">
        <v>114</v>
      </c>
      <c r="Q384" s="612">
        <f>E384*G384*K384*M384</f>
        <v>46.512</v>
      </c>
      <c r="R384" s="613"/>
      <c r="S384" s="614"/>
      <c r="T384" s="66"/>
      <c r="U384" s="2"/>
      <c r="V384" s="43"/>
    </row>
    <row r="385" spans="2:22" s="1" customFormat="1" x14ac:dyDescent="0.3">
      <c r="B385" s="59"/>
      <c r="C385" s="60"/>
      <c r="D385" s="139"/>
      <c r="E385" s="612">
        <f>E351</f>
        <v>1.8</v>
      </c>
      <c r="F385" s="613" t="s">
        <v>185</v>
      </c>
      <c r="G385" s="612">
        <f>G351+2*I351</f>
        <v>0.51</v>
      </c>
      <c r="H385" s="613" t="s">
        <v>185</v>
      </c>
      <c r="I385" s="612"/>
      <c r="J385" s="613"/>
      <c r="K385" s="612">
        <f>K351</f>
        <v>1</v>
      </c>
      <c r="L385" s="613" t="s">
        <v>185</v>
      </c>
      <c r="M385" s="612">
        <f>M351</f>
        <v>4</v>
      </c>
      <c r="N385" s="613"/>
      <c r="O385" s="612"/>
      <c r="P385" s="613" t="s">
        <v>114</v>
      </c>
      <c r="Q385" s="612">
        <f>E385*G385*K385*M385</f>
        <v>3.6720000000000002</v>
      </c>
      <c r="R385" s="613"/>
      <c r="S385" s="614"/>
      <c r="T385" s="66"/>
      <c r="U385" s="2"/>
      <c r="V385" s="43"/>
    </row>
    <row r="386" spans="2:22" s="1" customFormat="1" x14ac:dyDescent="0.3">
      <c r="B386" s="59"/>
      <c r="C386" s="60"/>
      <c r="D386" s="150"/>
      <c r="E386" s="615"/>
      <c r="F386" s="616"/>
      <c r="G386" s="615"/>
      <c r="H386" s="616"/>
      <c r="I386" s="615"/>
      <c r="J386" s="616"/>
      <c r="K386" s="615"/>
      <c r="L386" s="616"/>
      <c r="M386" s="615"/>
      <c r="N386" s="616"/>
      <c r="O386" s="615"/>
      <c r="P386" s="616"/>
      <c r="Q386" s="615"/>
      <c r="R386" s="616"/>
      <c r="S386" s="617"/>
      <c r="T386" s="66"/>
      <c r="U386" s="2"/>
      <c r="V386" s="43"/>
    </row>
    <row r="387" spans="2:22" s="1" customFormat="1" ht="17.25" thickBot="1" x14ac:dyDescent="0.35">
      <c r="B387" s="59"/>
      <c r="C387" s="60"/>
      <c r="D387" s="3093" t="s">
        <v>164</v>
      </c>
      <c r="E387" s="3093"/>
      <c r="F387" s="3093"/>
      <c r="G387" s="3093"/>
      <c r="H387" s="3093"/>
      <c r="I387" s="3093"/>
      <c r="J387" s="524"/>
      <c r="K387" s="183"/>
      <c r="L387" s="532"/>
      <c r="M387" s="180"/>
      <c r="N387" s="532"/>
      <c r="O387" s="183"/>
      <c r="P387" s="532"/>
      <c r="Q387" s="1160">
        <f>SUM(Q383:Q386)</f>
        <v>81.191999999999993</v>
      </c>
      <c r="R387" s="532"/>
      <c r="S387" s="240"/>
      <c r="T387" s="66"/>
      <c r="U387" s="2"/>
      <c r="V387" s="43"/>
    </row>
    <row r="388" spans="2:22" x14ac:dyDescent="0.3">
      <c r="B388" s="464"/>
      <c r="C388" s="465"/>
      <c r="D388" s="453"/>
      <c r="E388" s="455"/>
      <c r="F388" s="485"/>
      <c r="G388" s="455"/>
      <c r="H388" s="485"/>
      <c r="I388" s="455"/>
      <c r="J388" s="485"/>
      <c r="K388" s="438"/>
      <c r="L388" s="482"/>
      <c r="M388" s="439"/>
      <c r="N388" s="482"/>
      <c r="O388" s="438"/>
      <c r="P388" s="482"/>
      <c r="Q388" s="440"/>
      <c r="R388" s="482"/>
      <c r="S388" s="454"/>
    </row>
    <row r="389" spans="2:22" s="1" customFormat="1" x14ac:dyDescent="0.3">
      <c r="B389" s="1149">
        <f>RAB!B74</f>
        <v>11</v>
      </c>
      <c r="C389" s="17" t="str">
        <f>RAB!C74</f>
        <v xml:space="preserve">Tangga </v>
      </c>
      <c r="E389" s="153"/>
      <c r="F389" s="480"/>
      <c r="G389" s="153"/>
      <c r="H389" s="480"/>
      <c r="I389" s="153"/>
      <c r="J389" s="480"/>
      <c r="K389" s="153"/>
      <c r="L389" s="480"/>
      <c r="M389" s="162"/>
      <c r="N389" s="480"/>
      <c r="O389" s="153"/>
      <c r="P389" s="480"/>
      <c r="Q389" s="200"/>
      <c r="R389" s="480"/>
      <c r="S389" s="224"/>
      <c r="T389" s="134"/>
      <c r="U389" s="2"/>
      <c r="V389" s="43"/>
    </row>
    <row r="390" spans="2:22" s="1" customFormat="1" ht="17.25" thickBot="1" x14ac:dyDescent="0.35">
      <c r="B390" s="36"/>
      <c r="C390" s="17" t="str">
        <f>RAB!D75</f>
        <v xml:space="preserve">Beton mutu f'c=26,4 Mpa </v>
      </c>
      <c r="E390" s="153"/>
      <c r="F390" s="480"/>
      <c r="G390" s="153"/>
      <c r="H390" s="480"/>
      <c r="I390" s="153"/>
      <c r="J390" s="480"/>
      <c r="K390" s="153"/>
      <c r="L390" s="480"/>
      <c r="M390" s="162"/>
      <c r="N390" s="480"/>
      <c r="O390" s="153"/>
      <c r="P390" s="480"/>
      <c r="Q390" s="200"/>
      <c r="R390" s="480"/>
      <c r="S390" s="224"/>
      <c r="T390" s="18">
        <f>ROUNDDOWN(S399,2)</f>
        <v>22.26</v>
      </c>
      <c r="U390" s="2" t="s">
        <v>3</v>
      </c>
      <c r="V390" s="43"/>
    </row>
    <row r="391" spans="2:22" s="1" customFormat="1" x14ac:dyDescent="0.3">
      <c r="B391" s="36"/>
      <c r="C391" s="17"/>
      <c r="D391" s="623" t="s">
        <v>95</v>
      </c>
      <c r="E391" s="624" t="s">
        <v>150</v>
      </c>
      <c r="F391" s="625"/>
      <c r="G391" s="624" t="s">
        <v>151</v>
      </c>
      <c r="H391" s="625"/>
      <c r="I391" s="624" t="s">
        <v>152</v>
      </c>
      <c r="J391" s="625"/>
      <c r="K391" s="624" t="s">
        <v>153</v>
      </c>
      <c r="L391" s="625"/>
      <c r="M391" s="626" t="s">
        <v>32</v>
      </c>
      <c r="N391" s="625"/>
      <c r="O391" s="624" t="s">
        <v>163</v>
      </c>
      <c r="P391" s="625"/>
      <c r="Q391" s="627" t="s">
        <v>151</v>
      </c>
      <c r="R391" s="625"/>
      <c r="S391" s="628" t="s">
        <v>143</v>
      </c>
      <c r="T391" s="66"/>
      <c r="U391" s="2"/>
      <c r="V391" s="43"/>
    </row>
    <row r="392" spans="2:22" s="1" customFormat="1" x14ac:dyDescent="0.3">
      <c r="B392" s="36"/>
      <c r="C392" s="17"/>
      <c r="D392" s="144" t="s">
        <v>155</v>
      </c>
      <c r="E392" s="589">
        <v>1.82</v>
      </c>
      <c r="F392" s="629" t="s">
        <v>185</v>
      </c>
      <c r="G392" s="589">
        <v>0.3</v>
      </c>
      <c r="H392" s="629" t="s">
        <v>185</v>
      </c>
      <c r="I392" s="589">
        <f>0.18</f>
        <v>0.18</v>
      </c>
      <c r="J392" s="629" t="s">
        <v>185</v>
      </c>
      <c r="K392" s="589">
        <v>20</v>
      </c>
      <c r="L392" s="629"/>
      <c r="M392" s="589">
        <v>4</v>
      </c>
      <c r="N392" s="629" t="s">
        <v>185</v>
      </c>
      <c r="O392" s="589">
        <v>0.5</v>
      </c>
      <c r="P392" s="629"/>
      <c r="Q392" s="589"/>
      <c r="R392" s="629" t="s">
        <v>114</v>
      </c>
      <c r="S392" s="590">
        <f>K392*I392*G392*E392*O392*M392</f>
        <v>3.9311999999999996</v>
      </c>
      <c r="T392" s="66"/>
      <c r="U392" s="2"/>
      <c r="V392" s="43"/>
    </row>
    <row r="393" spans="2:22" s="1" customFormat="1" x14ac:dyDescent="0.3">
      <c r="B393" s="36"/>
      <c r="C393" s="17"/>
      <c r="D393" s="138" t="s">
        <v>270</v>
      </c>
      <c r="E393" s="1161">
        <f>4.3+2.5</f>
        <v>6.8</v>
      </c>
      <c r="F393" s="518" t="s">
        <v>185</v>
      </c>
      <c r="G393" s="1161">
        <v>1.82</v>
      </c>
      <c r="H393" s="518" t="s">
        <v>185</v>
      </c>
      <c r="I393" s="1161">
        <v>0.15</v>
      </c>
      <c r="J393" s="518"/>
      <c r="K393" s="1161"/>
      <c r="L393" s="517"/>
      <c r="M393" s="1161">
        <v>4</v>
      </c>
      <c r="N393" s="517"/>
      <c r="O393" s="1161"/>
      <c r="P393" s="517"/>
      <c r="Q393" s="1161"/>
      <c r="R393" s="518" t="s">
        <v>114</v>
      </c>
      <c r="S393" s="519">
        <f>I393*G393*E393*M393</f>
        <v>7.4256000000000002</v>
      </c>
      <c r="T393" s="66"/>
      <c r="U393" s="2"/>
      <c r="V393" s="43"/>
    </row>
    <row r="394" spans="2:22" s="1" customFormat="1" x14ac:dyDescent="0.3">
      <c r="B394" s="36"/>
      <c r="C394" s="17"/>
      <c r="D394" s="139" t="s">
        <v>158</v>
      </c>
      <c r="E394" s="328">
        <v>4</v>
      </c>
      <c r="F394" s="518" t="s">
        <v>185</v>
      </c>
      <c r="G394" s="1161">
        <v>4</v>
      </c>
      <c r="H394" s="518" t="s">
        <v>185</v>
      </c>
      <c r="I394" s="1161">
        <v>0.15</v>
      </c>
      <c r="J394" s="518"/>
      <c r="K394" s="1161"/>
      <c r="L394" s="518"/>
      <c r="M394" s="1161">
        <v>4</v>
      </c>
      <c r="N394" s="518"/>
      <c r="O394" s="1161"/>
      <c r="P394" s="517"/>
      <c r="Q394" s="1161"/>
      <c r="R394" s="518" t="s">
        <v>114</v>
      </c>
      <c r="S394" s="519">
        <f>I394*G394*E394*M394</f>
        <v>9.6</v>
      </c>
      <c r="T394" s="66"/>
      <c r="U394" s="2"/>
      <c r="V394" s="43"/>
    </row>
    <row r="395" spans="2:22" s="1" customFormat="1" x14ac:dyDescent="0.3">
      <c r="B395" s="36"/>
      <c r="C395" s="17"/>
      <c r="D395" s="138" t="s">
        <v>271</v>
      </c>
      <c r="E395" s="328">
        <f>E392</f>
        <v>1.82</v>
      </c>
      <c r="F395" s="518" t="s">
        <v>185</v>
      </c>
      <c r="G395" s="1161">
        <v>1.6</v>
      </c>
      <c r="H395" s="518" t="s">
        <v>185</v>
      </c>
      <c r="I395" s="1161">
        <f>0.15</f>
        <v>0.15</v>
      </c>
      <c r="J395" s="518"/>
      <c r="K395" s="1161"/>
      <c r="L395" s="518"/>
      <c r="M395" s="1161">
        <v>4</v>
      </c>
      <c r="N395" s="518"/>
      <c r="O395" s="1161"/>
      <c r="P395" s="517"/>
      <c r="Q395" s="1161"/>
      <c r="R395" s="518" t="s">
        <v>114</v>
      </c>
      <c r="S395" s="519">
        <f>I395*G395*E395*M395</f>
        <v>1.7472000000000001</v>
      </c>
      <c r="T395" s="66"/>
      <c r="U395" s="2"/>
      <c r="V395" s="43"/>
    </row>
    <row r="396" spans="2:22" s="1" customFormat="1" x14ac:dyDescent="0.3">
      <c r="B396" s="36"/>
      <c r="C396" s="17"/>
      <c r="D396" s="138" t="s">
        <v>244</v>
      </c>
      <c r="E396" s="328"/>
      <c r="F396" s="518"/>
      <c r="G396" s="1161"/>
      <c r="H396" s="518"/>
      <c r="I396" s="1161"/>
      <c r="J396" s="518"/>
      <c r="K396" s="1161"/>
      <c r="L396" s="518"/>
      <c r="M396" s="1161"/>
      <c r="N396" s="518"/>
      <c r="O396" s="1161"/>
      <c r="P396" s="517"/>
      <c r="Q396" s="1161"/>
      <c r="R396" s="518"/>
      <c r="S396" s="519"/>
      <c r="T396" s="66"/>
      <c r="U396" s="2"/>
      <c r="V396" s="43"/>
    </row>
    <row r="397" spans="2:22" s="1" customFormat="1" x14ac:dyDescent="0.3">
      <c r="B397" s="36"/>
      <c r="C397" s="17"/>
      <c r="D397" s="140" t="s">
        <v>255</v>
      </c>
      <c r="E397" s="328"/>
      <c r="F397" s="518"/>
      <c r="G397" s="1161"/>
      <c r="H397" s="518"/>
      <c r="I397" s="1161"/>
      <c r="J397" s="518"/>
      <c r="K397" s="1161">
        <f>S411</f>
        <v>3461.8287377142856</v>
      </c>
      <c r="L397" s="517" t="s">
        <v>253</v>
      </c>
      <c r="M397" s="328"/>
      <c r="N397" s="517"/>
      <c r="O397" s="328">
        <f>O404</f>
        <v>7850</v>
      </c>
      <c r="P397" s="517"/>
      <c r="Q397" s="1161"/>
      <c r="R397" s="518" t="s">
        <v>149</v>
      </c>
      <c r="S397" s="519">
        <f>K397/O397</f>
        <v>0.44099729142857141</v>
      </c>
      <c r="T397" s="66"/>
      <c r="U397" s="2"/>
      <c r="V397" s="43"/>
    </row>
    <row r="398" spans="2:22" s="1" customFormat="1" x14ac:dyDescent="0.3">
      <c r="B398" s="36"/>
      <c r="C398" s="17"/>
      <c r="D398" s="143"/>
      <c r="E398" s="330"/>
      <c r="F398" s="512"/>
      <c r="G398" s="330"/>
      <c r="H398" s="512"/>
      <c r="I398" s="330"/>
      <c r="J398" s="512"/>
      <c r="K398" s="330"/>
      <c r="L398" s="512"/>
      <c r="M398" s="330"/>
      <c r="N398" s="512"/>
      <c r="O398" s="330"/>
      <c r="P398" s="512"/>
      <c r="Q398" s="330"/>
      <c r="R398" s="512"/>
      <c r="S398" s="559"/>
      <c r="T398" s="66"/>
      <c r="U398" s="2"/>
      <c r="V398" s="43"/>
    </row>
    <row r="399" spans="2:22" s="1" customFormat="1" ht="17.25" thickBot="1" x14ac:dyDescent="0.35">
      <c r="B399" s="36"/>
      <c r="C399" s="17"/>
      <c r="D399" s="3089" t="s">
        <v>164</v>
      </c>
      <c r="E399" s="3090"/>
      <c r="F399" s="3090"/>
      <c r="G399" s="3090"/>
      <c r="H399" s="3090"/>
      <c r="I399" s="3090"/>
      <c r="J399" s="622"/>
      <c r="K399" s="190"/>
      <c r="L399" s="622"/>
      <c r="M399" s="190"/>
      <c r="N399" s="622"/>
      <c r="O399" s="190"/>
      <c r="P399" s="622"/>
      <c r="Q399" s="190"/>
      <c r="R399" s="622"/>
      <c r="S399" s="247">
        <f>SUM(S392:S395)-SUM(S397)</f>
        <v>22.263002708571427</v>
      </c>
      <c r="T399" s="66"/>
      <c r="U399" s="2"/>
      <c r="V399" s="43"/>
    </row>
    <row r="400" spans="2:22" x14ac:dyDescent="0.3">
      <c r="B400" s="464"/>
      <c r="C400" s="465"/>
      <c r="T400" s="474"/>
    </row>
    <row r="401" spans="2:23" s="1" customFormat="1" ht="17.25" thickBot="1" x14ac:dyDescent="0.35">
      <c r="B401" s="36"/>
      <c r="C401" s="17" t="str">
        <f>RAB!D76</f>
        <v>Pembesian Ulir</v>
      </c>
      <c r="E401" s="153"/>
      <c r="F401" s="480"/>
      <c r="G401" s="153"/>
      <c r="H401" s="480"/>
      <c r="I401" s="153"/>
      <c r="J401" s="480"/>
      <c r="K401" s="153"/>
      <c r="L401" s="480"/>
      <c r="M401" s="162"/>
      <c r="N401" s="480"/>
      <c r="O401" s="153"/>
      <c r="P401" s="480"/>
      <c r="Q401" s="200"/>
      <c r="R401" s="480"/>
      <c r="S401" s="224"/>
      <c r="T401" s="18">
        <f>ROUNDDOWN(S411,2)</f>
        <v>3461.82</v>
      </c>
      <c r="U401" s="2" t="s">
        <v>0</v>
      </c>
      <c r="V401" s="43"/>
    </row>
    <row r="402" spans="2:23" s="1" customFormat="1" x14ac:dyDescent="0.3">
      <c r="B402" s="36"/>
      <c r="C402" s="17"/>
      <c r="D402" s="8" t="s">
        <v>95</v>
      </c>
      <c r="E402" s="154" t="s">
        <v>150</v>
      </c>
      <c r="F402" s="493"/>
      <c r="G402" s="154" t="s">
        <v>151</v>
      </c>
      <c r="H402" s="493"/>
      <c r="I402" s="154" t="s">
        <v>294</v>
      </c>
      <c r="J402" s="493"/>
      <c r="K402" s="154" t="s">
        <v>153</v>
      </c>
      <c r="L402" s="494"/>
      <c r="M402" s="163" t="s">
        <v>32</v>
      </c>
      <c r="N402" s="494"/>
      <c r="O402" s="201" t="s">
        <v>163</v>
      </c>
      <c r="P402" s="494"/>
      <c r="Q402" s="202" t="s">
        <v>151</v>
      </c>
      <c r="R402" s="494"/>
      <c r="S402" s="226" t="s">
        <v>143</v>
      </c>
      <c r="T402" s="66"/>
      <c r="U402" s="2"/>
      <c r="V402" s="43"/>
    </row>
    <row r="403" spans="2:23" s="1" customFormat="1" x14ac:dyDescent="0.3">
      <c r="B403" s="36"/>
      <c r="C403" s="17"/>
      <c r="D403" s="145" t="s">
        <v>716</v>
      </c>
      <c r="E403" s="578"/>
      <c r="F403" s="565"/>
      <c r="G403" s="331"/>
      <c r="H403" s="575"/>
      <c r="I403" s="331"/>
      <c r="J403" s="575"/>
      <c r="K403" s="331"/>
      <c r="L403" s="565"/>
      <c r="M403" s="331"/>
      <c r="N403" s="565"/>
      <c r="O403" s="331"/>
      <c r="P403" s="565"/>
      <c r="Q403" s="331"/>
      <c r="R403" s="565"/>
      <c r="S403" s="577"/>
      <c r="T403" s="66"/>
      <c r="U403" s="2"/>
      <c r="V403" s="43"/>
    </row>
    <row r="404" spans="2:23" s="1" customFormat="1" x14ac:dyDescent="0.3">
      <c r="B404" s="36"/>
      <c r="C404" s="17"/>
      <c r="D404" s="139" t="s">
        <v>272</v>
      </c>
      <c r="E404" s="328">
        <v>4</v>
      </c>
      <c r="F404" s="518" t="s">
        <v>185</v>
      </c>
      <c r="G404" s="1161"/>
      <c r="H404" s="517"/>
      <c r="I404" s="1161">
        <f t="shared" ref="I404:I409" si="6">$M$392</f>
        <v>4</v>
      </c>
      <c r="J404" s="517"/>
      <c r="K404" s="1161">
        <v>2</v>
      </c>
      <c r="L404" s="518" t="s">
        <v>185</v>
      </c>
      <c r="M404" s="1161">
        <v>26</v>
      </c>
      <c r="N404" s="518" t="s">
        <v>185</v>
      </c>
      <c r="O404" s="1161">
        <v>7850</v>
      </c>
      <c r="P404" s="518" t="s">
        <v>185</v>
      </c>
      <c r="Q404" s="608">
        <f>22/7*0.0065*0.0065</f>
        <v>1.3278571428571427E-4</v>
      </c>
      <c r="R404" s="518" t="s">
        <v>114</v>
      </c>
      <c r="S404" s="519">
        <f t="shared" ref="S404:S409" si="7">E404*K404*M404*O404*Q404*I404</f>
        <v>867.25005714285703</v>
      </c>
      <c r="T404" s="66"/>
      <c r="U404" s="2"/>
      <c r="V404" s="43"/>
      <c r="W404" s="37">
        <f>E394/0.15</f>
        <v>26.666666666666668</v>
      </c>
    </row>
    <row r="405" spans="2:23" s="1" customFormat="1" x14ac:dyDescent="0.3">
      <c r="B405" s="36"/>
      <c r="C405" s="17"/>
      <c r="D405" s="139" t="s">
        <v>273</v>
      </c>
      <c r="E405" s="328">
        <v>4</v>
      </c>
      <c r="F405" s="518" t="s">
        <v>185</v>
      </c>
      <c r="G405" s="1161"/>
      <c r="H405" s="517"/>
      <c r="I405" s="1161">
        <f t="shared" si="6"/>
        <v>4</v>
      </c>
      <c r="J405" s="517"/>
      <c r="K405" s="1161">
        <v>2</v>
      </c>
      <c r="L405" s="518" t="s">
        <v>185</v>
      </c>
      <c r="M405" s="1161">
        <v>26</v>
      </c>
      <c r="N405" s="518" t="s">
        <v>185</v>
      </c>
      <c r="O405" s="1161">
        <v>7850</v>
      </c>
      <c r="P405" s="518" t="s">
        <v>185</v>
      </c>
      <c r="Q405" s="608">
        <f>22/7*0.0065*0.0065</f>
        <v>1.3278571428571427E-4</v>
      </c>
      <c r="R405" s="518" t="s">
        <v>114</v>
      </c>
      <c r="S405" s="519">
        <f t="shared" si="7"/>
        <v>867.25005714285703</v>
      </c>
      <c r="T405" s="66"/>
      <c r="U405" s="2"/>
      <c r="V405" s="43"/>
      <c r="W405" s="37">
        <f>G394/0.15</f>
        <v>26.666666666666668</v>
      </c>
    </row>
    <row r="406" spans="2:23" s="1" customFormat="1" x14ac:dyDescent="0.3">
      <c r="B406" s="36"/>
      <c r="C406" s="17"/>
      <c r="D406" s="139" t="s">
        <v>274</v>
      </c>
      <c r="E406" s="328">
        <f>E393+(40*0.01+(2*6*0.01))</f>
        <v>7.32</v>
      </c>
      <c r="F406" s="518" t="s">
        <v>185</v>
      </c>
      <c r="G406" s="1161"/>
      <c r="H406" s="517"/>
      <c r="I406" s="1161">
        <f t="shared" si="6"/>
        <v>4</v>
      </c>
      <c r="J406" s="517"/>
      <c r="K406" s="1161">
        <v>2</v>
      </c>
      <c r="L406" s="518" t="s">
        <v>185</v>
      </c>
      <c r="M406" s="1161">
        <v>12</v>
      </c>
      <c r="N406" s="518" t="s">
        <v>185</v>
      </c>
      <c r="O406" s="1161">
        <v>7850</v>
      </c>
      <c r="P406" s="518" t="s">
        <v>185</v>
      </c>
      <c r="Q406" s="608">
        <f>Q405</f>
        <v>1.3278571428571427E-4</v>
      </c>
      <c r="R406" s="518" t="s">
        <v>114</v>
      </c>
      <c r="S406" s="519">
        <f t="shared" si="7"/>
        <v>732.4927405714285</v>
      </c>
      <c r="T406" s="66"/>
      <c r="U406" s="2"/>
      <c r="V406" s="43"/>
      <c r="W406" s="37">
        <f>E392/0.15</f>
        <v>12.133333333333335</v>
      </c>
    </row>
    <row r="407" spans="2:23" s="1" customFormat="1" x14ac:dyDescent="0.3">
      <c r="B407" s="36"/>
      <c r="C407" s="17"/>
      <c r="D407" s="139"/>
      <c r="E407" s="328">
        <f>E392</f>
        <v>1.82</v>
      </c>
      <c r="F407" s="518" t="s">
        <v>185</v>
      </c>
      <c r="G407" s="1161"/>
      <c r="H407" s="517"/>
      <c r="I407" s="1161">
        <f t="shared" si="6"/>
        <v>4</v>
      </c>
      <c r="J407" s="517"/>
      <c r="K407" s="1161">
        <v>2</v>
      </c>
      <c r="L407" s="518" t="s">
        <v>185</v>
      </c>
      <c r="M407" s="1161">
        <v>45</v>
      </c>
      <c r="N407" s="518" t="s">
        <v>185</v>
      </c>
      <c r="O407" s="1161">
        <v>7850</v>
      </c>
      <c r="P407" s="518" t="s">
        <v>185</v>
      </c>
      <c r="Q407" s="608">
        <f>Q406</f>
        <v>1.3278571428571427E-4</v>
      </c>
      <c r="R407" s="518" t="s">
        <v>114</v>
      </c>
      <c r="S407" s="519">
        <f t="shared" si="7"/>
        <v>682.95941999999991</v>
      </c>
      <c r="T407" s="66"/>
      <c r="U407" s="2"/>
      <c r="V407" s="43"/>
      <c r="W407" s="37">
        <f>E393/0.15</f>
        <v>45.333333333333336</v>
      </c>
    </row>
    <row r="408" spans="2:23" s="1" customFormat="1" x14ac:dyDescent="0.3">
      <c r="B408" s="36"/>
      <c r="C408" s="17"/>
      <c r="D408" s="146" t="s">
        <v>275</v>
      </c>
      <c r="E408" s="328">
        <f>E395</f>
        <v>1.82</v>
      </c>
      <c r="F408" s="518" t="s">
        <v>185</v>
      </c>
      <c r="G408" s="1161"/>
      <c r="H408" s="517"/>
      <c r="I408" s="1161">
        <f t="shared" si="6"/>
        <v>4</v>
      </c>
      <c r="J408" s="517"/>
      <c r="K408" s="1161">
        <v>2</v>
      </c>
      <c r="L408" s="518" t="s">
        <v>185</v>
      </c>
      <c r="M408" s="1161">
        <v>10</v>
      </c>
      <c r="N408" s="518" t="s">
        <v>185</v>
      </c>
      <c r="O408" s="1161">
        <v>7850</v>
      </c>
      <c r="P408" s="518" t="s">
        <v>185</v>
      </c>
      <c r="Q408" s="608">
        <f>Q407</f>
        <v>1.3278571428571427E-4</v>
      </c>
      <c r="R408" s="518" t="s">
        <v>114</v>
      </c>
      <c r="S408" s="519">
        <f t="shared" si="7"/>
        <v>151.76875999999999</v>
      </c>
      <c r="T408" s="66"/>
      <c r="U408" s="2"/>
      <c r="V408" s="43"/>
      <c r="W408" s="37">
        <f>G395/0.15</f>
        <v>10.666666666666668</v>
      </c>
    </row>
    <row r="409" spans="2:23" s="1" customFormat="1" x14ac:dyDescent="0.3">
      <c r="B409" s="36"/>
      <c r="C409" s="17"/>
      <c r="D409" s="146"/>
      <c r="E409" s="328">
        <f>G395</f>
        <v>1.6</v>
      </c>
      <c r="F409" s="518" t="s">
        <v>185</v>
      </c>
      <c r="G409" s="1161"/>
      <c r="H409" s="517"/>
      <c r="I409" s="1161">
        <f t="shared" si="6"/>
        <v>4</v>
      </c>
      <c r="J409" s="517"/>
      <c r="K409" s="1161">
        <v>2</v>
      </c>
      <c r="L409" s="518" t="s">
        <v>185</v>
      </c>
      <c r="M409" s="1161">
        <v>12</v>
      </c>
      <c r="N409" s="518" t="s">
        <v>185</v>
      </c>
      <c r="O409" s="1161">
        <v>7850</v>
      </c>
      <c r="P409" s="518" t="s">
        <v>185</v>
      </c>
      <c r="Q409" s="608">
        <f>Q408</f>
        <v>1.3278571428571427E-4</v>
      </c>
      <c r="R409" s="518" t="s">
        <v>114</v>
      </c>
      <c r="S409" s="519">
        <f t="shared" si="7"/>
        <v>160.10770285714287</v>
      </c>
      <c r="T409" s="66"/>
      <c r="U409" s="2"/>
      <c r="V409" s="43"/>
      <c r="W409" s="37">
        <f>E385/0.15</f>
        <v>12</v>
      </c>
    </row>
    <row r="410" spans="2:23" s="1" customFormat="1" ht="17.25" thickBot="1" x14ac:dyDescent="0.35">
      <c r="B410" s="36"/>
      <c r="C410" s="17"/>
      <c r="D410" s="148"/>
      <c r="E410" s="619"/>
      <c r="F410" s="526"/>
      <c r="G410" s="619"/>
      <c r="H410" s="526"/>
      <c r="I410" s="619"/>
      <c r="J410" s="526"/>
      <c r="K410" s="619"/>
      <c r="L410" s="526"/>
      <c r="M410" s="619"/>
      <c r="N410" s="526"/>
      <c r="O410" s="619"/>
      <c r="P410" s="526"/>
      <c r="Q410" s="619"/>
      <c r="R410" s="526"/>
      <c r="S410" s="620"/>
      <c r="T410" s="66"/>
      <c r="U410" s="2"/>
      <c r="V410" s="43"/>
    </row>
    <row r="411" spans="2:23" s="1" customFormat="1" ht="17.25" thickBot="1" x14ac:dyDescent="0.35">
      <c r="B411" s="36"/>
      <c r="C411" s="17"/>
      <c r="D411" s="3109" t="s">
        <v>164</v>
      </c>
      <c r="E411" s="3110"/>
      <c r="F411" s="3110"/>
      <c r="G411" s="3110"/>
      <c r="H411" s="3110"/>
      <c r="I411" s="3110"/>
      <c r="J411" s="621"/>
      <c r="K411" s="193"/>
      <c r="L411" s="621"/>
      <c r="M411" s="194"/>
      <c r="N411" s="621"/>
      <c r="O411" s="194"/>
      <c r="P411" s="621"/>
      <c r="Q411" s="194"/>
      <c r="R411" s="621"/>
      <c r="S411" s="250">
        <f>SUM(S403:S410)</f>
        <v>3461.8287377142856</v>
      </c>
      <c r="T411" s="66"/>
      <c r="U411" s="2"/>
      <c r="V411" s="43"/>
    </row>
    <row r="412" spans="2:23" x14ac:dyDescent="0.3">
      <c r="B412" s="464"/>
      <c r="C412" s="465"/>
      <c r="T412" s="474"/>
    </row>
    <row r="413" spans="2:23" s="1" customFormat="1" ht="17.25" thickBot="1" x14ac:dyDescent="0.35">
      <c r="B413" s="36"/>
      <c r="C413" s="17" t="str">
        <f>RAB!D77</f>
        <v>Bekisting Tangga</v>
      </c>
      <c r="E413" s="153"/>
      <c r="F413" s="480"/>
      <c r="G413" s="153"/>
      <c r="H413" s="480"/>
      <c r="I413" s="153"/>
      <c r="J413" s="480"/>
      <c r="K413" s="153"/>
      <c r="L413" s="480"/>
      <c r="M413" s="162"/>
      <c r="N413" s="480"/>
      <c r="O413" s="153"/>
      <c r="P413" s="480"/>
      <c r="Q413" s="200"/>
      <c r="R413" s="480"/>
      <c r="S413" s="224"/>
      <c r="T413" s="18">
        <f>ROUNDDOWN(Q420,2)</f>
        <v>151.36000000000001</v>
      </c>
      <c r="U413" s="2" t="s">
        <v>2</v>
      </c>
      <c r="V413" s="43"/>
    </row>
    <row r="414" spans="2:23" s="1" customFormat="1" x14ac:dyDescent="0.3">
      <c r="B414" s="36"/>
      <c r="C414" s="17"/>
      <c r="D414" s="8" t="s">
        <v>95</v>
      </c>
      <c r="E414" s="154" t="s">
        <v>150</v>
      </c>
      <c r="F414" s="493"/>
      <c r="G414" s="154" t="s">
        <v>151</v>
      </c>
      <c r="H414" s="493"/>
      <c r="I414" s="154" t="s">
        <v>152</v>
      </c>
      <c r="J414" s="493"/>
      <c r="K414" s="154" t="s">
        <v>153</v>
      </c>
      <c r="L414" s="494"/>
      <c r="M414" s="163" t="s">
        <v>32</v>
      </c>
      <c r="N414" s="494"/>
      <c r="O414" s="201" t="s">
        <v>163</v>
      </c>
      <c r="P414" s="494"/>
      <c r="Q414" s="202" t="s">
        <v>151</v>
      </c>
      <c r="R414" s="494"/>
      <c r="S414" s="226" t="s">
        <v>143</v>
      </c>
      <c r="T414" s="66"/>
      <c r="U414" s="2"/>
      <c r="V414" s="43"/>
    </row>
    <row r="415" spans="2:23" s="1" customFormat="1" x14ac:dyDescent="0.3">
      <c r="B415" s="36"/>
      <c r="C415" s="17"/>
      <c r="D415" s="149" t="s">
        <v>293</v>
      </c>
      <c r="E415" s="578">
        <f>E393</f>
        <v>6.8</v>
      </c>
      <c r="F415" s="565" t="s">
        <v>185</v>
      </c>
      <c r="G415" s="331">
        <f>G393</f>
        <v>1.82</v>
      </c>
      <c r="H415" s="565" t="s">
        <v>185</v>
      </c>
      <c r="I415" s="331"/>
      <c r="J415" s="565"/>
      <c r="K415" s="331">
        <v>1</v>
      </c>
      <c r="L415" s="565" t="s">
        <v>185</v>
      </c>
      <c r="M415" s="331">
        <f>M393</f>
        <v>4</v>
      </c>
      <c r="N415" s="565"/>
      <c r="O415" s="331"/>
      <c r="P415" s="565" t="s">
        <v>114</v>
      </c>
      <c r="Q415" s="331">
        <f>E415*G415*K415*M415</f>
        <v>49.503999999999998</v>
      </c>
      <c r="R415" s="565"/>
      <c r="S415" s="577"/>
      <c r="T415" s="66"/>
      <c r="U415" s="2"/>
      <c r="V415" s="43"/>
    </row>
    <row r="416" spans="2:23" s="1" customFormat="1" x14ac:dyDescent="0.3">
      <c r="B416" s="36"/>
      <c r="C416" s="17"/>
      <c r="D416" s="139" t="s">
        <v>158</v>
      </c>
      <c r="E416" s="328">
        <f>E394</f>
        <v>4</v>
      </c>
      <c r="F416" s="518" t="s">
        <v>185</v>
      </c>
      <c r="G416" s="1161">
        <f>G394</f>
        <v>4</v>
      </c>
      <c r="H416" s="518"/>
      <c r="I416" s="1161"/>
      <c r="J416" s="518"/>
      <c r="K416" s="1161">
        <v>1</v>
      </c>
      <c r="L416" s="518" t="s">
        <v>185</v>
      </c>
      <c r="M416" s="1161">
        <f>M394</f>
        <v>4</v>
      </c>
      <c r="N416" s="518"/>
      <c r="O416" s="1161"/>
      <c r="P416" s="518" t="s">
        <v>114</v>
      </c>
      <c r="Q416" s="1161">
        <f>G416*E416*K416*M416</f>
        <v>64</v>
      </c>
      <c r="R416" s="518"/>
      <c r="S416" s="519"/>
      <c r="T416" s="66"/>
      <c r="U416" s="2"/>
      <c r="V416" s="43"/>
    </row>
    <row r="417" spans="2:22" s="1" customFormat="1" x14ac:dyDescent="0.3">
      <c r="B417" s="36"/>
      <c r="C417" s="17"/>
      <c r="D417" s="146" t="s">
        <v>276</v>
      </c>
      <c r="E417" s="328">
        <f>E392</f>
        <v>1.82</v>
      </c>
      <c r="F417" s="518" t="s">
        <v>185</v>
      </c>
      <c r="G417" s="1161">
        <v>0.18</v>
      </c>
      <c r="H417" s="518"/>
      <c r="I417" s="1161"/>
      <c r="J417" s="518"/>
      <c r="K417" s="1161">
        <f>K392</f>
        <v>20</v>
      </c>
      <c r="L417" s="518" t="s">
        <v>185</v>
      </c>
      <c r="M417" s="1161">
        <f>M392</f>
        <v>4</v>
      </c>
      <c r="N417" s="518"/>
      <c r="O417" s="1161"/>
      <c r="P417" s="518" t="s">
        <v>114</v>
      </c>
      <c r="Q417" s="1161">
        <f>E417*G417*K417*M417</f>
        <v>26.207999999999998</v>
      </c>
      <c r="R417" s="517"/>
      <c r="S417" s="519"/>
      <c r="T417" s="66"/>
      <c r="U417" s="2"/>
      <c r="V417" s="43"/>
    </row>
    <row r="418" spans="2:22" s="1" customFormat="1" x14ac:dyDescent="0.3">
      <c r="B418" s="36"/>
      <c r="C418" s="17"/>
      <c r="D418" s="146" t="str">
        <f>D408</f>
        <v xml:space="preserve">Vertikal </v>
      </c>
      <c r="E418" s="328"/>
      <c r="F418" s="518" t="s">
        <v>185</v>
      </c>
      <c r="G418" s="1161">
        <f>G395</f>
        <v>1.6</v>
      </c>
      <c r="H418" s="518" t="s">
        <v>185</v>
      </c>
      <c r="I418" s="1161">
        <f>E395</f>
        <v>1.82</v>
      </c>
      <c r="J418" s="518"/>
      <c r="K418" s="1161">
        <v>1</v>
      </c>
      <c r="L418" s="518" t="s">
        <v>185</v>
      </c>
      <c r="M418" s="1161">
        <v>4</v>
      </c>
      <c r="N418" s="518"/>
      <c r="O418" s="1161"/>
      <c r="P418" s="518" t="s">
        <v>114</v>
      </c>
      <c r="Q418" s="1161">
        <f>G418*I418*K418*M418</f>
        <v>11.648000000000001</v>
      </c>
      <c r="R418" s="517"/>
      <c r="S418" s="519"/>
      <c r="T418" s="66"/>
      <c r="U418" s="2"/>
      <c r="V418" s="43"/>
    </row>
    <row r="419" spans="2:22" s="1" customFormat="1" x14ac:dyDescent="0.3">
      <c r="B419" s="36"/>
      <c r="C419" s="17"/>
      <c r="D419" s="150"/>
      <c r="E419" s="592"/>
      <c r="F419" s="512"/>
      <c r="G419" s="330"/>
      <c r="H419" s="512"/>
      <c r="I419" s="330"/>
      <c r="J419" s="512"/>
      <c r="K419" s="330"/>
      <c r="L419" s="512"/>
      <c r="M419" s="330"/>
      <c r="N419" s="512"/>
      <c r="O419" s="330"/>
      <c r="P419" s="512"/>
      <c r="Q419" s="330"/>
      <c r="R419" s="512"/>
      <c r="S419" s="559"/>
      <c r="T419" s="66"/>
      <c r="U419" s="2"/>
      <c r="V419" s="43"/>
    </row>
    <row r="420" spans="2:22" s="1" customFormat="1" ht="17.25" thickBot="1" x14ac:dyDescent="0.35">
      <c r="B420" s="36"/>
      <c r="C420" s="17"/>
      <c r="D420" s="3089" t="s">
        <v>164</v>
      </c>
      <c r="E420" s="3090"/>
      <c r="F420" s="3090"/>
      <c r="G420" s="3090"/>
      <c r="H420" s="3090"/>
      <c r="I420" s="3090"/>
      <c r="J420" s="622"/>
      <c r="K420" s="190"/>
      <c r="L420" s="622"/>
      <c r="M420" s="190"/>
      <c r="N420" s="622"/>
      <c r="O420" s="190"/>
      <c r="P420" s="622"/>
      <c r="Q420" s="273">
        <f>SUM(Q415:Q419)</f>
        <v>151.35999999999999</v>
      </c>
      <c r="R420" s="622"/>
      <c r="S420" s="247"/>
      <c r="T420" s="66"/>
      <c r="U420" s="2"/>
      <c r="V420" s="43"/>
    </row>
    <row r="421" spans="2:22" x14ac:dyDescent="0.3">
      <c r="B421" s="464"/>
      <c r="C421" s="465"/>
      <c r="D421" s="453"/>
      <c r="E421" s="455"/>
      <c r="F421" s="485"/>
      <c r="G421" s="455"/>
      <c r="H421" s="485"/>
      <c r="I421" s="455"/>
      <c r="J421" s="485"/>
      <c r="K421" s="438"/>
      <c r="L421" s="482"/>
      <c r="M421" s="439"/>
      <c r="N421" s="482"/>
      <c r="O421" s="438"/>
      <c r="P421" s="482"/>
      <c r="Q421" s="477"/>
      <c r="R421" s="482"/>
      <c r="S421" s="454"/>
    </row>
    <row r="422" spans="2:22" s="1" customFormat="1" x14ac:dyDescent="0.3">
      <c r="B422" s="36">
        <f>RAB!B78</f>
        <v>12</v>
      </c>
      <c r="C422" s="17" t="str">
        <f>RAB!C78</f>
        <v>Plat Lantai</v>
      </c>
      <c r="D422" s="38"/>
      <c r="E422" s="208"/>
      <c r="F422" s="551"/>
      <c r="G422" s="208"/>
      <c r="H422" s="551"/>
      <c r="I422" s="208"/>
      <c r="J422" s="551"/>
      <c r="K422" s="156"/>
      <c r="L422" s="501"/>
      <c r="M422" s="165"/>
      <c r="N422" s="501"/>
      <c r="O422" s="156"/>
      <c r="P422" s="501"/>
      <c r="Q422" s="204"/>
      <c r="R422" s="501"/>
      <c r="S422" s="232"/>
      <c r="T422" s="66"/>
      <c r="U422" s="2"/>
      <c r="V422" s="43"/>
    </row>
    <row r="423" spans="2:22" s="1" customFormat="1" ht="17.25" thickBot="1" x14ac:dyDescent="0.35">
      <c r="B423" s="36"/>
      <c r="C423" s="17" t="str">
        <f>RAB!D79</f>
        <v xml:space="preserve">Beton mutu f'c=26,4 Mpa </v>
      </c>
      <c r="D423" s="38"/>
      <c r="E423" s="208"/>
      <c r="F423" s="551"/>
      <c r="G423" s="208"/>
      <c r="H423" s="551"/>
      <c r="I423" s="208"/>
      <c r="J423" s="551"/>
      <c r="K423" s="156"/>
      <c r="L423" s="501"/>
      <c r="M423" s="165"/>
      <c r="N423" s="501"/>
      <c r="O423" s="156"/>
      <c r="P423" s="501"/>
      <c r="Q423" s="204"/>
      <c r="R423" s="501"/>
      <c r="S423" s="232"/>
      <c r="T423" s="18">
        <f>ROUNDDOWN(S431,2)</f>
        <v>69.69</v>
      </c>
      <c r="U423" s="2" t="s">
        <v>3</v>
      </c>
      <c r="V423" s="43"/>
    </row>
    <row r="424" spans="2:22" s="1" customFormat="1" x14ac:dyDescent="0.3">
      <c r="B424" s="36"/>
      <c r="C424" s="17"/>
      <c r="D424" s="8" t="s">
        <v>95</v>
      </c>
      <c r="E424" s="154" t="s">
        <v>150</v>
      </c>
      <c r="F424" s="493"/>
      <c r="G424" s="154" t="s">
        <v>151</v>
      </c>
      <c r="H424" s="493"/>
      <c r="I424" s="154" t="s">
        <v>152</v>
      </c>
      <c r="J424" s="493"/>
      <c r="K424" s="154" t="s">
        <v>153</v>
      </c>
      <c r="L424" s="494"/>
      <c r="M424" s="163" t="s">
        <v>32</v>
      </c>
      <c r="N424" s="494"/>
      <c r="O424" s="201" t="s">
        <v>163</v>
      </c>
      <c r="P424" s="494"/>
      <c r="Q424" s="202" t="s">
        <v>151</v>
      </c>
      <c r="R424" s="494"/>
      <c r="S424" s="226" t="s">
        <v>143</v>
      </c>
      <c r="T424" s="66"/>
      <c r="U424" s="2"/>
      <c r="V424" s="43"/>
    </row>
    <row r="425" spans="2:22" s="1" customFormat="1" x14ac:dyDescent="0.3">
      <c r="B425" s="36"/>
      <c r="C425" s="17"/>
      <c r="D425" s="149" t="s">
        <v>239</v>
      </c>
      <c r="E425" s="578"/>
      <c r="F425" s="565"/>
      <c r="G425" s="578"/>
      <c r="H425" s="565"/>
      <c r="I425" s="331">
        <v>0.1</v>
      </c>
      <c r="J425" s="565" t="s">
        <v>185</v>
      </c>
      <c r="K425" s="331">
        <v>1</v>
      </c>
      <c r="L425" s="565"/>
      <c r="M425" s="331"/>
      <c r="N425" s="565"/>
      <c r="O425" s="331"/>
      <c r="P425" s="565"/>
      <c r="Q425" s="331">
        <v>711.62</v>
      </c>
      <c r="R425" s="565" t="s">
        <v>114</v>
      </c>
      <c r="S425" s="577">
        <f>K425*I425*Q425</f>
        <v>71.162000000000006</v>
      </c>
      <c r="T425" s="66"/>
      <c r="U425" s="2"/>
      <c r="V425" s="43"/>
    </row>
    <row r="426" spans="2:22" s="1" customFormat="1" x14ac:dyDescent="0.3">
      <c r="B426" s="36"/>
      <c r="C426" s="17"/>
      <c r="D426" s="138" t="s">
        <v>244</v>
      </c>
      <c r="E426" s="1161"/>
      <c r="F426" s="517"/>
      <c r="G426" s="1161"/>
      <c r="H426" s="517"/>
      <c r="I426" s="1161"/>
      <c r="J426" s="517"/>
      <c r="K426" s="1161"/>
      <c r="L426" s="517"/>
      <c r="M426" s="1161"/>
      <c r="N426" s="517"/>
      <c r="O426" s="1161"/>
      <c r="P426" s="517"/>
      <c r="Q426" s="1161"/>
      <c r="R426" s="517"/>
      <c r="S426" s="519"/>
      <c r="T426" s="66"/>
      <c r="U426" s="2"/>
      <c r="V426" s="43"/>
    </row>
    <row r="427" spans="2:22" s="1" customFormat="1" x14ac:dyDescent="0.3">
      <c r="B427" s="36"/>
      <c r="C427" s="17"/>
      <c r="D427" s="139" t="s">
        <v>719</v>
      </c>
      <c r="E427" s="328">
        <v>0.4</v>
      </c>
      <c r="F427" s="518" t="s">
        <v>185</v>
      </c>
      <c r="G427" s="328">
        <v>0.4</v>
      </c>
      <c r="H427" s="518" t="s">
        <v>185</v>
      </c>
      <c r="I427" s="1161">
        <v>0.1</v>
      </c>
      <c r="J427" s="518" t="s">
        <v>185</v>
      </c>
      <c r="K427" s="1161">
        <f>9*5</f>
        <v>45</v>
      </c>
      <c r="L427" s="518"/>
      <c r="M427" s="1161"/>
      <c r="N427" s="518"/>
      <c r="O427" s="1161"/>
      <c r="P427" s="518"/>
      <c r="Q427" s="1161">
        <f>K427*G427*E427</f>
        <v>7.2</v>
      </c>
      <c r="R427" s="518" t="s">
        <v>114</v>
      </c>
      <c r="S427" s="519">
        <f>I427*G427*E427*K427</f>
        <v>0.7200000000000002</v>
      </c>
      <c r="T427" s="66"/>
      <c r="U427" s="2"/>
      <c r="V427" s="43"/>
    </row>
    <row r="428" spans="2:22" s="1" customFormat="1" x14ac:dyDescent="0.3">
      <c r="B428" s="36"/>
      <c r="C428" s="17"/>
      <c r="D428" s="139"/>
      <c r="E428" s="328"/>
      <c r="F428" s="518"/>
      <c r="G428" s="328"/>
      <c r="H428" s="518"/>
      <c r="I428" s="1161"/>
      <c r="J428" s="518"/>
      <c r="K428" s="1161"/>
      <c r="L428" s="518"/>
      <c r="M428" s="1161"/>
      <c r="N428" s="518"/>
      <c r="O428" s="1161"/>
      <c r="P428" s="518"/>
      <c r="Q428" s="1161"/>
      <c r="R428" s="518"/>
      <c r="S428" s="519"/>
      <c r="T428" s="66"/>
      <c r="U428" s="2"/>
      <c r="V428" s="43"/>
    </row>
    <row r="429" spans="2:22" s="1" customFormat="1" x14ac:dyDescent="0.3">
      <c r="B429" s="36"/>
      <c r="C429" s="17"/>
      <c r="D429" s="140" t="s">
        <v>735</v>
      </c>
      <c r="E429" s="328"/>
      <c r="F429" s="518"/>
      <c r="G429" s="1161"/>
      <c r="H429" s="518"/>
      <c r="I429" s="1161"/>
      <c r="J429" s="518"/>
      <c r="K429" s="1161">
        <f>S441</f>
        <v>5891.5371428571434</v>
      </c>
      <c r="L429" s="517" t="s">
        <v>253</v>
      </c>
      <c r="M429" s="328"/>
      <c r="N429" s="517"/>
      <c r="O429" s="328">
        <f>O437</f>
        <v>7850</v>
      </c>
      <c r="P429" s="517"/>
      <c r="Q429" s="1161"/>
      <c r="R429" s="518" t="s">
        <v>114</v>
      </c>
      <c r="S429" s="519">
        <f>K429/O429</f>
        <v>0.7505142857142858</v>
      </c>
      <c r="T429" s="66"/>
      <c r="U429" s="2"/>
      <c r="V429" s="43"/>
    </row>
    <row r="430" spans="2:22" s="1" customFormat="1" x14ac:dyDescent="0.3">
      <c r="B430" s="36"/>
      <c r="C430" s="17"/>
      <c r="D430" s="150"/>
      <c r="E430" s="592"/>
      <c r="F430" s="593"/>
      <c r="G430" s="330"/>
      <c r="H430" s="512"/>
      <c r="I430" s="330"/>
      <c r="J430" s="512"/>
      <c r="K430" s="330"/>
      <c r="L430" s="512"/>
      <c r="M430" s="330"/>
      <c r="N430" s="512"/>
      <c r="O430" s="330"/>
      <c r="P430" s="512"/>
      <c r="Q430" s="330"/>
      <c r="R430" s="512" t="s">
        <v>149</v>
      </c>
      <c r="S430" s="559"/>
      <c r="T430" s="66"/>
      <c r="U430" s="2"/>
      <c r="V430" s="43"/>
    </row>
    <row r="431" spans="2:22" s="1" customFormat="1" ht="17.25" thickBot="1" x14ac:dyDescent="0.35">
      <c r="B431" s="36"/>
      <c r="C431" s="17"/>
      <c r="D431" s="3093" t="s">
        <v>164</v>
      </c>
      <c r="E431" s="3094"/>
      <c r="F431" s="3094"/>
      <c r="G431" s="3094"/>
      <c r="H431" s="3094"/>
      <c r="I431" s="3095"/>
      <c r="J431" s="524"/>
      <c r="K431" s="178"/>
      <c r="L431" s="500"/>
      <c r="M431" s="175"/>
      <c r="N431" s="500"/>
      <c r="O431" s="178"/>
      <c r="P431" s="500"/>
      <c r="Q431" s="203"/>
      <c r="R431" s="500"/>
      <c r="S431" s="231">
        <f>SUM(S425)-SUM(S427:S429)</f>
        <v>69.691485714285719</v>
      </c>
      <c r="T431" s="66"/>
      <c r="U431" s="2"/>
      <c r="V431" s="43"/>
    </row>
    <row r="432" spans="2:22" s="1" customFormat="1" x14ac:dyDescent="0.3">
      <c r="B432" s="36"/>
      <c r="C432" s="17"/>
      <c r="D432" s="38"/>
      <c r="E432" s="208"/>
      <c r="F432" s="551"/>
      <c r="G432" s="208"/>
      <c r="H432" s="551"/>
      <c r="I432" s="208"/>
      <c r="J432" s="551"/>
      <c r="K432" s="156"/>
      <c r="L432" s="501"/>
      <c r="M432" s="165"/>
      <c r="N432" s="501"/>
      <c r="O432" s="156"/>
      <c r="P432" s="501"/>
      <c r="Q432" s="204"/>
      <c r="R432" s="501"/>
      <c r="S432" s="232"/>
      <c r="T432" s="66"/>
      <c r="U432" s="2"/>
      <c r="V432" s="43"/>
    </row>
    <row r="433" spans="2:23" ht="17.25" thickBot="1" x14ac:dyDescent="0.35">
      <c r="B433" s="464"/>
      <c r="C433" s="17" t="str">
        <f>RAB!D80</f>
        <v>Pembesian Polos</v>
      </c>
      <c r="D433" s="38"/>
      <c r="E433" s="208"/>
      <c r="F433" s="551"/>
      <c r="G433" s="208"/>
      <c r="H433" s="551"/>
      <c r="I433" s="208"/>
      <c r="J433" s="551"/>
      <c r="K433" s="156"/>
      <c r="L433" s="501"/>
      <c r="M433" s="165"/>
      <c r="N433" s="501"/>
      <c r="O433" s="156"/>
      <c r="P433" s="501"/>
      <c r="Q433" s="204"/>
      <c r="R433" s="501"/>
      <c r="S433" s="232"/>
      <c r="T433" s="18">
        <f>ROUNDDOWN(S441,2)</f>
        <v>5891.53</v>
      </c>
      <c r="U433" s="2" t="s">
        <v>0</v>
      </c>
      <c r="W433" s="351">
        <v>3972.96</v>
      </c>
    </row>
    <row r="434" spans="2:23" x14ac:dyDescent="0.3">
      <c r="B434" s="464"/>
      <c r="C434" s="17"/>
      <c r="D434" s="8" t="s">
        <v>95</v>
      </c>
      <c r="E434" s="154" t="s">
        <v>150</v>
      </c>
      <c r="F434" s="493"/>
      <c r="G434" s="154" t="s">
        <v>151</v>
      </c>
      <c r="H434" s="493"/>
      <c r="I434" s="154" t="s">
        <v>152</v>
      </c>
      <c r="J434" s="493"/>
      <c r="K434" s="154" t="s">
        <v>153</v>
      </c>
      <c r="L434" s="494"/>
      <c r="M434" s="163" t="s">
        <v>32</v>
      </c>
      <c r="N434" s="494"/>
      <c r="O434" s="201" t="s">
        <v>163</v>
      </c>
      <c r="P434" s="494"/>
      <c r="Q434" s="202" t="s">
        <v>151</v>
      </c>
      <c r="R434" s="494"/>
      <c r="S434" s="226" t="s">
        <v>143</v>
      </c>
      <c r="T434" s="66"/>
      <c r="U434" s="2"/>
    </row>
    <row r="435" spans="2:23" x14ac:dyDescent="0.3">
      <c r="B435" s="464"/>
      <c r="C435" s="17"/>
      <c r="D435" s="142" t="s">
        <v>291</v>
      </c>
      <c r="E435" s="331"/>
      <c r="F435" s="575"/>
      <c r="G435" s="331"/>
      <c r="H435" s="575"/>
      <c r="I435" s="331"/>
      <c r="J435" s="575"/>
      <c r="K435" s="331"/>
      <c r="L435" s="575"/>
      <c r="M435" s="331"/>
      <c r="N435" s="575"/>
      <c r="O435" s="331"/>
      <c r="P435" s="575"/>
      <c r="Q435" s="331"/>
      <c r="R435" s="575"/>
      <c r="S435" s="577"/>
      <c r="T435" s="66"/>
      <c r="U435" s="2"/>
    </row>
    <row r="436" spans="2:23" x14ac:dyDescent="0.3">
      <c r="B436" s="464"/>
      <c r="C436" s="17"/>
      <c r="D436" s="138" t="s">
        <v>286</v>
      </c>
      <c r="E436" s="1161"/>
      <c r="F436" s="517"/>
      <c r="G436" s="1161"/>
      <c r="H436" s="517"/>
      <c r="I436" s="1161"/>
      <c r="J436" s="517"/>
      <c r="K436" s="1161"/>
      <c r="L436" s="518"/>
      <c r="M436" s="1161"/>
      <c r="N436" s="518"/>
      <c r="O436" s="1161"/>
      <c r="P436" s="518"/>
      <c r="Q436" s="1161"/>
      <c r="R436" s="518"/>
      <c r="S436" s="519"/>
      <c r="T436" s="66"/>
      <c r="U436" s="2"/>
    </row>
    <row r="437" spans="2:23" x14ac:dyDescent="0.3">
      <c r="B437" s="464"/>
      <c r="C437" s="17"/>
      <c r="D437" s="138" t="s">
        <v>292</v>
      </c>
      <c r="E437" s="1161">
        <f>36</f>
        <v>36</v>
      </c>
      <c r="F437" s="517" t="s">
        <v>185</v>
      </c>
      <c r="G437" s="1161"/>
      <c r="H437" s="517"/>
      <c r="I437" s="1161"/>
      <c r="J437" s="517"/>
      <c r="K437" s="1161">
        <v>132</v>
      </c>
      <c r="L437" s="518" t="s">
        <v>185</v>
      </c>
      <c r="M437" s="1161">
        <v>1</v>
      </c>
      <c r="N437" s="518"/>
      <c r="O437" s="1161">
        <v>7850</v>
      </c>
      <c r="P437" s="518" t="s">
        <v>185</v>
      </c>
      <c r="Q437" s="608">
        <f>22/7*0.005*0.005</f>
        <v>7.857142857142858E-5</v>
      </c>
      <c r="R437" s="518" t="s">
        <v>114</v>
      </c>
      <c r="S437" s="519">
        <f>E437*K437*O437*Q437*M437</f>
        <v>2930.9657142857145</v>
      </c>
      <c r="T437" s="66"/>
      <c r="U437" s="2"/>
      <c r="W437" s="351">
        <f>20/0.15</f>
        <v>133.33333333333334</v>
      </c>
    </row>
    <row r="438" spans="2:23" x14ac:dyDescent="0.3">
      <c r="B438" s="464"/>
      <c r="C438" s="17"/>
      <c r="D438" s="138" t="s">
        <v>252</v>
      </c>
      <c r="E438" s="1161"/>
      <c r="F438" s="517"/>
      <c r="G438" s="1161"/>
      <c r="H438" s="517"/>
      <c r="I438" s="1161"/>
      <c r="J438" s="517"/>
      <c r="K438" s="1161"/>
      <c r="L438" s="518"/>
      <c r="M438" s="1161"/>
      <c r="N438" s="518"/>
      <c r="O438" s="1161"/>
      <c r="P438" s="518"/>
      <c r="Q438" s="608"/>
      <c r="R438" s="518"/>
      <c r="S438" s="519"/>
      <c r="T438" s="66"/>
      <c r="U438" s="2"/>
    </row>
    <row r="439" spans="2:23" x14ac:dyDescent="0.3">
      <c r="B439" s="464"/>
      <c r="C439" s="17"/>
      <c r="D439" s="138" t="s">
        <v>292</v>
      </c>
      <c r="E439" s="1161">
        <v>20</v>
      </c>
      <c r="F439" s="517" t="s">
        <v>185</v>
      </c>
      <c r="G439" s="1161"/>
      <c r="H439" s="517"/>
      <c r="I439" s="1161"/>
      <c r="J439" s="517"/>
      <c r="K439" s="1161">
        <v>240</v>
      </c>
      <c r="L439" s="518" t="s">
        <v>185</v>
      </c>
      <c r="M439" s="1161">
        <v>1</v>
      </c>
      <c r="N439" s="518"/>
      <c r="O439" s="1161">
        <v>7850</v>
      </c>
      <c r="P439" s="518" t="s">
        <v>185</v>
      </c>
      <c r="Q439" s="608">
        <f>22/7*0.005*0.005</f>
        <v>7.857142857142858E-5</v>
      </c>
      <c r="R439" s="518" t="s">
        <v>114</v>
      </c>
      <c r="S439" s="519">
        <f>E439*K439*O439*Q439*M439</f>
        <v>2960.5714285714289</v>
      </c>
      <c r="T439" s="66"/>
      <c r="U439" s="2"/>
      <c r="W439" s="351">
        <f>36/0.15</f>
        <v>240</v>
      </c>
    </row>
    <row r="440" spans="2:23" x14ac:dyDescent="0.3">
      <c r="B440" s="464"/>
      <c r="C440" s="17"/>
      <c r="D440" s="150"/>
      <c r="E440" s="199"/>
      <c r="F440" s="630"/>
      <c r="G440" s="160"/>
      <c r="H440" s="523"/>
      <c r="I440" s="160"/>
      <c r="J440" s="523"/>
      <c r="K440" s="160"/>
      <c r="L440" s="630"/>
      <c r="M440" s="160"/>
      <c r="N440" s="630"/>
      <c r="O440" s="160"/>
      <c r="P440" s="630"/>
      <c r="Q440" s="220"/>
      <c r="R440" s="630"/>
      <c r="S440" s="251"/>
      <c r="T440" s="66"/>
      <c r="U440" s="2"/>
    </row>
    <row r="441" spans="2:23" ht="17.25" thickBot="1" x14ac:dyDescent="0.35">
      <c r="B441" s="464"/>
      <c r="C441" s="17"/>
      <c r="D441" s="3093" t="s">
        <v>164</v>
      </c>
      <c r="E441" s="3094"/>
      <c r="F441" s="3094"/>
      <c r="G441" s="3094"/>
      <c r="H441" s="3094"/>
      <c r="I441" s="3095"/>
      <c r="J441" s="524"/>
      <c r="K441" s="178"/>
      <c r="L441" s="500"/>
      <c r="M441" s="175"/>
      <c r="N441" s="500"/>
      <c r="O441" s="178"/>
      <c r="P441" s="500"/>
      <c r="Q441" s="203"/>
      <c r="R441" s="500"/>
      <c r="S441" s="231">
        <f>SUM(S435:S440)</f>
        <v>5891.5371428571434</v>
      </c>
      <c r="T441" s="66"/>
      <c r="U441" s="2"/>
    </row>
    <row r="442" spans="2:23" x14ac:dyDescent="0.3">
      <c r="B442" s="464"/>
      <c r="C442" s="465"/>
      <c r="D442" s="453"/>
      <c r="E442" s="455"/>
      <c r="F442" s="485"/>
      <c r="G442" s="455"/>
      <c r="H442" s="485"/>
      <c r="I442" s="455"/>
      <c r="J442" s="485"/>
      <c r="K442" s="438"/>
      <c r="L442" s="482"/>
      <c r="M442" s="439"/>
      <c r="N442" s="482"/>
      <c r="O442" s="438"/>
      <c r="P442" s="482"/>
      <c r="Q442" s="440"/>
      <c r="R442" s="482"/>
      <c r="S442" s="454"/>
    </row>
    <row r="443" spans="2:23" x14ac:dyDescent="0.3">
      <c r="B443" s="464"/>
      <c r="C443" s="465"/>
      <c r="D443" s="453"/>
      <c r="E443" s="455"/>
      <c r="F443" s="485"/>
      <c r="G443" s="455"/>
      <c r="H443" s="485"/>
      <c r="I443" s="455"/>
      <c r="J443" s="485"/>
      <c r="K443" s="438"/>
      <c r="L443" s="482"/>
      <c r="M443" s="439"/>
      <c r="N443" s="482"/>
      <c r="O443" s="438"/>
      <c r="P443" s="482"/>
      <c r="Q443" s="440"/>
      <c r="R443" s="482"/>
      <c r="S443" s="454"/>
    </row>
    <row r="444" spans="2:23" s="1" customFormat="1" x14ac:dyDescent="0.3">
      <c r="B444" s="134" t="str">
        <f>RAB!B83</f>
        <v>III</v>
      </c>
      <c r="C444" s="134" t="str">
        <f>RAB!C83</f>
        <v>PEKERJAAN DINDING &amp; PLESTERAN</v>
      </c>
      <c r="D444" s="66"/>
      <c r="E444" s="153"/>
      <c r="F444" s="480"/>
      <c r="G444" s="153"/>
      <c r="H444" s="480"/>
      <c r="I444" s="153"/>
      <c r="J444" s="480"/>
      <c r="K444" s="153"/>
      <c r="L444" s="480"/>
      <c r="M444" s="162"/>
      <c r="N444" s="480"/>
      <c r="O444" s="153"/>
      <c r="P444" s="480"/>
      <c r="Q444" s="200"/>
      <c r="R444" s="480"/>
      <c r="S444" s="224"/>
      <c r="T444" s="66"/>
      <c r="U444" s="2"/>
      <c r="V444" s="43"/>
    </row>
    <row r="445" spans="2:23" s="1" customFormat="1" ht="17.25" thickBot="1" x14ac:dyDescent="0.35">
      <c r="B445" s="59" t="e">
        <f>RAB!#REF!</f>
        <v>#REF!</v>
      </c>
      <c r="C445" s="60" t="e">
        <f>RAB!#REF!</f>
        <v>#REF!</v>
      </c>
      <c r="E445" s="153"/>
      <c r="F445" s="480"/>
      <c r="G445" s="153"/>
      <c r="H445" s="480"/>
      <c r="I445" s="153"/>
      <c r="J445" s="480"/>
      <c r="K445" s="153"/>
      <c r="L445" s="480"/>
      <c r="M445" s="162"/>
      <c r="N445" s="480"/>
      <c r="O445" s="153"/>
      <c r="P445" s="480"/>
      <c r="Q445" s="153"/>
      <c r="R445" s="480"/>
      <c r="S445" s="224"/>
      <c r="T445" s="18"/>
      <c r="U445" s="2" t="s">
        <v>2</v>
      </c>
      <c r="V445" s="43"/>
    </row>
    <row r="446" spans="2:23" s="1" customFormat="1" x14ac:dyDescent="0.3">
      <c r="B446" s="59"/>
      <c r="C446" s="60"/>
      <c r="D446" s="8" t="s">
        <v>95</v>
      </c>
      <c r="E446" s="154" t="s">
        <v>150</v>
      </c>
      <c r="F446" s="493"/>
      <c r="G446" s="154" t="s">
        <v>151</v>
      </c>
      <c r="H446" s="493"/>
      <c r="I446" s="154" t="s">
        <v>152</v>
      </c>
      <c r="J446" s="493"/>
      <c r="K446" s="154" t="s">
        <v>153</v>
      </c>
      <c r="L446" s="494"/>
      <c r="M446" s="163" t="s">
        <v>32</v>
      </c>
      <c r="N446" s="494"/>
      <c r="O446" s="201" t="s">
        <v>163</v>
      </c>
      <c r="P446" s="494"/>
      <c r="Q446" s="201" t="s">
        <v>151</v>
      </c>
      <c r="R446" s="494"/>
      <c r="S446" s="226" t="s">
        <v>143</v>
      </c>
      <c r="T446" s="66"/>
      <c r="U446" s="2"/>
      <c r="V446" s="43"/>
    </row>
    <row r="447" spans="2:23" s="1" customFormat="1" x14ac:dyDescent="0.3">
      <c r="B447" s="59"/>
      <c r="C447" s="60"/>
      <c r="D447" s="274" t="s">
        <v>1332</v>
      </c>
      <c r="E447" s="331"/>
      <c r="F447" s="565"/>
      <c r="G447" s="331"/>
      <c r="H447" s="565"/>
      <c r="I447" s="331"/>
      <c r="J447" s="565"/>
      <c r="K447" s="331"/>
      <c r="L447" s="565"/>
      <c r="M447" s="331"/>
      <c r="N447" s="575"/>
      <c r="O447" s="331"/>
      <c r="P447" s="565"/>
      <c r="Q447" s="331"/>
      <c r="R447" s="565"/>
      <c r="S447" s="577"/>
      <c r="T447" s="66"/>
      <c r="U447" s="2"/>
      <c r="V447" s="43"/>
    </row>
    <row r="448" spans="2:23" s="1" customFormat="1" x14ac:dyDescent="0.3">
      <c r="B448" s="59"/>
      <c r="C448" s="60"/>
      <c r="D448" s="139" t="s">
        <v>194</v>
      </c>
      <c r="E448" s="1161">
        <f>36</f>
        <v>36</v>
      </c>
      <c r="F448" s="518" t="s">
        <v>185</v>
      </c>
      <c r="G448" s="1161"/>
      <c r="H448" s="518"/>
      <c r="I448" s="1161">
        <v>4</v>
      </c>
      <c r="J448" s="518" t="s">
        <v>185</v>
      </c>
      <c r="K448" s="1161">
        <v>2</v>
      </c>
      <c r="L448" s="518"/>
      <c r="M448" s="1161"/>
      <c r="N448" s="517"/>
      <c r="O448" s="1161"/>
      <c r="P448" s="518" t="s">
        <v>114</v>
      </c>
      <c r="Q448" s="1161">
        <f>K448*I448*E448</f>
        <v>288</v>
      </c>
      <c r="R448" s="518"/>
      <c r="S448" s="519"/>
      <c r="T448" s="66"/>
      <c r="U448" s="2"/>
      <c r="V448" s="43"/>
    </row>
    <row r="449" spans="2:23" s="1" customFormat="1" x14ac:dyDescent="0.3">
      <c r="B449" s="59"/>
      <c r="C449" s="60"/>
      <c r="D449" s="139" t="s">
        <v>257</v>
      </c>
      <c r="E449" s="1161">
        <v>1.35</v>
      </c>
      <c r="F449" s="518" t="s">
        <v>185</v>
      </c>
      <c r="G449" s="1161"/>
      <c r="H449" s="518"/>
      <c r="I449" s="1161">
        <v>1</v>
      </c>
      <c r="J449" s="518" t="s">
        <v>185</v>
      </c>
      <c r="K449" s="1161">
        <v>2</v>
      </c>
      <c r="L449" s="518"/>
      <c r="M449" s="1161"/>
      <c r="N449" s="517"/>
      <c r="O449" s="1161"/>
      <c r="P449" s="518" t="s">
        <v>114</v>
      </c>
      <c r="Q449" s="1161">
        <f>K449*I449*E449</f>
        <v>2.7</v>
      </c>
      <c r="R449" s="518"/>
      <c r="S449" s="519"/>
      <c r="T449" s="66"/>
      <c r="U449" s="2"/>
      <c r="V449" s="43"/>
      <c r="W449" s="37"/>
    </row>
    <row r="450" spans="2:23" s="1" customFormat="1" x14ac:dyDescent="0.3">
      <c r="B450" s="59"/>
      <c r="C450" s="60"/>
      <c r="D450" s="150"/>
      <c r="E450" s="592"/>
      <c r="F450" s="512"/>
      <c r="G450" s="330"/>
      <c r="H450" s="512"/>
      <c r="I450" s="330"/>
      <c r="J450" s="512"/>
      <c r="K450" s="330"/>
      <c r="L450" s="512"/>
      <c r="M450" s="330"/>
      <c r="N450" s="512"/>
      <c r="O450" s="330"/>
      <c r="P450" s="512"/>
      <c r="Q450" s="330"/>
      <c r="R450" s="512"/>
      <c r="S450" s="559"/>
      <c r="T450" s="66"/>
      <c r="U450" s="2"/>
      <c r="V450" s="43"/>
    </row>
    <row r="451" spans="2:23" s="1" customFormat="1" ht="17.25" thickBot="1" x14ac:dyDescent="0.35">
      <c r="B451" s="59"/>
      <c r="C451" s="60"/>
      <c r="D451" s="3093" t="s">
        <v>164</v>
      </c>
      <c r="E451" s="3093"/>
      <c r="F451" s="3093"/>
      <c r="G451" s="3093"/>
      <c r="H451" s="3093"/>
      <c r="I451" s="3093"/>
      <c r="J451" s="524"/>
      <c r="K451" s="178"/>
      <c r="L451" s="500"/>
      <c r="M451" s="175"/>
      <c r="N451" s="500"/>
      <c r="O451" s="178"/>
      <c r="P451" s="500"/>
      <c r="Q451" s="579">
        <f>SUM(Q448:Q449)</f>
        <v>290.7</v>
      </c>
      <c r="R451" s="500"/>
      <c r="S451" s="231"/>
      <c r="T451" s="66"/>
      <c r="U451" s="2"/>
      <c r="V451" s="43"/>
    </row>
    <row r="452" spans="2:23" x14ac:dyDescent="0.3">
      <c r="B452" s="473"/>
      <c r="C452" s="473"/>
      <c r="Q452" s="430"/>
    </row>
    <row r="453" spans="2:23" s="1" customFormat="1" ht="17.25" thickBot="1" x14ac:dyDescent="0.35">
      <c r="B453" s="59">
        <f>RAB!B84</f>
        <v>1</v>
      </c>
      <c r="C453" s="60" t="str">
        <f>RAB!C84</f>
        <v xml:space="preserve">Pasangan 1/2 bata camp. 1 : 4 </v>
      </c>
      <c r="E453" s="153"/>
      <c r="F453" s="480"/>
      <c r="G453" s="153"/>
      <c r="H453" s="480"/>
      <c r="I453" s="153"/>
      <c r="J453" s="480"/>
      <c r="K453" s="153"/>
      <c r="L453" s="480"/>
      <c r="M453" s="162"/>
      <c r="N453" s="480"/>
      <c r="O453" s="153"/>
      <c r="P453" s="480"/>
      <c r="Q453" s="153"/>
      <c r="R453" s="480"/>
      <c r="S453" s="224"/>
      <c r="T453" s="18">
        <f>ROUNDDOWN(Q465,2)</f>
        <v>776.56</v>
      </c>
      <c r="U453" s="2" t="s">
        <v>2</v>
      </c>
      <c r="V453" s="43"/>
    </row>
    <row r="454" spans="2:23" s="1" customFormat="1" x14ac:dyDescent="0.3">
      <c r="B454" s="59"/>
      <c r="C454" s="60"/>
      <c r="D454" s="8" t="s">
        <v>95</v>
      </c>
      <c r="E454" s="154" t="s">
        <v>150</v>
      </c>
      <c r="F454" s="493"/>
      <c r="G454" s="154" t="s">
        <v>151</v>
      </c>
      <c r="H454" s="493"/>
      <c r="I454" s="155" t="s">
        <v>152</v>
      </c>
      <c r="J454" s="493"/>
      <c r="K454" s="154" t="s">
        <v>153</v>
      </c>
      <c r="L454" s="494"/>
      <c r="M454" s="163" t="s">
        <v>32</v>
      </c>
      <c r="N454" s="494"/>
      <c r="O454" s="201" t="s">
        <v>163</v>
      </c>
      <c r="P454" s="494"/>
      <c r="Q454" s="201" t="s">
        <v>151</v>
      </c>
      <c r="R454" s="494"/>
      <c r="S454" s="226" t="s">
        <v>143</v>
      </c>
      <c r="T454" s="66"/>
      <c r="U454" s="2"/>
      <c r="V454" s="43"/>
    </row>
    <row r="455" spans="2:23" s="1" customFormat="1" x14ac:dyDescent="0.3">
      <c r="B455" s="59"/>
      <c r="C455" s="60"/>
      <c r="D455" s="636" t="s">
        <v>193</v>
      </c>
      <c r="E455" s="331"/>
      <c r="F455" s="575"/>
      <c r="G455" s="331"/>
      <c r="H455" s="575"/>
      <c r="I455" s="331"/>
      <c r="J455" s="575"/>
      <c r="K455" s="331"/>
      <c r="L455" s="575"/>
      <c r="M455" s="331"/>
      <c r="N455" s="575"/>
      <c r="O455" s="331"/>
      <c r="P455" s="575"/>
      <c r="Q455" s="331"/>
      <c r="R455" s="575"/>
      <c r="S455" s="577"/>
      <c r="T455" s="66"/>
      <c r="U455" s="2"/>
      <c r="V455" s="43"/>
    </row>
    <row r="456" spans="2:23" s="1" customFormat="1" x14ac:dyDescent="0.3">
      <c r="B456" s="59"/>
      <c r="C456" s="60"/>
      <c r="D456" s="146" t="s">
        <v>194</v>
      </c>
      <c r="E456" s="1161">
        <f>36</f>
        <v>36</v>
      </c>
      <c r="F456" s="518" t="s">
        <v>185</v>
      </c>
      <c r="G456" s="1161"/>
      <c r="H456" s="518"/>
      <c r="I456" s="1161">
        <v>3.6</v>
      </c>
      <c r="J456" s="518" t="s">
        <v>185</v>
      </c>
      <c r="K456" s="1161">
        <v>4</v>
      </c>
      <c r="L456" s="518"/>
      <c r="M456" s="1161"/>
      <c r="N456" s="517"/>
      <c r="O456" s="1161"/>
      <c r="P456" s="518" t="s">
        <v>114</v>
      </c>
      <c r="Q456" s="1161">
        <f>K456*I456*E456</f>
        <v>518.4</v>
      </c>
      <c r="R456" s="518"/>
      <c r="S456" s="519"/>
      <c r="T456" s="66"/>
      <c r="U456" s="2"/>
      <c r="V456" s="43"/>
    </row>
    <row r="457" spans="2:23" s="1" customFormat="1" x14ac:dyDescent="0.3">
      <c r="B457" s="59"/>
      <c r="C457" s="60"/>
      <c r="D457" s="146" t="s">
        <v>165</v>
      </c>
      <c r="E457" s="1161">
        <v>20</v>
      </c>
      <c r="F457" s="518" t="s">
        <v>185</v>
      </c>
      <c r="G457" s="1161"/>
      <c r="H457" s="518"/>
      <c r="I457" s="1161">
        <v>3.6</v>
      </c>
      <c r="J457" s="518" t="s">
        <v>185</v>
      </c>
      <c r="K457" s="1161">
        <v>6</v>
      </c>
      <c r="L457" s="518"/>
      <c r="M457" s="1161"/>
      <c r="N457" s="517"/>
      <c r="O457" s="1161"/>
      <c r="P457" s="518" t="s">
        <v>114</v>
      </c>
      <c r="Q457" s="1161">
        <f>K457*I457*E457</f>
        <v>432</v>
      </c>
      <c r="R457" s="518"/>
      <c r="S457" s="519"/>
      <c r="T457" s="134"/>
      <c r="U457" s="2"/>
      <c r="V457" s="43"/>
    </row>
    <row r="458" spans="2:23" s="1" customFormat="1" x14ac:dyDescent="0.3">
      <c r="B458" s="59"/>
      <c r="C458" s="60"/>
      <c r="D458" s="258" t="s">
        <v>154</v>
      </c>
      <c r="E458" s="328"/>
      <c r="F458" s="517"/>
      <c r="G458" s="328"/>
      <c r="H458" s="517"/>
      <c r="I458" s="328"/>
      <c r="J458" s="517"/>
      <c r="K458" s="328"/>
      <c r="L458" s="517"/>
      <c r="M458" s="328"/>
      <c r="N458" s="517"/>
      <c r="O458" s="328"/>
      <c r="P458" s="517"/>
      <c r="Q458" s="328"/>
      <c r="R458" s="517"/>
      <c r="S458" s="519"/>
      <c r="T458" s="66"/>
      <c r="U458" s="2"/>
      <c r="V458" s="43"/>
    </row>
    <row r="459" spans="2:23" s="1" customFormat="1" x14ac:dyDescent="0.3">
      <c r="B459" s="59"/>
      <c r="C459" s="60"/>
      <c r="D459" s="146" t="s">
        <v>712</v>
      </c>
      <c r="E459" s="1161">
        <v>3</v>
      </c>
      <c r="F459" s="518" t="s">
        <v>185</v>
      </c>
      <c r="G459" s="1161"/>
      <c r="H459" s="518"/>
      <c r="I459" s="1161">
        <v>1.5</v>
      </c>
      <c r="J459" s="518" t="s">
        <v>185</v>
      </c>
      <c r="K459" s="1161">
        <v>8</v>
      </c>
      <c r="L459" s="517"/>
      <c r="M459" s="1161"/>
      <c r="N459" s="517"/>
      <c r="O459" s="1161"/>
      <c r="P459" s="518" t="s">
        <v>114</v>
      </c>
      <c r="Q459" s="1161">
        <f>K459*I459*E459</f>
        <v>36</v>
      </c>
      <c r="R459" s="517"/>
      <c r="S459" s="519"/>
      <c r="T459" s="66"/>
      <c r="U459" s="2"/>
      <c r="V459" s="43"/>
    </row>
    <row r="460" spans="2:23" s="1" customFormat="1" x14ac:dyDescent="0.3">
      <c r="B460" s="59"/>
      <c r="C460" s="60"/>
      <c r="D460" s="146" t="s">
        <v>585</v>
      </c>
      <c r="E460" s="1161">
        <v>3</v>
      </c>
      <c r="F460" s="518" t="s">
        <v>185</v>
      </c>
      <c r="G460" s="1161"/>
      <c r="H460" s="518"/>
      <c r="I460" s="1161">
        <v>2</v>
      </c>
      <c r="J460" s="518" t="s">
        <v>185</v>
      </c>
      <c r="K460" s="1161">
        <v>1</v>
      </c>
      <c r="L460" s="517"/>
      <c r="M460" s="1161"/>
      <c r="N460" s="517"/>
      <c r="O460" s="1161"/>
      <c r="P460" s="518" t="s">
        <v>114</v>
      </c>
      <c r="Q460" s="1161">
        <f>K460*I460*E460</f>
        <v>6</v>
      </c>
      <c r="R460" s="517"/>
      <c r="S460" s="519"/>
      <c r="T460" s="66"/>
      <c r="U460" s="2"/>
      <c r="V460" s="43"/>
    </row>
    <row r="461" spans="2:23" s="1" customFormat="1" x14ac:dyDescent="0.3">
      <c r="B461" s="59"/>
      <c r="C461" s="60"/>
      <c r="D461" s="146" t="s">
        <v>1333</v>
      </c>
      <c r="E461" s="1161">
        <v>2</v>
      </c>
      <c r="F461" s="518" t="s">
        <v>185</v>
      </c>
      <c r="G461" s="1161"/>
      <c r="H461" s="518"/>
      <c r="I461" s="1161">
        <v>0.7</v>
      </c>
      <c r="J461" s="518" t="s">
        <v>185</v>
      </c>
      <c r="K461" s="1161">
        <v>8</v>
      </c>
      <c r="L461" s="517"/>
      <c r="M461" s="1161"/>
      <c r="N461" s="517"/>
      <c r="O461" s="1161"/>
      <c r="P461" s="518" t="s">
        <v>114</v>
      </c>
      <c r="Q461" s="1161">
        <f>K461*I461*E461</f>
        <v>11.2</v>
      </c>
      <c r="R461" s="517"/>
      <c r="S461" s="519"/>
      <c r="T461" s="66"/>
      <c r="U461" s="2"/>
      <c r="V461" s="43"/>
    </row>
    <row r="462" spans="2:23" s="1" customFormat="1" x14ac:dyDescent="0.3">
      <c r="B462" s="59"/>
      <c r="C462" s="60"/>
      <c r="D462" s="146" t="s">
        <v>595</v>
      </c>
      <c r="E462" s="1161">
        <v>2</v>
      </c>
      <c r="F462" s="518" t="s">
        <v>185</v>
      </c>
      <c r="G462" s="1161"/>
      <c r="H462" s="518"/>
      <c r="I462" s="1161">
        <v>2.6</v>
      </c>
      <c r="J462" s="518" t="s">
        <v>185</v>
      </c>
      <c r="K462" s="1161">
        <f>12+10</f>
        <v>22</v>
      </c>
      <c r="L462" s="517"/>
      <c r="M462" s="1161"/>
      <c r="N462" s="517"/>
      <c r="O462" s="1161"/>
      <c r="P462" s="518" t="s">
        <v>114</v>
      </c>
      <c r="Q462" s="1161">
        <f>K462*I462*E462</f>
        <v>114.4</v>
      </c>
      <c r="R462" s="517"/>
      <c r="S462" s="519"/>
      <c r="T462" s="66"/>
      <c r="U462" s="2"/>
      <c r="V462" s="43"/>
    </row>
    <row r="463" spans="2:23" s="1" customFormat="1" x14ac:dyDescent="0.3">
      <c r="B463" s="59"/>
      <c r="C463" s="60"/>
      <c r="D463" s="146" t="s">
        <v>713</v>
      </c>
      <c r="E463" s="1161">
        <v>0.6</v>
      </c>
      <c r="F463" s="518" t="s">
        <v>185</v>
      </c>
      <c r="G463" s="1161"/>
      <c r="H463" s="518"/>
      <c r="I463" s="1161">
        <v>2.6</v>
      </c>
      <c r="J463" s="518" t="s">
        <v>185</v>
      </c>
      <c r="K463" s="1161">
        <v>4</v>
      </c>
      <c r="L463" s="517"/>
      <c r="M463" s="1161"/>
      <c r="N463" s="517"/>
      <c r="O463" s="1161"/>
      <c r="P463" s="518" t="s">
        <v>114</v>
      </c>
      <c r="Q463" s="1161">
        <f>K463*I463*E463</f>
        <v>6.24</v>
      </c>
      <c r="R463" s="517"/>
      <c r="S463" s="519"/>
      <c r="T463" s="66"/>
      <c r="U463" s="2"/>
      <c r="V463" s="43"/>
      <c r="W463" s="1">
        <f>I463*E463</f>
        <v>1.56</v>
      </c>
    </row>
    <row r="464" spans="2:23" s="1" customFormat="1" x14ac:dyDescent="0.3">
      <c r="B464" s="59"/>
      <c r="C464" s="60"/>
      <c r="D464" s="148"/>
      <c r="E464" s="619"/>
      <c r="F464" s="526"/>
      <c r="G464" s="619"/>
      <c r="H464" s="526"/>
      <c r="I464" s="619"/>
      <c r="J464" s="526"/>
      <c r="K464" s="619"/>
      <c r="L464" s="526"/>
      <c r="M464" s="619"/>
      <c r="N464" s="526"/>
      <c r="O464" s="619"/>
      <c r="P464" s="526"/>
      <c r="Q464" s="619"/>
      <c r="R464" s="526"/>
      <c r="S464" s="620"/>
      <c r="T464" s="66"/>
      <c r="U464" s="2"/>
      <c r="V464" s="43"/>
    </row>
    <row r="465" spans="2:22" s="1" customFormat="1" ht="17.25" thickBot="1" x14ac:dyDescent="0.35">
      <c r="B465" s="59"/>
      <c r="C465" s="60"/>
      <c r="D465" s="3096" t="s">
        <v>164</v>
      </c>
      <c r="E465" s="3097"/>
      <c r="F465" s="3097"/>
      <c r="G465" s="3097"/>
      <c r="H465" s="3097"/>
      <c r="I465" s="3097"/>
      <c r="J465" s="637"/>
      <c r="K465" s="196"/>
      <c r="L465" s="637"/>
      <c r="M465" s="196"/>
      <c r="N465" s="637"/>
      <c r="O465" s="196"/>
      <c r="P465" s="637"/>
      <c r="Q465" s="670">
        <f>SUM(Q455:Q457)-SUM(Q459:Q464)</f>
        <v>776.56</v>
      </c>
      <c r="R465" s="637"/>
      <c r="S465" s="253"/>
      <c r="T465" s="66"/>
      <c r="U465" s="2"/>
      <c r="V465" s="43"/>
    </row>
    <row r="466" spans="2:22" s="1" customFormat="1" x14ac:dyDescent="0.3">
      <c r="B466" s="59"/>
      <c r="C466" s="60"/>
      <c r="D466" s="338"/>
      <c r="E466" s="338"/>
      <c r="F466" s="338"/>
      <c r="G466" s="338"/>
      <c r="H466" s="338"/>
      <c r="I466" s="338"/>
      <c r="J466" s="638"/>
      <c r="K466" s="339"/>
      <c r="L466" s="638"/>
      <c r="M466" s="339"/>
      <c r="N466" s="638"/>
      <c r="O466" s="339"/>
      <c r="P466" s="638"/>
      <c r="Q466" s="657"/>
      <c r="R466" s="638"/>
      <c r="S466" s="340"/>
      <c r="T466" s="66"/>
      <c r="U466" s="2"/>
      <c r="V466" s="43"/>
    </row>
    <row r="467" spans="2:22" ht="17.25" thickBot="1" x14ac:dyDescent="0.35">
      <c r="B467" s="59" t="e">
        <f>RAB!#REF!</f>
        <v>#REF!</v>
      </c>
      <c r="C467" s="60" t="e">
        <f>RAB!#REF!</f>
        <v>#REF!</v>
      </c>
      <c r="Q467" s="430"/>
      <c r="T467" s="18">
        <v>0</v>
      </c>
      <c r="U467" s="2" t="s">
        <v>2</v>
      </c>
    </row>
    <row r="468" spans="2:22" s="1" customFormat="1" x14ac:dyDescent="0.3">
      <c r="B468" s="59"/>
      <c r="C468" s="60"/>
      <c r="D468" s="8" t="s">
        <v>95</v>
      </c>
      <c r="E468" s="154" t="s">
        <v>150</v>
      </c>
      <c r="F468" s="493"/>
      <c r="G468" s="154" t="s">
        <v>151</v>
      </c>
      <c r="H468" s="493"/>
      <c r="I468" s="154" t="s">
        <v>152</v>
      </c>
      <c r="J468" s="493"/>
      <c r="K468" s="154" t="s">
        <v>153</v>
      </c>
      <c r="L468" s="493"/>
      <c r="M468" s="169" t="s">
        <v>32</v>
      </c>
      <c r="N468" s="493"/>
      <c r="O468" s="154" t="s">
        <v>163</v>
      </c>
      <c r="P468" s="493"/>
      <c r="Q468" s="154" t="s">
        <v>151</v>
      </c>
      <c r="R468" s="493"/>
      <c r="S468" s="226" t="s">
        <v>143</v>
      </c>
      <c r="T468" s="66"/>
      <c r="U468" s="2"/>
      <c r="V468" s="43"/>
    </row>
    <row r="469" spans="2:22" s="1" customFormat="1" x14ac:dyDescent="0.3">
      <c r="B469" s="59"/>
      <c r="C469" s="60"/>
      <c r="D469" s="318" t="s">
        <v>762</v>
      </c>
      <c r="E469" s="159"/>
      <c r="F469" s="582"/>
      <c r="G469" s="159"/>
      <c r="H469" s="582"/>
      <c r="I469" s="159"/>
      <c r="J469" s="582"/>
      <c r="K469" s="159"/>
      <c r="L469" s="582"/>
      <c r="M469" s="168"/>
      <c r="N469" s="582"/>
      <c r="O469" s="159"/>
      <c r="P469" s="582"/>
      <c r="Q469" s="159"/>
      <c r="R469" s="582"/>
      <c r="S469" s="243"/>
      <c r="T469" s="66"/>
      <c r="U469" s="2"/>
      <c r="V469" s="43"/>
    </row>
    <row r="470" spans="2:22" s="1" customFormat="1" x14ac:dyDescent="0.3">
      <c r="B470" s="59"/>
      <c r="C470" s="60"/>
      <c r="D470" s="139" t="s">
        <v>756</v>
      </c>
      <c r="E470" s="1161">
        <v>2.4</v>
      </c>
      <c r="F470" s="518" t="s">
        <v>185</v>
      </c>
      <c r="G470" s="1161"/>
      <c r="H470" s="518"/>
      <c r="I470" s="1161">
        <v>2.4</v>
      </c>
      <c r="J470" s="518" t="s">
        <v>185</v>
      </c>
      <c r="K470" s="1161">
        <v>1</v>
      </c>
      <c r="L470" s="517"/>
      <c r="M470" s="1161"/>
      <c r="N470" s="518"/>
      <c r="O470" s="1161"/>
      <c r="P470" s="518" t="s">
        <v>114</v>
      </c>
      <c r="Q470" s="1161">
        <f>K470*I470*E470</f>
        <v>5.76</v>
      </c>
      <c r="R470" s="518"/>
      <c r="S470" s="519"/>
      <c r="T470" s="66"/>
      <c r="U470" s="2"/>
      <c r="V470" s="43"/>
    </row>
    <row r="471" spans="2:22" s="1" customFormat="1" x14ac:dyDescent="0.3">
      <c r="B471" s="59"/>
      <c r="C471" s="60"/>
      <c r="D471" s="139" t="s">
        <v>757</v>
      </c>
      <c r="E471" s="1161">
        <v>2.1</v>
      </c>
      <c r="F471" s="518" t="s">
        <v>185</v>
      </c>
      <c r="G471" s="1161"/>
      <c r="H471" s="518"/>
      <c r="I471" s="1161">
        <v>0.6</v>
      </c>
      <c r="J471" s="518" t="s">
        <v>185</v>
      </c>
      <c r="K471" s="1161">
        <v>1</v>
      </c>
      <c r="L471" s="517"/>
      <c r="M471" s="1161"/>
      <c r="N471" s="518"/>
      <c r="O471" s="1161"/>
      <c r="P471" s="518" t="s">
        <v>114</v>
      </c>
      <c r="Q471" s="1161">
        <f>K471*I471*E471</f>
        <v>1.26</v>
      </c>
      <c r="R471" s="518"/>
      <c r="S471" s="519"/>
      <c r="T471" s="66"/>
      <c r="U471" s="2"/>
      <c r="V471" s="43"/>
    </row>
    <row r="472" spans="2:22" s="1" customFormat="1" x14ac:dyDescent="0.3">
      <c r="B472" s="59"/>
      <c r="C472" s="60"/>
      <c r="D472" s="292" t="s">
        <v>763</v>
      </c>
      <c r="E472" s="319"/>
      <c r="F472" s="671"/>
      <c r="G472" s="319"/>
      <c r="H472" s="671"/>
      <c r="I472" s="319"/>
      <c r="J472" s="671"/>
      <c r="K472" s="319"/>
      <c r="L472" s="671"/>
      <c r="M472" s="320"/>
      <c r="N472" s="671"/>
      <c r="O472" s="319"/>
      <c r="P472" s="671"/>
      <c r="Q472" s="319"/>
      <c r="R472" s="671"/>
      <c r="S472" s="321"/>
      <c r="T472" s="66"/>
      <c r="U472" s="2"/>
      <c r="V472" s="43"/>
    </row>
    <row r="473" spans="2:22" s="1" customFormat="1" x14ac:dyDescent="0.3">
      <c r="B473" s="59"/>
      <c r="C473" s="60"/>
      <c r="D473" s="139" t="s">
        <v>758</v>
      </c>
      <c r="E473" s="1161">
        <v>2.1</v>
      </c>
      <c r="F473" s="518" t="s">
        <v>185</v>
      </c>
      <c r="G473" s="1161"/>
      <c r="H473" s="518"/>
      <c r="I473" s="1161">
        <v>0.9</v>
      </c>
      <c r="J473" s="518" t="s">
        <v>185</v>
      </c>
      <c r="K473" s="1161">
        <v>4</v>
      </c>
      <c r="L473" s="517"/>
      <c r="M473" s="1161"/>
      <c r="N473" s="518"/>
      <c r="O473" s="1161"/>
      <c r="P473" s="518" t="s">
        <v>114</v>
      </c>
      <c r="Q473" s="1161">
        <f>K473*I473*E473</f>
        <v>7.5600000000000005</v>
      </c>
      <c r="R473" s="518"/>
      <c r="S473" s="519"/>
      <c r="T473" s="66"/>
      <c r="U473" s="2"/>
      <c r="V473" s="43"/>
    </row>
    <row r="474" spans="2:22" s="1" customFormat="1" x14ac:dyDescent="0.3">
      <c r="B474" s="59"/>
      <c r="C474" s="60"/>
      <c r="D474" s="139" t="s">
        <v>759</v>
      </c>
      <c r="E474" s="1161">
        <v>2.1</v>
      </c>
      <c r="F474" s="518" t="s">
        <v>185</v>
      </c>
      <c r="G474" s="1161"/>
      <c r="H474" s="518"/>
      <c r="I474" s="1161">
        <v>2.1</v>
      </c>
      <c r="J474" s="518" t="s">
        <v>185</v>
      </c>
      <c r="K474" s="1161">
        <v>1</v>
      </c>
      <c r="L474" s="517"/>
      <c r="M474" s="1161"/>
      <c r="N474" s="518"/>
      <c r="O474" s="1161"/>
      <c r="P474" s="518" t="s">
        <v>114</v>
      </c>
      <c r="Q474" s="1161">
        <f>K474*I474*E474</f>
        <v>4.41</v>
      </c>
      <c r="R474" s="518"/>
      <c r="S474" s="519"/>
      <c r="T474" s="66"/>
      <c r="U474" s="2"/>
      <c r="V474" s="43"/>
    </row>
    <row r="475" spans="2:22" s="1" customFormat="1" x14ac:dyDescent="0.3">
      <c r="B475" s="59"/>
      <c r="C475" s="60"/>
      <c r="D475" s="292" t="s">
        <v>764</v>
      </c>
      <c r="E475" s="319"/>
      <c r="F475" s="671"/>
      <c r="G475" s="319"/>
      <c r="H475" s="671"/>
      <c r="I475" s="319"/>
      <c r="J475" s="671"/>
      <c r="K475" s="319"/>
      <c r="L475" s="671"/>
      <c r="M475" s="320"/>
      <c r="N475" s="671"/>
      <c r="O475" s="319"/>
      <c r="P475" s="671"/>
      <c r="Q475" s="319"/>
      <c r="R475" s="671"/>
      <c r="S475" s="321"/>
      <c r="T475" s="66"/>
      <c r="U475" s="2"/>
      <c r="V475" s="43"/>
    </row>
    <row r="476" spans="2:22" s="1" customFormat="1" x14ac:dyDescent="0.3">
      <c r="B476" s="59"/>
      <c r="C476" s="60"/>
      <c r="D476" s="139" t="s">
        <v>760</v>
      </c>
      <c r="E476" s="1161">
        <v>1.5</v>
      </c>
      <c r="F476" s="518" t="s">
        <v>185</v>
      </c>
      <c r="G476" s="1161"/>
      <c r="H476" s="518"/>
      <c r="I476" s="1161">
        <v>0.6</v>
      </c>
      <c r="J476" s="518" t="s">
        <v>185</v>
      </c>
      <c r="K476" s="1161">
        <v>1</v>
      </c>
      <c r="L476" s="517"/>
      <c r="M476" s="1161"/>
      <c r="N476" s="518"/>
      <c r="O476" s="1161"/>
      <c r="P476" s="518" t="s">
        <v>114</v>
      </c>
      <c r="Q476" s="1161">
        <f>K476*I476*E476</f>
        <v>0.89999999999999991</v>
      </c>
      <c r="R476" s="518"/>
      <c r="S476" s="519"/>
      <c r="T476" s="66"/>
      <c r="U476" s="2"/>
      <c r="V476" s="43"/>
    </row>
    <row r="477" spans="2:22" s="1" customFormat="1" x14ac:dyDescent="0.3">
      <c r="B477" s="59"/>
      <c r="C477" s="60"/>
      <c r="D477" s="139" t="s">
        <v>765</v>
      </c>
      <c r="E477" s="1161">
        <v>2.4</v>
      </c>
      <c r="F477" s="518" t="s">
        <v>185</v>
      </c>
      <c r="G477" s="1161"/>
      <c r="H477" s="518"/>
      <c r="I477" s="1161">
        <v>0.9</v>
      </c>
      <c r="J477" s="518" t="s">
        <v>185</v>
      </c>
      <c r="K477" s="1161">
        <v>1</v>
      </c>
      <c r="L477" s="517"/>
      <c r="M477" s="1161"/>
      <c r="N477" s="518"/>
      <c r="O477" s="1161"/>
      <c r="P477" s="518" t="s">
        <v>114</v>
      </c>
      <c r="Q477" s="1161">
        <f>K477*I477*E477</f>
        <v>2.16</v>
      </c>
      <c r="R477" s="518"/>
      <c r="S477" s="519"/>
      <c r="T477" s="66"/>
      <c r="U477" s="2"/>
      <c r="V477" s="43"/>
    </row>
    <row r="478" spans="2:22" s="1" customFormat="1" x14ac:dyDescent="0.3">
      <c r="B478" s="59"/>
      <c r="C478" s="60"/>
      <c r="D478" s="143"/>
      <c r="E478" s="330"/>
      <c r="F478" s="512"/>
      <c r="G478" s="330"/>
      <c r="H478" s="512"/>
      <c r="I478" s="330"/>
      <c r="J478" s="512"/>
      <c r="K478" s="330"/>
      <c r="L478" s="512"/>
      <c r="M478" s="330"/>
      <c r="N478" s="512"/>
      <c r="O478" s="330"/>
      <c r="P478" s="512"/>
      <c r="Q478" s="330"/>
      <c r="R478" s="512"/>
      <c r="S478" s="559"/>
      <c r="T478" s="66"/>
      <c r="U478" s="2"/>
      <c r="V478" s="43"/>
    </row>
    <row r="479" spans="2:22" s="1" customFormat="1" ht="17.25" thickBot="1" x14ac:dyDescent="0.35">
      <c r="B479" s="59"/>
      <c r="C479" s="60"/>
      <c r="D479" s="3096" t="s">
        <v>164</v>
      </c>
      <c r="E479" s="3097"/>
      <c r="F479" s="3097"/>
      <c r="G479" s="3097"/>
      <c r="H479" s="3097"/>
      <c r="I479" s="3097"/>
      <c r="J479" s="637"/>
      <c r="K479" s="196"/>
      <c r="L479" s="637"/>
      <c r="M479" s="196"/>
      <c r="N479" s="637"/>
      <c r="O479" s="196"/>
      <c r="P479" s="637"/>
      <c r="Q479" s="639">
        <f>SUM(Q470:Q478)</f>
        <v>22.05</v>
      </c>
      <c r="R479" s="637"/>
      <c r="S479" s="253"/>
      <c r="T479" s="66"/>
      <c r="U479" s="2"/>
      <c r="V479" s="43"/>
    </row>
    <row r="480" spans="2:22" s="1" customFormat="1" x14ac:dyDescent="0.3">
      <c r="B480" s="59"/>
      <c r="C480" s="60"/>
      <c r="D480" s="338"/>
      <c r="E480" s="338"/>
      <c r="F480" s="338"/>
      <c r="G480" s="338"/>
      <c r="H480" s="338"/>
      <c r="I480" s="338"/>
      <c r="J480" s="638"/>
      <c r="K480" s="339"/>
      <c r="L480" s="638"/>
      <c r="M480" s="339"/>
      <c r="N480" s="638"/>
      <c r="O480" s="339"/>
      <c r="P480" s="638"/>
      <c r="Q480" s="339"/>
      <c r="R480" s="638"/>
      <c r="S480" s="340"/>
      <c r="T480" s="66"/>
      <c r="U480" s="2"/>
      <c r="V480" s="43"/>
    </row>
    <row r="481" spans="2:22" s="1" customFormat="1" ht="13.5" customHeight="1" thickBot="1" x14ac:dyDescent="0.35">
      <c r="B481" s="59">
        <f>RAB!B85</f>
        <v>2</v>
      </c>
      <c r="C481" s="60" t="str">
        <f>RAB!C85</f>
        <v>Plesteran 1 PC : 4 PP, tebal 15 mm</v>
      </c>
      <c r="E481" s="153"/>
      <c r="F481" s="480"/>
      <c r="G481" s="153"/>
      <c r="H481" s="480"/>
      <c r="I481" s="153"/>
      <c r="J481" s="480"/>
      <c r="K481" s="153"/>
      <c r="L481" s="480"/>
      <c r="M481" s="162"/>
      <c r="N481" s="480"/>
      <c r="O481" s="153"/>
      <c r="P481" s="480"/>
      <c r="Q481" s="153"/>
      <c r="R481" s="480"/>
      <c r="S481" s="224"/>
      <c r="T481" s="18">
        <f>ROUNDDOWN(Q485,2)</f>
        <v>1553.12</v>
      </c>
      <c r="U481" s="2" t="s">
        <v>2</v>
      </c>
      <c r="V481" s="43"/>
    </row>
    <row r="482" spans="2:22" s="1" customFormat="1" x14ac:dyDescent="0.3">
      <c r="B482" s="59"/>
      <c r="C482" s="60"/>
      <c r="D482" s="8" t="s">
        <v>95</v>
      </c>
      <c r="E482" s="154" t="s">
        <v>150</v>
      </c>
      <c r="F482" s="493"/>
      <c r="G482" s="154" t="s">
        <v>151</v>
      </c>
      <c r="H482" s="493"/>
      <c r="I482" s="154" t="s">
        <v>152</v>
      </c>
      <c r="J482" s="493"/>
      <c r="K482" s="154" t="s">
        <v>153</v>
      </c>
      <c r="L482" s="493"/>
      <c r="M482" s="169" t="s">
        <v>32</v>
      </c>
      <c r="N482" s="493"/>
      <c r="O482" s="154" t="s">
        <v>163</v>
      </c>
      <c r="P482" s="493"/>
      <c r="Q482" s="154" t="s">
        <v>151</v>
      </c>
      <c r="R482" s="493"/>
      <c r="S482" s="226" t="s">
        <v>143</v>
      </c>
      <c r="T482" s="66"/>
      <c r="U482" s="2"/>
      <c r="V482" s="43"/>
    </row>
    <row r="483" spans="2:22" s="1" customFormat="1" x14ac:dyDescent="0.3">
      <c r="B483" s="59"/>
      <c r="C483" s="60"/>
      <c r="D483" s="149" t="s">
        <v>240</v>
      </c>
      <c r="E483" s="152"/>
      <c r="F483" s="516"/>
      <c r="G483" s="152"/>
      <c r="H483" s="516"/>
      <c r="I483" s="152"/>
      <c r="J483" s="516"/>
      <c r="K483" s="152">
        <f>Q465</f>
        <v>776.56</v>
      </c>
      <c r="L483" s="496"/>
      <c r="M483" s="173"/>
      <c r="N483" s="516" t="s">
        <v>185</v>
      </c>
      <c r="O483" s="152">
        <v>2</v>
      </c>
      <c r="P483" s="516" t="s">
        <v>114</v>
      </c>
      <c r="Q483" s="152">
        <f>O483*K483</f>
        <v>1553.12</v>
      </c>
      <c r="R483" s="516"/>
      <c r="S483" s="248"/>
      <c r="T483" s="66"/>
      <c r="U483" s="2"/>
      <c r="V483" s="43"/>
    </row>
    <row r="484" spans="2:22" s="1" customFormat="1" x14ac:dyDescent="0.3">
      <c r="B484" s="59"/>
      <c r="C484" s="60"/>
      <c r="D484" s="148"/>
      <c r="E484" s="191"/>
      <c r="F484" s="631"/>
      <c r="G484" s="191"/>
      <c r="H484" s="631"/>
      <c r="I484" s="191"/>
      <c r="J484" s="631"/>
      <c r="K484" s="191"/>
      <c r="L484" s="631"/>
      <c r="M484" s="192"/>
      <c r="N484" s="631"/>
      <c r="O484" s="191"/>
      <c r="P484" s="631"/>
      <c r="Q484" s="191"/>
      <c r="R484" s="631"/>
      <c r="S484" s="249"/>
      <c r="T484" s="66"/>
      <c r="U484" s="2"/>
      <c r="V484" s="43"/>
    </row>
    <row r="485" spans="2:22" s="1" customFormat="1" ht="17.25" thickBot="1" x14ac:dyDescent="0.35">
      <c r="B485" s="59"/>
      <c r="C485" s="60"/>
      <c r="D485" s="3096" t="s">
        <v>164</v>
      </c>
      <c r="E485" s="3097"/>
      <c r="F485" s="3097"/>
      <c r="G485" s="3097"/>
      <c r="H485" s="3097"/>
      <c r="I485" s="3097"/>
      <c r="J485" s="637"/>
      <c r="K485" s="196"/>
      <c r="L485" s="637"/>
      <c r="M485" s="196"/>
      <c r="N485" s="637"/>
      <c r="O485" s="196"/>
      <c r="P485" s="637"/>
      <c r="Q485" s="196">
        <f>Q483</f>
        <v>1553.12</v>
      </c>
      <c r="R485" s="637"/>
      <c r="S485" s="253"/>
      <c r="T485" s="66"/>
      <c r="U485" s="2"/>
      <c r="V485" s="43"/>
    </row>
    <row r="486" spans="2:22" s="1" customFormat="1" x14ac:dyDescent="0.3">
      <c r="B486" s="59"/>
      <c r="C486" s="60"/>
      <c r="D486" s="338"/>
      <c r="E486" s="338"/>
      <c r="F486" s="338"/>
      <c r="G486" s="338"/>
      <c r="H486" s="338"/>
      <c r="I486" s="338"/>
      <c r="J486" s="638"/>
      <c r="K486" s="339"/>
      <c r="L486" s="638"/>
      <c r="M486" s="339"/>
      <c r="N486" s="638"/>
      <c r="O486" s="339"/>
      <c r="P486" s="638"/>
      <c r="Q486" s="339"/>
      <c r="R486" s="638"/>
      <c r="S486" s="340"/>
      <c r="T486" s="66"/>
      <c r="U486" s="2"/>
      <c r="V486" s="43"/>
    </row>
    <row r="487" spans="2:22" s="1" customFormat="1" ht="17.25" thickBot="1" x14ac:dyDescent="0.35">
      <c r="B487" s="59">
        <f>RAB!B86</f>
        <v>3</v>
      </c>
      <c r="C487" s="60" t="str">
        <f>RAB!C86</f>
        <v>Acian</v>
      </c>
      <c r="D487" s="338"/>
      <c r="E487" s="338"/>
      <c r="F487" s="338"/>
      <c r="G487" s="338"/>
      <c r="H487" s="338"/>
      <c r="I487" s="338"/>
      <c r="J487" s="638"/>
      <c r="K487" s="339"/>
      <c r="L487" s="638"/>
      <c r="M487" s="339"/>
      <c r="N487" s="638"/>
      <c r="O487" s="339"/>
      <c r="P487" s="638"/>
      <c r="Q487" s="339"/>
      <c r="R487" s="638"/>
      <c r="S487" s="340"/>
      <c r="T487" s="18">
        <f>ROUNDDOWN(Q494,2)</f>
        <v>546.52</v>
      </c>
      <c r="U487" s="2" t="s">
        <v>2</v>
      </c>
      <c r="V487" s="43"/>
    </row>
    <row r="488" spans="2:22" s="1" customFormat="1" x14ac:dyDescent="0.3">
      <c r="B488" s="59"/>
      <c r="C488" s="60"/>
      <c r="D488" s="8" t="s">
        <v>95</v>
      </c>
      <c r="E488" s="154" t="s">
        <v>150</v>
      </c>
      <c r="F488" s="493"/>
      <c r="G488" s="154" t="s">
        <v>151</v>
      </c>
      <c r="H488" s="493"/>
      <c r="I488" s="154" t="s">
        <v>152</v>
      </c>
      <c r="J488" s="493"/>
      <c r="K488" s="154" t="s">
        <v>153</v>
      </c>
      <c r="L488" s="493"/>
      <c r="M488" s="169" t="s">
        <v>32</v>
      </c>
      <c r="N488" s="493"/>
      <c r="O488" s="154" t="s">
        <v>163</v>
      </c>
      <c r="P488" s="493"/>
      <c r="Q488" s="154" t="s">
        <v>151</v>
      </c>
      <c r="R488" s="493"/>
      <c r="S488" s="226" t="s">
        <v>143</v>
      </c>
      <c r="T488" s="66"/>
      <c r="U488" s="2"/>
      <c r="V488" s="43"/>
    </row>
    <row r="489" spans="2:22" s="1" customFormat="1" x14ac:dyDescent="0.3">
      <c r="B489" s="59"/>
      <c r="C489" s="60"/>
      <c r="D489" s="647" t="s">
        <v>719</v>
      </c>
      <c r="E489" s="632"/>
      <c r="F489" s="633"/>
      <c r="G489" s="632"/>
      <c r="H489" s="633"/>
      <c r="I489" s="632"/>
      <c r="J489" s="633"/>
      <c r="K489" s="632"/>
      <c r="L489" s="633"/>
      <c r="M489" s="632"/>
      <c r="N489" s="633"/>
      <c r="O489" s="632"/>
      <c r="P489" s="633"/>
      <c r="Q489" s="632"/>
      <c r="R489" s="633"/>
      <c r="S489" s="634"/>
      <c r="T489" s="66"/>
      <c r="U489" s="2"/>
      <c r="V489" s="43"/>
    </row>
    <row r="490" spans="2:22" s="1" customFormat="1" x14ac:dyDescent="0.3">
      <c r="B490" s="59"/>
      <c r="C490" s="60"/>
      <c r="D490" s="648" t="s">
        <v>730</v>
      </c>
      <c r="E490" s="1161"/>
      <c r="F490" s="518"/>
      <c r="G490" s="1161"/>
      <c r="H490" s="518"/>
      <c r="I490" s="1161"/>
      <c r="J490" s="518"/>
      <c r="K490" s="1161"/>
      <c r="L490" s="517"/>
      <c r="M490" s="1161"/>
      <c r="N490" s="518"/>
      <c r="O490" s="1161"/>
      <c r="P490" s="518"/>
      <c r="Q490" s="1161">
        <f>Q235</f>
        <v>433.024</v>
      </c>
      <c r="R490" s="518"/>
      <c r="S490" s="519"/>
      <c r="T490" s="66"/>
      <c r="U490" s="2"/>
      <c r="V490" s="43"/>
    </row>
    <row r="491" spans="2:22" s="1" customFormat="1" x14ac:dyDescent="0.3">
      <c r="B491" s="36"/>
      <c r="C491" s="17"/>
      <c r="D491" s="651" t="s">
        <v>742</v>
      </c>
      <c r="E491" s="554"/>
      <c r="F491" s="558"/>
      <c r="G491" s="554"/>
      <c r="H491" s="558"/>
      <c r="I491" s="619"/>
      <c r="J491" s="558"/>
      <c r="K491" s="619"/>
      <c r="L491" s="558"/>
      <c r="M491" s="619"/>
      <c r="N491" s="558"/>
      <c r="O491" s="619"/>
      <c r="P491" s="558"/>
      <c r="Q491" s="619"/>
      <c r="R491" s="558"/>
      <c r="S491" s="620"/>
      <c r="T491" s="66"/>
      <c r="U491" s="2"/>
      <c r="V491" s="43"/>
    </row>
    <row r="492" spans="2:22" s="1" customFormat="1" x14ac:dyDescent="0.3">
      <c r="B492" s="36"/>
      <c r="C492" s="17"/>
      <c r="D492" s="650" t="s">
        <v>1331</v>
      </c>
      <c r="E492" s="554"/>
      <c r="F492" s="558"/>
      <c r="G492" s="554"/>
      <c r="H492" s="558"/>
      <c r="I492" s="619"/>
      <c r="J492" s="558"/>
      <c r="K492" s="619">
        <f>Q415+Q416</f>
        <v>113.50399999999999</v>
      </c>
      <c r="L492" s="558"/>
      <c r="M492" s="619"/>
      <c r="N492" s="558"/>
      <c r="O492" s="619"/>
      <c r="P492" s="518" t="s">
        <v>114</v>
      </c>
      <c r="Q492" s="619">
        <f>K492</f>
        <v>113.50399999999999</v>
      </c>
      <c r="R492" s="558"/>
      <c r="S492" s="620"/>
      <c r="T492" s="66"/>
      <c r="U492" s="2"/>
      <c r="V492" s="43"/>
    </row>
    <row r="493" spans="2:22" s="1" customFormat="1" x14ac:dyDescent="0.3">
      <c r="B493" s="59"/>
      <c r="C493" s="60"/>
      <c r="D493" s="649"/>
      <c r="E493" s="330"/>
      <c r="F493" s="512"/>
      <c r="G493" s="330"/>
      <c r="H493" s="512"/>
      <c r="I493" s="330"/>
      <c r="J493" s="512"/>
      <c r="K493" s="330"/>
      <c r="L493" s="512"/>
      <c r="M493" s="330"/>
      <c r="N493" s="512"/>
      <c r="O493" s="330"/>
      <c r="P493" s="512"/>
      <c r="Q493" s="330"/>
      <c r="R493" s="512"/>
      <c r="S493" s="559"/>
      <c r="T493" s="66"/>
      <c r="U493" s="2"/>
      <c r="V493" s="43"/>
    </row>
    <row r="494" spans="2:22" s="1" customFormat="1" ht="17.25" thickBot="1" x14ac:dyDescent="0.35">
      <c r="B494" s="59"/>
      <c r="C494" s="60"/>
      <c r="D494" s="3096" t="s">
        <v>164</v>
      </c>
      <c r="E494" s="3097"/>
      <c r="F494" s="3097"/>
      <c r="G494" s="3097"/>
      <c r="H494" s="3097"/>
      <c r="I494" s="3097"/>
      <c r="J494" s="637"/>
      <c r="K494" s="196"/>
      <c r="L494" s="637"/>
      <c r="M494" s="196"/>
      <c r="N494" s="637"/>
      <c r="O494" s="196"/>
      <c r="P494" s="637"/>
      <c r="Q494" s="639">
        <f>SUM(Q490:Q493)</f>
        <v>546.52800000000002</v>
      </c>
      <c r="R494" s="637"/>
      <c r="S494" s="253"/>
      <c r="T494" s="66"/>
      <c r="U494" s="2"/>
      <c r="V494" s="43"/>
    </row>
    <row r="495" spans="2:22" s="1" customFormat="1" x14ac:dyDescent="0.3">
      <c r="B495" s="59"/>
      <c r="C495" s="60"/>
      <c r="D495" s="338"/>
      <c r="E495" s="338"/>
      <c r="F495" s="338"/>
      <c r="G495" s="338"/>
      <c r="H495" s="338"/>
      <c r="I495" s="338"/>
      <c r="J495" s="638"/>
      <c r="K495" s="339"/>
      <c r="L495" s="638"/>
      <c r="M495" s="339"/>
      <c r="N495" s="638"/>
      <c r="O495" s="339"/>
      <c r="P495" s="638"/>
      <c r="Q495" s="339"/>
      <c r="R495" s="638"/>
      <c r="S495" s="340"/>
      <c r="T495" s="66"/>
      <c r="U495" s="2"/>
      <c r="V495" s="43"/>
    </row>
    <row r="496" spans="2:22" s="1" customFormat="1" ht="17.25" thickBot="1" x14ac:dyDescent="0.35">
      <c r="B496" s="59">
        <f>RAB!B87</f>
        <v>4</v>
      </c>
      <c r="C496" s="60" t="str">
        <f>RAB!C87</f>
        <v>Pekerjaan Benangan Lobang Kusen Alumunium</v>
      </c>
      <c r="E496" s="153"/>
      <c r="F496" s="480"/>
      <c r="G496" s="153"/>
      <c r="H496" s="480"/>
      <c r="I496" s="153"/>
      <c r="J496" s="480"/>
      <c r="K496" s="153"/>
      <c r="L496" s="480"/>
      <c r="M496" s="162"/>
      <c r="N496" s="480"/>
      <c r="O496" s="153"/>
      <c r="P496" s="480"/>
      <c r="Q496" s="153"/>
      <c r="R496" s="480"/>
      <c r="S496" s="224"/>
      <c r="T496" s="18">
        <f>ROUNDDOWN(S501,2)</f>
        <v>228</v>
      </c>
      <c r="U496" s="2" t="s">
        <v>27</v>
      </c>
      <c r="V496" s="43"/>
    </row>
    <row r="497" spans="2:22" s="1" customFormat="1" x14ac:dyDescent="0.3">
      <c r="B497" s="59"/>
      <c r="C497" s="60"/>
      <c r="D497" s="8" t="s">
        <v>95</v>
      </c>
      <c r="E497" s="154" t="s">
        <v>150</v>
      </c>
      <c r="F497" s="493"/>
      <c r="G497" s="154" t="s">
        <v>151</v>
      </c>
      <c r="H497" s="493"/>
      <c r="I497" s="154" t="s">
        <v>152</v>
      </c>
      <c r="J497" s="493"/>
      <c r="K497" s="154" t="s">
        <v>153</v>
      </c>
      <c r="L497" s="493"/>
      <c r="M497" s="169" t="s">
        <v>32</v>
      </c>
      <c r="N497" s="493"/>
      <c r="O497" s="154" t="s">
        <v>163</v>
      </c>
      <c r="P497" s="493"/>
      <c r="Q497" s="154" t="s">
        <v>151</v>
      </c>
      <c r="R497" s="493"/>
      <c r="S497" s="226" t="s">
        <v>143</v>
      </c>
      <c r="T497" s="66"/>
      <c r="U497" s="2"/>
      <c r="V497" s="43"/>
    </row>
    <row r="498" spans="2:22" s="1" customFormat="1" x14ac:dyDescent="0.3">
      <c r="B498" s="59"/>
      <c r="C498" s="60"/>
      <c r="D498" s="139" t="str">
        <f>D462</f>
        <v>Jendela Type J.1</v>
      </c>
      <c r="E498" s="1161">
        <f>(E462+I462)*2</f>
        <v>9.1999999999999993</v>
      </c>
      <c r="F498" s="518" t="s">
        <v>185</v>
      </c>
      <c r="G498" s="1161"/>
      <c r="H498" s="518"/>
      <c r="I498" s="1161"/>
      <c r="J498" s="518"/>
      <c r="K498" s="1161">
        <f>K462</f>
        <v>22</v>
      </c>
      <c r="L498" s="517"/>
      <c r="M498" s="1161"/>
      <c r="N498" s="518"/>
      <c r="O498" s="1161"/>
      <c r="P498" s="518"/>
      <c r="Q498" s="1161"/>
      <c r="R498" s="518" t="s">
        <v>114</v>
      </c>
      <c r="S498" s="519">
        <f>K498*E498</f>
        <v>202.39999999999998</v>
      </c>
      <c r="T498" s="66"/>
      <c r="U498" s="2"/>
      <c r="V498" s="43"/>
    </row>
    <row r="499" spans="2:22" s="1" customFormat="1" x14ac:dyDescent="0.3">
      <c r="B499" s="59"/>
      <c r="C499" s="60"/>
      <c r="D499" s="139" t="str">
        <f>D463</f>
        <v>Jendela Type J2</v>
      </c>
      <c r="E499" s="1161">
        <f>(E463+I463)*2</f>
        <v>6.4</v>
      </c>
      <c r="F499" s="518" t="s">
        <v>185</v>
      </c>
      <c r="G499" s="1161"/>
      <c r="H499" s="518"/>
      <c r="I499" s="1161"/>
      <c r="J499" s="518"/>
      <c r="K499" s="1161">
        <f>K463</f>
        <v>4</v>
      </c>
      <c r="L499" s="517"/>
      <c r="M499" s="1161"/>
      <c r="N499" s="518"/>
      <c r="O499" s="1161"/>
      <c r="P499" s="518"/>
      <c r="Q499" s="1161"/>
      <c r="R499" s="518" t="s">
        <v>114</v>
      </c>
      <c r="S499" s="519">
        <f>K499*E499</f>
        <v>25.6</v>
      </c>
      <c r="T499" s="66"/>
      <c r="U499" s="2"/>
      <c r="V499" s="43"/>
    </row>
    <row r="500" spans="2:22" s="1" customFormat="1" x14ac:dyDescent="0.3">
      <c r="B500" s="59"/>
      <c r="C500" s="60"/>
      <c r="D500" s="143"/>
      <c r="E500" s="330"/>
      <c r="F500" s="512"/>
      <c r="G500" s="330"/>
      <c r="H500" s="512"/>
      <c r="I500" s="330"/>
      <c r="J500" s="512"/>
      <c r="K500" s="330"/>
      <c r="L500" s="512"/>
      <c r="M500" s="330"/>
      <c r="N500" s="512"/>
      <c r="O500" s="330"/>
      <c r="P500" s="512"/>
      <c r="Q500" s="330"/>
      <c r="R500" s="512"/>
      <c r="S500" s="559"/>
      <c r="T500" s="66"/>
      <c r="U500" s="2"/>
      <c r="V500" s="43"/>
    </row>
    <row r="501" spans="2:22" s="1" customFormat="1" ht="17.25" thickBot="1" x14ac:dyDescent="0.35">
      <c r="B501" s="59"/>
      <c r="C501" s="60"/>
      <c r="D501" s="3096" t="s">
        <v>164</v>
      </c>
      <c r="E501" s="3097"/>
      <c r="F501" s="3097"/>
      <c r="G501" s="3097"/>
      <c r="H501" s="3097"/>
      <c r="I501" s="3097"/>
      <c r="J501" s="637"/>
      <c r="K501" s="196"/>
      <c r="L501" s="637"/>
      <c r="M501" s="196"/>
      <c r="N501" s="637"/>
      <c r="O501" s="196"/>
      <c r="P501" s="637"/>
      <c r="Q501" s="639"/>
      <c r="R501" s="637"/>
      <c r="S501" s="253">
        <f>SUM(S498:S500)</f>
        <v>227.99999999999997</v>
      </c>
      <c r="T501" s="66"/>
      <c r="U501" s="2"/>
      <c r="V501" s="43"/>
    </row>
    <row r="502" spans="2:22" s="1" customFormat="1" x14ac:dyDescent="0.3">
      <c r="B502" s="59"/>
      <c r="C502" s="60"/>
      <c r="D502" s="338"/>
      <c r="E502" s="338"/>
      <c r="F502" s="338"/>
      <c r="G502" s="338"/>
      <c r="H502" s="338"/>
      <c r="I502" s="338"/>
      <c r="J502" s="638"/>
      <c r="K502" s="339"/>
      <c r="L502" s="638"/>
      <c r="M502" s="339"/>
      <c r="N502" s="638"/>
      <c r="O502" s="339"/>
      <c r="P502" s="638"/>
      <c r="Q502" s="339"/>
      <c r="R502" s="638"/>
      <c r="S502" s="340"/>
      <c r="T502" s="66"/>
      <c r="U502" s="2"/>
      <c r="V502" s="43"/>
    </row>
    <row r="503" spans="2:22" s="1" customFormat="1" ht="17.25" thickBot="1" x14ac:dyDescent="0.35">
      <c r="B503" s="59">
        <f>RAB!B88</f>
        <v>5</v>
      </c>
      <c r="C503" s="60" t="str">
        <f>RAB!C88</f>
        <v>Railing Tangga Belakang Pipa Galvanis Finsh. Cat minyak (Avian)</v>
      </c>
      <c r="E503" s="153"/>
      <c r="F503" s="480"/>
      <c r="G503" s="153"/>
      <c r="H503" s="480"/>
      <c r="I503" s="153"/>
      <c r="J503" s="480"/>
      <c r="K503" s="153"/>
      <c r="L503" s="480"/>
      <c r="M503" s="162"/>
      <c r="N503" s="480"/>
      <c r="O503" s="153"/>
      <c r="P503" s="480"/>
      <c r="Q503" s="153"/>
      <c r="R503" s="480"/>
      <c r="S503" s="224"/>
      <c r="T503" s="18">
        <f>ROUNDDOWN(S508,2)</f>
        <v>8.4</v>
      </c>
      <c r="U503" s="2" t="s">
        <v>27</v>
      </c>
      <c r="V503" s="43"/>
    </row>
    <row r="504" spans="2:22" s="1" customFormat="1" x14ac:dyDescent="0.3">
      <c r="B504" s="59"/>
      <c r="C504" s="60"/>
      <c r="D504" s="8" t="s">
        <v>95</v>
      </c>
      <c r="E504" s="154" t="s">
        <v>150</v>
      </c>
      <c r="F504" s="493"/>
      <c r="G504" s="154" t="s">
        <v>151</v>
      </c>
      <c r="H504" s="493"/>
      <c r="I504" s="154" t="s">
        <v>152</v>
      </c>
      <c r="J504" s="493"/>
      <c r="K504" s="154" t="s">
        <v>153</v>
      </c>
      <c r="L504" s="494"/>
      <c r="M504" s="163" t="s">
        <v>32</v>
      </c>
      <c r="N504" s="494"/>
      <c r="O504" s="201" t="s">
        <v>163</v>
      </c>
      <c r="P504" s="494"/>
      <c r="Q504" s="201" t="s">
        <v>151</v>
      </c>
      <c r="R504" s="494"/>
      <c r="S504" s="226" t="s">
        <v>143</v>
      </c>
      <c r="T504" s="66"/>
      <c r="U504" s="2"/>
      <c r="V504" s="43"/>
    </row>
    <row r="505" spans="2:22" s="1" customFormat="1" x14ac:dyDescent="0.3">
      <c r="B505" s="59"/>
      <c r="C505" s="60"/>
      <c r="D505" s="146" t="s">
        <v>742</v>
      </c>
      <c r="E505" s="1161">
        <f>E393</f>
        <v>6.8</v>
      </c>
      <c r="F505" s="517"/>
      <c r="G505" s="1161"/>
      <c r="H505" s="517"/>
      <c r="I505" s="1161"/>
      <c r="J505" s="517"/>
      <c r="K505" s="1161"/>
      <c r="L505" s="517"/>
      <c r="M505" s="1161"/>
      <c r="N505" s="517"/>
      <c r="O505" s="1161"/>
      <c r="P505" s="517"/>
      <c r="Q505" s="1161"/>
      <c r="R505" s="517" t="s">
        <v>114</v>
      </c>
      <c r="S505" s="519">
        <f>E505</f>
        <v>6.8</v>
      </c>
      <c r="T505" s="66"/>
      <c r="U505" s="2"/>
      <c r="V505" s="43"/>
    </row>
    <row r="506" spans="2:22" s="1" customFormat="1" x14ac:dyDescent="0.3">
      <c r="B506" s="59"/>
      <c r="C506" s="60"/>
      <c r="D506" s="146" t="s">
        <v>271</v>
      </c>
      <c r="E506" s="1161">
        <f>G395</f>
        <v>1.6</v>
      </c>
      <c r="F506" s="517"/>
      <c r="G506" s="1161"/>
      <c r="H506" s="517"/>
      <c r="I506" s="1161"/>
      <c r="J506" s="517"/>
      <c r="K506" s="1161"/>
      <c r="L506" s="517"/>
      <c r="M506" s="1161"/>
      <c r="N506" s="517"/>
      <c r="O506" s="1161"/>
      <c r="P506" s="517"/>
      <c r="Q506" s="1161"/>
      <c r="R506" s="517" t="s">
        <v>114</v>
      </c>
      <c r="S506" s="519">
        <f>E506</f>
        <v>1.6</v>
      </c>
      <c r="T506" s="66"/>
      <c r="U506" s="2"/>
      <c r="V506" s="43"/>
    </row>
    <row r="507" spans="2:22" s="1" customFormat="1" x14ac:dyDescent="0.3">
      <c r="B507" s="59"/>
      <c r="C507" s="60"/>
      <c r="D507" s="148"/>
      <c r="E507" s="619"/>
      <c r="F507" s="526"/>
      <c r="G507" s="619"/>
      <c r="H507" s="526"/>
      <c r="I507" s="619"/>
      <c r="J507" s="526"/>
      <c r="K507" s="619"/>
      <c r="L507" s="526"/>
      <c r="M507" s="619"/>
      <c r="N507" s="526"/>
      <c r="O507" s="619"/>
      <c r="P507" s="526"/>
      <c r="Q507" s="619"/>
      <c r="R507" s="526"/>
      <c r="S507" s="620"/>
      <c r="T507" s="66"/>
      <c r="U507" s="2"/>
      <c r="V507" s="43"/>
    </row>
    <row r="508" spans="2:22" s="1" customFormat="1" ht="17.25" thickBot="1" x14ac:dyDescent="0.35">
      <c r="B508" s="59"/>
      <c r="C508" s="60"/>
      <c r="D508" s="3096" t="s">
        <v>164</v>
      </c>
      <c r="E508" s="3097"/>
      <c r="F508" s="3097"/>
      <c r="G508" s="3097"/>
      <c r="H508" s="3097"/>
      <c r="I508" s="3097"/>
      <c r="J508" s="637"/>
      <c r="K508" s="196"/>
      <c r="L508" s="637"/>
      <c r="M508" s="196"/>
      <c r="N508" s="637"/>
      <c r="O508" s="196"/>
      <c r="P508" s="637"/>
      <c r="Q508" s="196"/>
      <c r="R508" s="637"/>
      <c r="S508" s="703">
        <f>SUM(S505:S507)</f>
        <v>8.4</v>
      </c>
      <c r="T508" s="66"/>
      <c r="U508" s="2"/>
      <c r="V508" s="43"/>
    </row>
    <row r="509" spans="2:22" x14ac:dyDescent="0.3">
      <c r="B509" s="341"/>
      <c r="C509" s="342"/>
      <c r="D509" s="343"/>
      <c r="E509" s="471"/>
      <c r="F509" s="489"/>
      <c r="G509" s="471"/>
      <c r="H509" s="489"/>
      <c r="I509" s="471"/>
      <c r="J509" s="489"/>
      <c r="K509" s="438"/>
      <c r="L509" s="482"/>
      <c r="M509" s="439"/>
      <c r="N509" s="482"/>
      <c r="O509" s="438"/>
      <c r="P509" s="482"/>
      <c r="Q509" s="438"/>
      <c r="R509" s="482"/>
      <c r="S509" s="454"/>
    </row>
    <row r="510" spans="2:22" s="134" customFormat="1" x14ac:dyDescent="0.3">
      <c r="B510" s="134" t="str">
        <f>RAB!B91</f>
        <v>IV</v>
      </c>
      <c r="C510" s="134" t="str">
        <f>RAB!C91</f>
        <v>PEKERJAAN PINTU &amp; JENDELA</v>
      </c>
      <c r="E510" s="198"/>
      <c r="F510" s="652"/>
      <c r="G510" s="198"/>
      <c r="H510" s="652"/>
      <c r="I510" s="198"/>
      <c r="J510" s="652"/>
      <c r="K510" s="198"/>
      <c r="L510" s="652"/>
      <c r="M510" s="198"/>
      <c r="N510" s="652"/>
      <c r="O510" s="198"/>
      <c r="P510" s="652"/>
      <c r="Q510" s="198"/>
      <c r="R510" s="652"/>
      <c r="S510" s="232"/>
      <c r="U510" s="2"/>
      <c r="V510" s="675"/>
    </row>
    <row r="511" spans="2:22" s="1" customFormat="1" ht="17.25" thickBot="1" x14ac:dyDescent="0.35">
      <c r="B511" s="59">
        <f>RAB!B92</f>
        <v>1</v>
      </c>
      <c r="C511" s="60" t="str">
        <f>RAB!C92</f>
        <v>Pintu Type P1</v>
      </c>
      <c r="E511" s="153"/>
      <c r="F511" s="480"/>
      <c r="G511" s="153"/>
      <c r="H511" s="480"/>
      <c r="I511" s="153"/>
      <c r="J511" s="480"/>
      <c r="K511" s="153"/>
      <c r="L511" s="480"/>
      <c r="M511" s="162"/>
      <c r="N511" s="480"/>
      <c r="O511" s="153"/>
      <c r="P511" s="480"/>
      <c r="Q511" s="153"/>
      <c r="R511" s="480"/>
      <c r="S511" s="224"/>
      <c r="T511" s="18">
        <f>ROUNDDOWN(S515,2)</f>
        <v>8</v>
      </c>
      <c r="U511" s="2" t="s">
        <v>32</v>
      </c>
      <c r="V511" s="43"/>
    </row>
    <row r="512" spans="2:22" s="1" customFormat="1" x14ac:dyDescent="0.3">
      <c r="B512" s="59"/>
      <c r="C512" s="60"/>
      <c r="D512" s="125" t="s">
        <v>95</v>
      </c>
      <c r="E512" s="161" t="s">
        <v>150</v>
      </c>
      <c r="F512" s="654"/>
      <c r="G512" s="161" t="s">
        <v>151</v>
      </c>
      <c r="H512" s="654"/>
      <c r="I512" s="161" t="s">
        <v>152</v>
      </c>
      <c r="J512" s="654"/>
      <c r="K512" s="161" t="s">
        <v>153</v>
      </c>
      <c r="L512" s="654"/>
      <c r="M512" s="171" t="s">
        <v>32</v>
      </c>
      <c r="N512" s="654"/>
      <c r="O512" s="161" t="s">
        <v>163</v>
      </c>
      <c r="P512" s="654"/>
      <c r="Q512" s="161" t="s">
        <v>151</v>
      </c>
      <c r="R512" s="654"/>
      <c r="S512" s="254" t="s">
        <v>143</v>
      </c>
      <c r="T512" s="66"/>
      <c r="U512" s="2"/>
      <c r="V512" s="43"/>
    </row>
    <row r="513" spans="2:22" s="1" customFormat="1" x14ac:dyDescent="0.3">
      <c r="B513" s="59"/>
      <c r="C513" s="60"/>
      <c r="D513" s="142"/>
      <c r="E513" s="197"/>
      <c r="F513" s="640"/>
      <c r="G513" s="197"/>
      <c r="H513" s="640"/>
      <c r="I513" s="197"/>
      <c r="J513" s="640"/>
      <c r="K513" s="323">
        <f>K459</f>
        <v>8</v>
      </c>
      <c r="L513" s="640"/>
      <c r="M513" s="197"/>
      <c r="N513" s="640"/>
      <c r="O513" s="197"/>
      <c r="P513" s="640"/>
      <c r="Q513" s="197">
        <f>I459*E459</f>
        <v>4.5</v>
      </c>
      <c r="R513" s="640"/>
      <c r="S513" s="248">
        <f>K513</f>
        <v>8</v>
      </c>
      <c r="T513" s="66"/>
      <c r="U513" s="2"/>
      <c r="V513" s="43"/>
    </row>
    <row r="514" spans="2:22" s="1" customFormat="1" x14ac:dyDescent="0.3">
      <c r="B514" s="59"/>
      <c r="C514" s="60"/>
      <c r="D514" s="143"/>
      <c r="E514" s="170"/>
      <c r="F514" s="630"/>
      <c r="G514" s="170"/>
      <c r="H514" s="630"/>
      <c r="I514" s="170"/>
      <c r="J514" s="630"/>
      <c r="K514" s="170"/>
      <c r="L514" s="630"/>
      <c r="M514" s="170"/>
      <c r="N514" s="630"/>
      <c r="O514" s="170"/>
      <c r="P514" s="630"/>
      <c r="Q514" s="170"/>
      <c r="R514" s="630"/>
      <c r="S514" s="251"/>
      <c r="T514" s="66"/>
      <c r="U514" s="2"/>
      <c r="V514" s="43"/>
    </row>
    <row r="515" spans="2:22" s="1" customFormat="1" ht="17.25" thickBot="1" x14ac:dyDescent="0.35">
      <c r="B515" s="59"/>
      <c r="C515" s="60"/>
      <c r="D515" s="3091" t="s">
        <v>164</v>
      </c>
      <c r="E515" s="3092"/>
      <c r="F515" s="3092"/>
      <c r="G515" s="3092"/>
      <c r="H515" s="3092"/>
      <c r="I515" s="3092"/>
      <c r="J515" s="622"/>
      <c r="K515" s="190"/>
      <c r="L515" s="622"/>
      <c r="M515" s="190"/>
      <c r="N515" s="622"/>
      <c r="O515" s="190"/>
      <c r="P515" s="622"/>
      <c r="Q515" s="190"/>
      <c r="R515" s="622"/>
      <c r="S515" s="247">
        <f>SUM(S513:S514)</f>
        <v>8</v>
      </c>
      <c r="T515" s="66"/>
      <c r="U515" s="2"/>
      <c r="V515" s="43"/>
    </row>
    <row r="516" spans="2:22" x14ac:dyDescent="0.3">
      <c r="B516" s="341"/>
      <c r="C516" s="342"/>
      <c r="D516" s="343"/>
      <c r="E516" s="471"/>
      <c r="F516" s="489"/>
      <c r="G516" s="471"/>
      <c r="H516" s="489"/>
      <c r="I516" s="471"/>
      <c r="J516" s="489"/>
      <c r="K516" s="438"/>
      <c r="L516" s="482"/>
      <c r="M516" s="439"/>
      <c r="N516" s="482"/>
      <c r="O516" s="438"/>
      <c r="P516" s="482"/>
      <c r="Q516" s="438"/>
      <c r="R516" s="482"/>
      <c r="S516" s="454"/>
    </row>
    <row r="517" spans="2:22" s="1" customFormat="1" ht="17.25" thickBot="1" x14ac:dyDescent="0.35">
      <c r="B517" s="59">
        <f>RAB!B99</f>
        <v>2</v>
      </c>
      <c r="C517" s="60" t="str">
        <f>RAB!C99</f>
        <v>Pintu Type P2</v>
      </c>
      <c r="E517" s="153"/>
      <c r="F517" s="480"/>
      <c r="G517" s="153"/>
      <c r="H517" s="480"/>
      <c r="I517" s="153"/>
      <c r="J517" s="480"/>
      <c r="K517" s="153"/>
      <c r="L517" s="480"/>
      <c r="M517" s="162"/>
      <c r="N517" s="480"/>
      <c r="O517" s="153"/>
      <c r="P517" s="480"/>
      <c r="Q517" s="153"/>
      <c r="R517" s="480"/>
      <c r="S517" s="224"/>
      <c r="T517" s="18"/>
      <c r="U517" s="2"/>
      <c r="V517" s="43"/>
    </row>
    <row r="518" spans="2:22" s="1" customFormat="1" x14ac:dyDescent="0.3">
      <c r="B518" s="59"/>
      <c r="C518" s="60"/>
      <c r="D518" s="125" t="s">
        <v>95</v>
      </c>
      <c r="E518" s="161" t="s">
        <v>150</v>
      </c>
      <c r="F518" s="654"/>
      <c r="G518" s="161" t="s">
        <v>151</v>
      </c>
      <c r="H518" s="654"/>
      <c r="I518" s="161" t="s">
        <v>152</v>
      </c>
      <c r="J518" s="654"/>
      <c r="K518" s="161" t="s">
        <v>153</v>
      </c>
      <c r="L518" s="654"/>
      <c r="M518" s="171" t="s">
        <v>32</v>
      </c>
      <c r="N518" s="654"/>
      <c r="O518" s="161" t="s">
        <v>163</v>
      </c>
      <c r="P518" s="654"/>
      <c r="Q518" s="161" t="s">
        <v>151</v>
      </c>
      <c r="R518" s="654"/>
      <c r="S518" s="254" t="s">
        <v>143</v>
      </c>
      <c r="T518" s="66"/>
      <c r="U518" s="2"/>
      <c r="V518" s="43"/>
    </row>
    <row r="519" spans="2:22" s="1" customFormat="1" x14ac:dyDescent="0.3">
      <c r="B519" s="59"/>
      <c r="C519" s="60"/>
      <c r="D519" s="643" t="str">
        <f>RAB!D100</f>
        <v>- Kusen Kayu kelas 1</v>
      </c>
      <c r="E519" s="331">
        <f>2*(1.2+2.7)</f>
        <v>7.8000000000000007</v>
      </c>
      <c r="F519" s="575" t="s">
        <v>185</v>
      </c>
      <c r="G519" s="331">
        <v>0.13</v>
      </c>
      <c r="H519" s="575" t="s">
        <v>185</v>
      </c>
      <c r="I519" s="331">
        <v>0.05</v>
      </c>
      <c r="J519" s="575"/>
      <c r="K519" s="331">
        <v>4</v>
      </c>
      <c r="L519" s="575"/>
      <c r="M519" s="331"/>
      <c r="N519" s="575"/>
      <c r="O519" s="331"/>
      <c r="P519" s="575"/>
      <c r="Q519" s="331"/>
      <c r="R519" s="575" t="s">
        <v>114</v>
      </c>
      <c r="S519" s="577">
        <f>K519*E519*I519*G519</f>
        <v>0.20280000000000004</v>
      </c>
      <c r="T519" s="18">
        <f>ROUNDDOWN(S519,2)</f>
        <v>0.2</v>
      </c>
      <c r="U519" s="2" t="s">
        <v>3</v>
      </c>
      <c r="V519" s="43"/>
    </row>
    <row r="520" spans="2:22" s="1" customFormat="1" x14ac:dyDescent="0.3">
      <c r="B520" s="59"/>
      <c r="C520" s="60"/>
      <c r="D520" s="324" t="str">
        <f>RAB!D101</f>
        <v>- Daun Pintu Kayu panel kelas II</v>
      </c>
      <c r="E520" s="589"/>
      <c r="F520" s="629"/>
      <c r="G520" s="589">
        <v>1.1000000000000001</v>
      </c>
      <c r="H520" s="629" t="s">
        <v>185</v>
      </c>
      <c r="I520" s="589">
        <v>2.1</v>
      </c>
      <c r="J520" s="629" t="s">
        <v>185</v>
      </c>
      <c r="K520" s="589">
        <f t="shared" ref="K520:K528" si="8">K519</f>
        <v>4</v>
      </c>
      <c r="L520" s="629"/>
      <c r="M520" s="589"/>
      <c r="N520" s="629"/>
      <c r="O520" s="589"/>
      <c r="P520" s="629" t="s">
        <v>114</v>
      </c>
      <c r="Q520" s="589">
        <f>K520*I520*G520</f>
        <v>9.240000000000002</v>
      </c>
      <c r="R520" s="629"/>
      <c r="S520" s="590"/>
      <c r="T520" s="18">
        <f>ROUNDDOWN(Q520,2)</f>
        <v>9.24</v>
      </c>
      <c r="U520" s="2" t="s">
        <v>2</v>
      </c>
      <c r="V520" s="43"/>
    </row>
    <row r="521" spans="2:22" s="1" customFormat="1" x14ac:dyDescent="0.3">
      <c r="B521" s="59"/>
      <c r="C521" s="60"/>
      <c r="D521" s="324" t="e">
        <f>RAB!#REF!</f>
        <v>#REF!</v>
      </c>
      <c r="E521" s="589"/>
      <c r="F521" s="629"/>
      <c r="G521" s="589">
        <v>1.1000000000000001</v>
      </c>
      <c r="H521" s="629" t="s">
        <v>185</v>
      </c>
      <c r="I521" s="589">
        <v>0.5</v>
      </c>
      <c r="J521" s="629" t="s">
        <v>185</v>
      </c>
      <c r="K521" s="589">
        <f t="shared" si="8"/>
        <v>4</v>
      </c>
      <c r="L521" s="629"/>
      <c r="M521" s="589"/>
      <c r="N521" s="629"/>
      <c r="O521" s="589"/>
      <c r="P521" s="629" t="s">
        <v>114</v>
      </c>
      <c r="Q521" s="589">
        <f>K521*I521*G521</f>
        <v>2.2000000000000002</v>
      </c>
      <c r="R521" s="629"/>
      <c r="S521" s="590"/>
      <c r="T521" s="18">
        <f>ROUNDDOWN(Q521,2)</f>
        <v>2.2000000000000002</v>
      </c>
      <c r="U521" s="2" t="s">
        <v>2</v>
      </c>
      <c r="V521" s="43"/>
    </row>
    <row r="522" spans="2:22" s="1" customFormat="1" x14ac:dyDescent="0.3">
      <c r="B522" s="59"/>
      <c r="C522" s="60"/>
      <c r="D522" s="324" t="str">
        <f>RAB!D102</f>
        <v>- Engsel Pintu 4 inc</v>
      </c>
      <c r="E522" s="589"/>
      <c r="F522" s="629"/>
      <c r="G522" s="589"/>
      <c r="H522" s="629"/>
      <c r="I522" s="589"/>
      <c r="J522" s="629"/>
      <c r="K522" s="589">
        <f>K521</f>
        <v>4</v>
      </c>
      <c r="L522" s="629" t="s">
        <v>185</v>
      </c>
      <c r="M522" s="589">
        <v>2</v>
      </c>
      <c r="N522" s="629" t="s">
        <v>185</v>
      </c>
      <c r="O522" s="589">
        <v>3</v>
      </c>
      <c r="P522" s="629"/>
      <c r="Q522" s="589"/>
      <c r="R522" s="629" t="s">
        <v>114</v>
      </c>
      <c r="S522" s="590">
        <f>O522*K522*M522</f>
        <v>24</v>
      </c>
      <c r="T522" s="18">
        <f>ROUNDDOWN(S522,2)</f>
        <v>24</v>
      </c>
      <c r="U522" s="2" t="s">
        <v>9</v>
      </c>
      <c r="V522" s="43"/>
    </row>
    <row r="523" spans="2:22" s="1" customFormat="1" x14ac:dyDescent="0.3">
      <c r="B523" s="59"/>
      <c r="C523" s="60"/>
      <c r="D523" s="324" t="e">
        <f>RAB!#REF!</f>
        <v>#REF!</v>
      </c>
      <c r="E523" s="589"/>
      <c r="F523" s="629"/>
      <c r="G523" s="589"/>
      <c r="H523" s="629"/>
      <c r="I523" s="589"/>
      <c r="J523" s="629"/>
      <c r="K523" s="589">
        <f t="shared" si="8"/>
        <v>4</v>
      </c>
      <c r="L523" s="629" t="s">
        <v>185</v>
      </c>
      <c r="M523" s="589">
        <v>1</v>
      </c>
      <c r="N523" s="629" t="s">
        <v>185</v>
      </c>
      <c r="O523" s="589">
        <v>2</v>
      </c>
      <c r="P523" s="629"/>
      <c r="Q523" s="589"/>
      <c r="R523" s="629" t="s">
        <v>114</v>
      </c>
      <c r="S523" s="590">
        <f>O523*K523*M523</f>
        <v>8</v>
      </c>
      <c r="T523" s="18">
        <f>ROUNDDOWN(S523,2)</f>
        <v>8</v>
      </c>
      <c r="U523" s="2" t="s">
        <v>9</v>
      </c>
      <c r="V523" s="43"/>
    </row>
    <row r="524" spans="2:22" s="1" customFormat="1" x14ac:dyDescent="0.3">
      <c r="B524" s="59"/>
      <c r="C524" s="60"/>
      <c r="D524" s="324" t="str">
        <f>RAB!D103</f>
        <v>- Kunci Tanam ex. Ses</v>
      </c>
      <c r="E524" s="589"/>
      <c r="F524" s="629"/>
      <c r="G524" s="589"/>
      <c r="H524" s="629"/>
      <c r="I524" s="589"/>
      <c r="J524" s="629"/>
      <c r="K524" s="589">
        <f t="shared" si="8"/>
        <v>4</v>
      </c>
      <c r="L524" s="629"/>
      <c r="M524" s="589"/>
      <c r="N524" s="629"/>
      <c r="O524" s="589"/>
      <c r="P524" s="629"/>
      <c r="Q524" s="589"/>
      <c r="R524" s="629"/>
      <c r="S524" s="590"/>
      <c r="T524" s="18">
        <f>ROUNDDOWN(K524,2)</f>
        <v>4</v>
      </c>
      <c r="U524" s="2" t="s">
        <v>115</v>
      </c>
      <c r="V524" s="43"/>
    </row>
    <row r="525" spans="2:22" s="1" customFormat="1" x14ac:dyDescent="0.3">
      <c r="B525" s="59"/>
      <c r="C525" s="60"/>
      <c r="D525" s="324" t="e">
        <f>RAB!#REF!</f>
        <v>#REF!</v>
      </c>
      <c r="E525" s="589"/>
      <c r="F525" s="629"/>
      <c r="G525" s="589"/>
      <c r="H525" s="629"/>
      <c r="I525" s="589"/>
      <c r="J525" s="629"/>
      <c r="K525" s="589">
        <f t="shared" si="8"/>
        <v>4</v>
      </c>
      <c r="L525" s="629"/>
      <c r="M525" s="589"/>
      <c r="N525" s="629"/>
      <c r="O525" s="589"/>
      <c r="P525" s="629"/>
      <c r="Q525" s="589"/>
      <c r="R525" s="629"/>
      <c r="S525" s="590"/>
      <c r="T525" s="18">
        <f>ROUNDDOWN(K525,2)</f>
        <v>4</v>
      </c>
      <c r="U525" s="2" t="s">
        <v>9</v>
      </c>
      <c r="V525" s="43"/>
    </row>
    <row r="526" spans="2:22" s="1" customFormat="1" x14ac:dyDescent="0.3">
      <c r="B526" s="59"/>
      <c r="C526" s="60"/>
      <c r="D526" s="324" t="e">
        <f>RAB!#REF!</f>
        <v>#REF!</v>
      </c>
      <c r="E526" s="589"/>
      <c r="F526" s="629"/>
      <c r="G526" s="589"/>
      <c r="H526" s="629"/>
      <c r="I526" s="589"/>
      <c r="J526" s="629"/>
      <c r="K526" s="589">
        <f t="shared" si="8"/>
        <v>4</v>
      </c>
      <c r="L526" s="629"/>
      <c r="M526" s="589"/>
      <c r="N526" s="629"/>
      <c r="O526" s="589"/>
      <c r="P526" s="629"/>
      <c r="Q526" s="589"/>
      <c r="R526" s="629"/>
      <c r="S526" s="590"/>
      <c r="T526" s="18">
        <f>ROUNDDOWN(K526,2)</f>
        <v>4</v>
      </c>
      <c r="U526" s="2" t="s">
        <v>129</v>
      </c>
      <c r="V526" s="43"/>
    </row>
    <row r="527" spans="2:22" s="1" customFormat="1" x14ac:dyDescent="0.3">
      <c r="B527" s="59"/>
      <c r="C527" s="60"/>
      <c r="D527" s="324" t="str">
        <f>RAB!D104</f>
        <v>- Door Stoop</v>
      </c>
      <c r="E527" s="1161"/>
      <c r="F527" s="517"/>
      <c r="G527" s="1161"/>
      <c r="H527" s="517"/>
      <c r="I527" s="1161"/>
      <c r="J527" s="517"/>
      <c r="K527" s="589">
        <f t="shared" si="8"/>
        <v>4</v>
      </c>
      <c r="L527" s="629"/>
      <c r="M527" s="589"/>
      <c r="N527" s="629"/>
      <c r="O527" s="589"/>
      <c r="P527" s="629"/>
      <c r="Q527" s="589"/>
      <c r="R527" s="629"/>
      <c r="S527" s="590"/>
      <c r="T527" s="18">
        <f>ROUNDDOWN(K527,2)</f>
        <v>4</v>
      </c>
      <c r="U527" s="2" t="s">
        <v>132</v>
      </c>
      <c r="V527" s="43"/>
    </row>
    <row r="528" spans="2:22" s="1" customFormat="1" x14ac:dyDescent="0.3">
      <c r="B528" s="59"/>
      <c r="C528" s="60"/>
      <c r="D528" s="324" t="str">
        <f>RAB!D105</f>
        <v>- Grendel Pintu 8 Inc Stainless Stail</v>
      </c>
      <c r="E528" s="619"/>
      <c r="F528" s="526"/>
      <c r="G528" s="619"/>
      <c r="H528" s="526"/>
      <c r="I528" s="619"/>
      <c r="J528" s="526"/>
      <c r="K528" s="589">
        <f t="shared" si="8"/>
        <v>4</v>
      </c>
      <c r="L528" s="1041"/>
      <c r="M528" s="1040"/>
      <c r="N528" s="1041"/>
      <c r="O528" s="1040"/>
      <c r="P528" s="1041"/>
      <c r="Q528" s="1040"/>
      <c r="R528" s="1041"/>
      <c r="S528" s="1042"/>
      <c r="T528" s="18">
        <f>ROUNDDOWN(K528,2)</f>
        <v>4</v>
      </c>
      <c r="U528" s="2" t="s">
        <v>132</v>
      </c>
      <c r="V528" s="43"/>
    </row>
    <row r="529" spans="2:22" s="1" customFormat="1" x14ac:dyDescent="0.3">
      <c r="B529" s="59"/>
      <c r="C529" s="60"/>
      <c r="D529" s="143"/>
      <c r="E529" s="330"/>
      <c r="F529" s="512"/>
      <c r="G529" s="330"/>
      <c r="H529" s="512"/>
      <c r="I529" s="330"/>
      <c r="J529" s="512"/>
      <c r="K529" s="330"/>
      <c r="L529" s="512"/>
      <c r="M529" s="330"/>
      <c r="N529" s="512"/>
      <c r="O529" s="330"/>
      <c r="P529" s="512"/>
      <c r="Q529" s="330"/>
      <c r="R529" s="512"/>
      <c r="S529" s="559"/>
      <c r="T529" s="66"/>
      <c r="U529" s="2"/>
      <c r="V529" s="43"/>
    </row>
    <row r="530" spans="2:22" x14ac:dyDescent="0.3">
      <c r="B530" s="341"/>
      <c r="C530" s="342"/>
      <c r="D530" s="343"/>
      <c r="E530" s="471"/>
      <c r="F530" s="489"/>
      <c r="G530" s="471"/>
      <c r="H530" s="489"/>
      <c r="I530" s="471"/>
      <c r="J530" s="489"/>
      <c r="K530" s="438"/>
      <c r="L530" s="482"/>
      <c r="M530" s="439"/>
      <c r="N530" s="482"/>
      <c r="O530" s="438"/>
      <c r="P530" s="482"/>
      <c r="Q530" s="438"/>
      <c r="R530" s="482"/>
      <c r="S530" s="454"/>
    </row>
    <row r="531" spans="2:22" x14ac:dyDescent="0.3">
      <c r="B531" s="341"/>
      <c r="C531" s="342"/>
      <c r="D531" s="16"/>
      <c r="E531" s="216"/>
      <c r="F531" s="602"/>
      <c r="G531" s="216"/>
      <c r="H531" s="602"/>
      <c r="I531" s="216"/>
      <c r="J531" s="602"/>
      <c r="K531" s="156"/>
      <c r="L531" s="501"/>
      <c r="M531" s="165"/>
      <c r="N531" s="501"/>
      <c r="O531" s="156"/>
      <c r="P531" s="501"/>
      <c r="Q531" s="156"/>
      <c r="R531" s="501"/>
      <c r="S531" s="232"/>
    </row>
    <row r="532" spans="2:22" s="1" customFormat="1" ht="17.25" thickBot="1" x14ac:dyDescent="0.35">
      <c r="B532" s="59">
        <f>RAB!B106</f>
        <v>3</v>
      </c>
      <c r="C532" s="60" t="str">
        <f>RAB!C106</f>
        <v>Jendela Type J.1</v>
      </c>
      <c r="E532" s="153"/>
      <c r="F532" s="480"/>
      <c r="G532" s="153"/>
      <c r="H532" s="480"/>
      <c r="I532" s="153"/>
      <c r="J532" s="480"/>
      <c r="K532" s="153"/>
      <c r="L532" s="480"/>
      <c r="M532" s="162"/>
      <c r="N532" s="480"/>
      <c r="O532" s="153"/>
      <c r="P532" s="480"/>
      <c r="Q532" s="153"/>
      <c r="R532" s="480"/>
      <c r="S532" s="224"/>
      <c r="T532" s="18">
        <f>ROUNDDOWN(S536,2)</f>
        <v>22</v>
      </c>
      <c r="U532" s="2" t="s">
        <v>32</v>
      </c>
      <c r="V532" s="43"/>
    </row>
    <row r="533" spans="2:22" s="1" customFormat="1" x14ac:dyDescent="0.3">
      <c r="B533" s="59"/>
      <c r="C533" s="60"/>
      <c r="D533" s="141" t="s">
        <v>95</v>
      </c>
      <c r="E533" s="158" t="s">
        <v>150</v>
      </c>
      <c r="F533" s="641"/>
      <c r="G533" s="158" t="s">
        <v>151</v>
      </c>
      <c r="H533" s="641"/>
      <c r="I533" s="158" t="s">
        <v>152</v>
      </c>
      <c r="J533" s="641"/>
      <c r="K533" s="158" t="s">
        <v>153</v>
      </c>
      <c r="L533" s="641"/>
      <c r="M533" s="167" t="s">
        <v>32</v>
      </c>
      <c r="N533" s="641"/>
      <c r="O533" s="158" t="s">
        <v>163</v>
      </c>
      <c r="P533" s="641"/>
      <c r="Q533" s="158" t="s">
        <v>151</v>
      </c>
      <c r="R533" s="641"/>
      <c r="S533" s="242" t="s">
        <v>143</v>
      </c>
      <c r="T533" s="66"/>
      <c r="U533" s="2"/>
      <c r="V533" s="43"/>
    </row>
    <row r="534" spans="2:22" s="1" customFormat="1" x14ac:dyDescent="0.3">
      <c r="B534" s="59"/>
      <c r="C534" s="60"/>
      <c r="D534" s="142" t="str">
        <f>C532</f>
        <v>Jendela Type J.1</v>
      </c>
      <c r="E534" s="197"/>
      <c r="F534" s="640"/>
      <c r="G534" s="197"/>
      <c r="H534" s="640"/>
      <c r="I534" s="197"/>
      <c r="J534" s="640"/>
      <c r="K534" s="197"/>
      <c r="L534" s="640"/>
      <c r="M534" s="323">
        <f>K462</f>
        <v>22</v>
      </c>
      <c r="N534" s="640"/>
      <c r="O534" s="197"/>
      <c r="P534" s="640"/>
      <c r="Q534" s="197"/>
      <c r="R534" s="640" t="s">
        <v>114</v>
      </c>
      <c r="S534" s="248">
        <f>M534</f>
        <v>22</v>
      </c>
      <c r="T534" s="66"/>
      <c r="U534" s="2"/>
      <c r="V534" s="43"/>
    </row>
    <row r="535" spans="2:22" s="1" customFormat="1" x14ac:dyDescent="0.3">
      <c r="B535" s="59"/>
      <c r="C535" s="60"/>
      <c r="D535" s="143"/>
      <c r="E535" s="170"/>
      <c r="F535" s="630"/>
      <c r="G535" s="170"/>
      <c r="H535" s="630"/>
      <c r="I535" s="170"/>
      <c r="J535" s="630"/>
      <c r="K535" s="170"/>
      <c r="L535" s="630"/>
      <c r="M535" s="170"/>
      <c r="N535" s="630"/>
      <c r="O535" s="170"/>
      <c r="P535" s="630"/>
      <c r="Q535" s="170"/>
      <c r="R535" s="630"/>
      <c r="S535" s="251">
        <f>G535*I535*K535</f>
        <v>0</v>
      </c>
      <c r="T535" s="66"/>
      <c r="U535" s="2"/>
      <c r="V535" s="43"/>
    </row>
    <row r="536" spans="2:22" s="1" customFormat="1" ht="17.25" thickBot="1" x14ac:dyDescent="0.35">
      <c r="B536" s="59"/>
      <c r="C536" s="60"/>
      <c r="D536" s="3091" t="s">
        <v>164</v>
      </c>
      <c r="E536" s="3092"/>
      <c r="F536" s="3092"/>
      <c r="G536" s="3092"/>
      <c r="H536" s="3092"/>
      <c r="I536" s="3092"/>
      <c r="J536" s="622"/>
      <c r="K536" s="190"/>
      <c r="L536" s="622"/>
      <c r="M536" s="190"/>
      <c r="N536" s="622"/>
      <c r="O536" s="190"/>
      <c r="P536" s="622"/>
      <c r="Q536" s="190"/>
      <c r="R536" s="622"/>
      <c r="S536" s="247">
        <f>SUM(S534:S535)</f>
        <v>22</v>
      </c>
      <c r="T536" s="66"/>
      <c r="U536" s="2"/>
      <c r="V536" s="43"/>
    </row>
    <row r="537" spans="2:22" s="1" customFormat="1" x14ac:dyDescent="0.3">
      <c r="B537" s="59"/>
      <c r="C537" s="60"/>
      <c r="D537" s="16"/>
      <c r="E537" s="216"/>
      <c r="F537" s="602"/>
      <c r="G537" s="216"/>
      <c r="H537" s="602"/>
      <c r="I537" s="216"/>
      <c r="J537" s="602"/>
      <c r="K537" s="156"/>
      <c r="L537" s="501"/>
      <c r="M537" s="165"/>
      <c r="N537" s="501"/>
      <c r="O537" s="156"/>
      <c r="P537" s="501"/>
      <c r="Q537" s="156"/>
      <c r="R537" s="501"/>
      <c r="S537" s="232"/>
      <c r="T537" s="66"/>
      <c r="U537" s="2"/>
      <c r="V537" s="43"/>
    </row>
    <row r="538" spans="2:22" s="1" customFormat="1" ht="17.25" thickBot="1" x14ac:dyDescent="0.35">
      <c r="B538" s="59">
        <f>RAB!B107</f>
        <v>4</v>
      </c>
      <c r="C538" s="60" t="str">
        <f>RAB!C107</f>
        <v>Jendela Type J2</v>
      </c>
      <c r="E538" s="153"/>
      <c r="F538" s="480"/>
      <c r="G538" s="153"/>
      <c r="H538" s="480"/>
      <c r="I538" s="153"/>
      <c r="J538" s="480"/>
      <c r="K538" s="153"/>
      <c r="L538" s="480"/>
      <c r="M538" s="162"/>
      <c r="N538" s="480"/>
      <c r="O538" s="153"/>
      <c r="P538" s="480"/>
      <c r="Q538" s="153"/>
      <c r="R538" s="480"/>
      <c r="S538" s="224"/>
      <c r="T538" s="18">
        <f>ROUNDDOWN(S542,2)</f>
        <v>4</v>
      </c>
      <c r="U538" s="2" t="s">
        <v>32</v>
      </c>
      <c r="V538" s="43"/>
    </row>
    <row r="539" spans="2:22" s="1" customFormat="1" x14ac:dyDescent="0.3">
      <c r="B539" s="59"/>
      <c r="C539" s="60"/>
      <c r="D539" s="125" t="s">
        <v>95</v>
      </c>
      <c r="E539" s="161" t="s">
        <v>150</v>
      </c>
      <c r="F539" s="654"/>
      <c r="G539" s="161" t="s">
        <v>151</v>
      </c>
      <c r="H539" s="654"/>
      <c r="I539" s="161" t="s">
        <v>152</v>
      </c>
      <c r="J539" s="654"/>
      <c r="K539" s="161" t="s">
        <v>153</v>
      </c>
      <c r="L539" s="654"/>
      <c r="M539" s="171" t="s">
        <v>32</v>
      </c>
      <c r="N539" s="654"/>
      <c r="O539" s="161" t="s">
        <v>163</v>
      </c>
      <c r="P539" s="654"/>
      <c r="Q539" s="161" t="s">
        <v>151</v>
      </c>
      <c r="R539" s="654"/>
      <c r="S539" s="254" t="s">
        <v>143</v>
      </c>
      <c r="T539" s="66"/>
      <c r="U539" s="2"/>
      <c r="V539" s="43"/>
    </row>
    <row r="540" spans="2:22" s="1" customFormat="1" x14ac:dyDescent="0.3">
      <c r="B540" s="59"/>
      <c r="C540" s="60"/>
      <c r="D540" s="662" t="str">
        <f>C538</f>
        <v>Jendela Type J2</v>
      </c>
      <c r="E540" s="663"/>
      <c r="F540" s="664"/>
      <c r="G540" s="663"/>
      <c r="H540" s="664"/>
      <c r="I540" s="663"/>
      <c r="J540" s="664"/>
      <c r="K540" s="663"/>
      <c r="L540" s="664"/>
      <c r="M540" s="665">
        <f>K463</f>
        <v>4</v>
      </c>
      <c r="N540" s="664"/>
      <c r="O540" s="663"/>
      <c r="P540" s="664"/>
      <c r="Q540" s="663"/>
      <c r="R540" s="640" t="s">
        <v>114</v>
      </c>
      <c r="S540" s="248">
        <f>M540</f>
        <v>4</v>
      </c>
      <c r="T540" s="66"/>
      <c r="U540" s="2"/>
      <c r="V540" s="43"/>
    </row>
    <row r="541" spans="2:22" s="1" customFormat="1" x14ac:dyDescent="0.3">
      <c r="B541" s="59"/>
      <c r="C541" s="60"/>
      <c r="D541" s="666"/>
      <c r="E541" s="667"/>
      <c r="F541" s="668"/>
      <c r="G541" s="667"/>
      <c r="H541" s="668"/>
      <c r="I541" s="667"/>
      <c r="J541" s="668"/>
      <c r="K541" s="667"/>
      <c r="L541" s="668"/>
      <c r="M541" s="667"/>
      <c r="N541" s="668"/>
      <c r="O541" s="667"/>
      <c r="P541" s="668"/>
      <c r="Q541" s="667"/>
      <c r="R541" s="668"/>
      <c r="S541" s="669">
        <f>G541*I541*K541</f>
        <v>0</v>
      </c>
      <c r="T541" s="66"/>
      <c r="U541" s="2"/>
      <c r="V541" s="43"/>
    </row>
    <row r="542" spans="2:22" s="1" customFormat="1" ht="17.25" thickBot="1" x14ac:dyDescent="0.35">
      <c r="B542" s="59"/>
      <c r="C542" s="60"/>
      <c r="D542" s="3091" t="s">
        <v>164</v>
      </c>
      <c r="E542" s="3092"/>
      <c r="F542" s="3092"/>
      <c r="G542" s="3092"/>
      <c r="H542" s="3092"/>
      <c r="I542" s="3092"/>
      <c r="J542" s="622"/>
      <c r="K542" s="190"/>
      <c r="L542" s="622"/>
      <c r="M542" s="190"/>
      <c r="N542" s="622"/>
      <c r="O542" s="190"/>
      <c r="P542" s="622"/>
      <c r="Q542" s="190"/>
      <c r="R542" s="622"/>
      <c r="S542" s="247">
        <f>SUM(S540:S541)</f>
        <v>4</v>
      </c>
      <c r="T542" s="66"/>
      <c r="U542" s="2"/>
      <c r="V542" s="43"/>
    </row>
    <row r="543" spans="2:22" x14ac:dyDescent="0.3">
      <c r="B543" s="341"/>
      <c r="C543" s="342"/>
      <c r="D543" s="453"/>
      <c r="E543" s="455"/>
      <c r="F543" s="485"/>
      <c r="G543" s="455"/>
      <c r="H543" s="485"/>
      <c r="I543" s="455"/>
      <c r="J543" s="492"/>
      <c r="K543" s="477"/>
      <c r="L543" s="492"/>
      <c r="M543" s="477"/>
      <c r="N543" s="492"/>
      <c r="O543" s="477"/>
      <c r="P543" s="492"/>
      <c r="Q543" s="477"/>
      <c r="R543" s="492"/>
      <c r="S543" s="479"/>
    </row>
    <row r="544" spans="2:22" s="1" customFormat="1" x14ac:dyDescent="0.3">
      <c r="B544" s="134" t="str">
        <f>RAB!B110</f>
        <v>V</v>
      </c>
      <c r="C544" s="134" t="str">
        <f>RAB!C110</f>
        <v>PEKERJAAN PENUTUP LANTAI &amp; DINDING</v>
      </c>
      <c r="E544" s="153"/>
      <c r="F544" s="480"/>
      <c r="G544" s="153"/>
      <c r="H544" s="480"/>
      <c r="I544" s="153"/>
      <c r="J544" s="480"/>
      <c r="K544" s="153"/>
      <c r="L544" s="480"/>
      <c r="M544" s="162"/>
      <c r="N544" s="480"/>
      <c r="O544" s="153"/>
      <c r="P544" s="480"/>
      <c r="Q544" s="200"/>
      <c r="R544" s="480"/>
      <c r="S544" s="224"/>
      <c r="T544" s="66"/>
      <c r="U544" s="2"/>
      <c r="V544" s="43"/>
    </row>
    <row r="545" spans="2:22" s="1" customFormat="1" x14ac:dyDescent="0.3">
      <c r="B545" s="36" t="e">
        <f>RAB!#REF!</f>
        <v>#REF!</v>
      </c>
      <c r="C545" s="17" t="e">
        <f>RAB!#REF!</f>
        <v>#REF!</v>
      </c>
      <c r="E545" s="153"/>
      <c r="F545" s="480"/>
      <c r="G545" s="153"/>
      <c r="H545" s="480"/>
      <c r="I545" s="153"/>
      <c r="J545" s="480"/>
      <c r="K545" s="153"/>
      <c r="L545" s="480"/>
      <c r="M545" s="162"/>
      <c r="N545" s="480"/>
      <c r="O545" s="153"/>
      <c r="P545" s="480"/>
      <c r="Q545" s="200"/>
      <c r="R545" s="480"/>
      <c r="S545" s="224"/>
      <c r="T545" s="18">
        <v>0</v>
      </c>
      <c r="U545" s="2" t="s">
        <v>3</v>
      </c>
      <c r="V545" s="43"/>
    </row>
    <row r="546" spans="2:22" s="1" customFormat="1" ht="17.25" thickBot="1" x14ac:dyDescent="0.35">
      <c r="B546" s="36"/>
      <c r="C546" s="17"/>
      <c r="D546" s="1" t="e">
        <f>RAB!#REF!</f>
        <v>#REF!</v>
      </c>
      <c r="E546" s="153"/>
      <c r="F546" s="480"/>
      <c r="G546" s="153"/>
      <c r="H546" s="480"/>
      <c r="I546" s="153"/>
      <c r="J546" s="480"/>
      <c r="K546" s="153"/>
      <c r="L546" s="480"/>
      <c r="M546" s="162"/>
      <c r="N546" s="480"/>
      <c r="O546" s="153"/>
      <c r="P546" s="480"/>
      <c r="Q546" s="200"/>
      <c r="R546" s="480"/>
      <c r="S546" s="224"/>
      <c r="T546" s="18"/>
      <c r="U546" s="2"/>
      <c r="V546" s="43"/>
    </row>
    <row r="547" spans="2:22" s="1" customFormat="1" x14ac:dyDescent="0.3">
      <c r="B547" s="325"/>
      <c r="C547" s="17"/>
      <c r="D547" s="8" t="s">
        <v>95</v>
      </c>
      <c r="E547" s="154" t="s">
        <v>150</v>
      </c>
      <c r="F547" s="493"/>
      <c r="G547" s="154" t="s">
        <v>151</v>
      </c>
      <c r="H547" s="493"/>
      <c r="I547" s="154" t="s">
        <v>152</v>
      </c>
      <c r="J547" s="493"/>
      <c r="K547" s="154" t="s">
        <v>153</v>
      </c>
      <c r="L547" s="494"/>
      <c r="M547" s="163" t="s">
        <v>32</v>
      </c>
      <c r="N547" s="494"/>
      <c r="O547" s="201" t="s">
        <v>163</v>
      </c>
      <c r="P547" s="494"/>
      <c r="Q547" s="202" t="s">
        <v>151</v>
      </c>
      <c r="R547" s="494"/>
      <c r="S547" s="226" t="s">
        <v>143</v>
      </c>
      <c r="T547" s="66"/>
      <c r="U547" s="2"/>
      <c r="V547" s="43"/>
    </row>
    <row r="548" spans="2:22" s="1" customFormat="1" x14ac:dyDescent="0.3">
      <c r="B548" s="325"/>
      <c r="C548" s="17"/>
      <c r="D548" s="142" t="s">
        <v>771</v>
      </c>
      <c r="E548" s="197"/>
      <c r="F548" s="516"/>
      <c r="G548" s="197"/>
      <c r="H548" s="516"/>
      <c r="I548" s="331">
        <v>0.05</v>
      </c>
      <c r="J548" s="565" t="s">
        <v>185</v>
      </c>
      <c r="K548" s="331">
        <v>1</v>
      </c>
      <c r="L548" s="575"/>
      <c r="M548" s="331"/>
      <c r="N548" s="575"/>
      <c r="O548" s="331"/>
      <c r="P548" s="565"/>
      <c r="Q548" s="331">
        <f>Q81</f>
        <v>212.54399999999998</v>
      </c>
      <c r="R548" s="565" t="s">
        <v>114</v>
      </c>
      <c r="S548" s="577">
        <f>I548*K548*Q548</f>
        <v>10.6272</v>
      </c>
      <c r="T548" s="66"/>
      <c r="U548" s="2"/>
      <c r="V548" s="43"/>
    </row>
    <row r="549" spans="2:22" s="1" customFormat="1" x14ac:dyDescent="0.3">
      <c r="B549" s="325"/>
      <c r="C549" s="17"/>
      <c r="D549" s="698" t="s">
        <v>770</v>
      </c>
      <c r="E549" s="700"/>
      <c r="F549" s="699"/>
      <c r="G549" s="700"/>
      <c r="H549" s="521"/>
      <c r="I549" s="1161">
        <v>0.05</v>
      </c>
      <c r="J549" s="518" t="s">
        <v>185</v>
      </c>
      <c r="K549" s="1161">
        <v>1</v>
      </c>
      <c r="L549" s="517"/>
      <c r="M549" s="1161"/>
      <c r="N549" s="517"/>
      <c r="O549" s="1161"/>
      <c r="P549" s="518"/>
      <c r="Q549" s="1161">
        <v>4.4000000000000004</v>
      </c>
      <c r="R549" s="518" t="s">
        <v>114</v>
      </c>
      <c r="S549" s="519">
        <f>I549*K549*Q549</f>
        <v>0.22000000000000003</v>
      </c>
      <c r="T549" s="66"/>
      <c r="U549" s="2"/>
      <c r="V549" s="43"/>
    </row>
    <row r="550" spans="2:22" s="1" customFormat="1" x14ac:dyDescent="0.3">
      <c r="B550" s="325"/>
      <c r="C550" s="17"/>
      <c r="D550" s="148"/>
      <c r="E550" s="192"/>
      <c r="F550" s="631"/>
      <c r="G550" s="192"/>
      <c r="H550" s="631"/>
      <c r="I550" s="192"/>
      <c r="J550" s="631"/>
      <c r="K550" s="192"/>
      <c r="L550" s="631"/>
      <c r="M550" s="192"/>
      <c r="N550" s="631"/>
      <c r="O550" s="192"/>
      <c r="P550" s="631"/>
      <c r="Q550" s="192"/>
      <c r="R550" s="631"/>
      <c r="S550" s="252"/>
      <c r="T550" s="66"/>
      <c r="U550" s="2"/>
      <c r="V550" s="43"/>
    </row>
    <row r="551" spans="2:22" s="1" customFormat="1" ht="17.25" thickBot="1" x14ac:dyDescent="0.35">
      <c r="B551" s="325"/>
      <c r="C551" s="17"/>
      <c r="D551" s="3096" t="s">
        <v>164</v>
      </c>
      <c r="E551" s="3097"/>
      <c r="F551" s="3097"/>
      <c r="G551" s="3097"/>
      <c r="H551" s="3097"/>
      <c r="I551" s="3097"/>
      <c r="J551" s="637"/>
      <c r="K551" s="196"/>
      <c r="L551" s="637"/>
      <c r="M551" s="196"/>
      <c r="N551" s="637"/>
      <c r="O551" s="196"/>
      <c r="P551" s="637"/>
      <c r="Q551" s="196"/>
      <c r="R551" s="637"/>
      <c r="S551" s="253">
        <f>SUM(S548:S550)</f>
        <v>10.847200000000001</v>
      </c>
      <c r="T551" s="66"/>
      <c r="U551" s="2"/>
      <c r="V551" s="43"/>
    </row>
    <row r="552" spans="2:22" x14ac:dyDescent="0.3">
      <c r="B552" s="473"/>
      <c r="C552" s="465"/>
      <c r="D552" s="453"/>
      <c r="E552" s="455"/>
      <c r="F552" s="485"/>
      <c r="G552" s="455"/>
      <c r="H552" s="485"/>
      <c r="I552" s="455"/>
      <c r="J552" s="485"/>
      <c r="K552" s="477"/>
      <c r="L552" s="492"/>
      <c r="M552" s="477"/>
      <c r="N552" s="492"/>
      <c r="O552" s="477"/>
      <c r="P552" s="492"/>
      <c r="Q552" s="477"/>
      <c r="R552" s="492"/>
      <c r="S552" s="479"/>
    </row>
    <row r="553" spans="2:22" s="1" customFormat="1" ht="17.25" thickBot="1" x14ac:dyDescent="0.35">
      <c r="B553" s="36"/>
      <c r="C553" s="1" t="e">
        <f>RAB!#REF!</f>
        <v>#REF!</v>
      </c>
      <c r="E553" s="153"/>
      <c r="F553" s="480"/>
      <c r="G553" s="153"/>
      <c r="H553" s="480"/>
      <c r="I553" s="153"/>
      <c r="J553" s="480"/>
      <c r="K553" s="153"/>
      <c r="L553" s="480"/>
      <c r="M553" s="162"/>
      <c r="N553" s="480"/>
      <c r="O553" s="153"/>
      <c r="P553" s="480"/>
      <c r="Q553" s="200"/>
      <c r="R553" s="480"/>
      <c r="S553" s="224"/>
      <c r="T553" s="18">
        <v>0</v>
      </c>
      <c r="U553" s="2" t="s">
        <v>130</v>
      </c>
      <c r="V553" s="43"/>
    </row>
    <row r="554" spans="2:22" s="1" customFormat="1" x14ac:dyDescent="0.3">
      <c r="B554" s="325"/>
      <c r="C554" s="17"/>
      <c r="D554" s="141" t="s">
        <v>95</v>
      </c>
      <c r="E554" s="158" t="s">
        <v>150</v>
      </c>
      <c r="F554" s="641"/>
      <c r="G554" s="158" t="s">
        <v>151</v>
      </c>
      <c r="H554" s="641"/>
      <c r="I554" s="158" t="s">
        <v>152</v>
      </c>
      <c r="J554" s="641"/>
      <c r="K554" s="158" t="s">
        <v>153</v>
      </c>
      <c r="L554" s="641"/>
      <c r="M554" s="167" t="s">
        <v>32</v>
      </c>
      <c r="N554" s="641"/>
      <c r="O554" s="158" t="s">
        <v>163</v>
      </c>
      <c r="P554" s="641"/>
      <c r="Q554" s="222" t="s">
        <v>151</v>
      </c>
      <c r="R554" s="641"/>
      <c r="S554" s="242" t="s">
        <v>143</v>
      </c>
      <c r="T554" s="66"/>
      <c r="U554" s="2"/>
      <c r="V554" s="43"/>
    </row>
    <row r="555" spans="2:22" s="1" customFormat="1" x14ac:dyDescent="0.3">
      <c r="B555" s="325"/>
      <c r="C555" s="17"/>
      <c r="D555" s="142" t="str">
        <f>D548</f>
        <v>Bawah Lantai</v>
      </c>
      <c r="E555" s="197"/>
      <c r="F555" s="640"/>
      <c r="G555" s="197"/>
      <c r="H555" s="640"/>
      <c r="I555" s="331">
        <v>7.0000000000000007E-2</v>
      </c>
      <c r="J555" s="575" t="s">
        <v>185</v>
      </c>
      <c r="K555" s="331">
        <v>1</v>
      </c>
      <c r="L555" s="575" t="s">
        <v>185</v>
      </c>
      <c r="M555" s="331"/>
      <c r="N555" s="575"/>
      <c r="O555" s="331"/>
      <c r="P555" s="575"/>
      <c r="Q555" s="331">
        <f>Q548</f>
        <v>212.54399999999998</v>
      </c>
      <c r="R555" s="575" t="s">
        <v>114</v>
      </c>
      <c r="S555" s="577">
        <f>I555*K555*Q555</f>
        <v>14.878080000000001</v>
      </c>
      <c r="T555" s="66"/>
      <c r="U555" s="2"/>
      <c r="V555" s="43"/>
    </row>
    <row r="556" spans="2:22" s="1" customFormat="1" x14ac:dyDescent="0.3">
      <c r="B556" s="325"/>
      <c r="C556" s="17"/>
      <c r="D556" s="698"/>
      <c r="E556" s="700"/>
      <c r="F556" s="701"/>
      <c r="G556" s="700"/>
      <c r="H556" s="603"/>
      <c r="I556" s="1161">
        <v>7.0000000000000007E-2</v>
      </c>
      <c r="J556" s="517" t="s">
        <v>185</v>
      </c>
      <c r="K556" s="1161">
        <v>1</v>
      </c>
      <c r="L556" s="517" t="s">
        <v>185</v>
      </c>
      <c r="M556" s="1161"/>
      <c r="N556" s="517"/>
      <c r="O556" s="1161"/>
      <c r="P556" s="517"/>
      <c r="Q556" s="1161">
        <f>Q549</f>
        <v>4.4000000000000004</v>
      </c>
      <c r="R556" s="517" t="s">
        <v>114</v>
      </c>
      <c r="S556" s="519">
        <f>I556*K556*Q556</f>
        <v>0.30800000000000005</v>
      </c>
      <c r="T556" s="66"/>
      <c r="U556" s="2"/>
      <c r="V556" s="43"/>
    </row>
    <row r="557" spans="2:22" s="1" customFormat="1" x14ac:dyDescent="0.3">
      <c r="B557" s="325"/>
      <c r="C557" s="17"/>
      <c r="D557" s="143"/>
      <c r="E557" s="170"/>
      <c r="F557" s="630"/>
      <c r="G557" s="170"/>
      <c r="H557" s="630"/>
      <c r="I557" s="330"/>
      <c r="J557" s="512"/>
      <c r="K557" s="330"/>
      <c r="L557" s="512"/>
      <c r="M557" s="330"/>
      <c r="N557" s="512"/>
      <c r="O557" s="330"/>
      <c r="P557" s="512"/>
      <c r="Q557" s="330"/>
      <c r="R557" s="512"/>
      <c r="S557" s="559"/>
      <c r="T557" s="66"/>
      <c r="U557" s="2"/>
      <c r="V557" s="43"/>
    </row>
    <row r="558" spans="2:22" s="1" customFormat="1" ht="17.25" thickBot="1" x14ac:dyDescent="0.35">
      <c r="B558" s="325"/>
      <c r="C558" s="17"/>
      <c r="D558" s="3089" t="s">
        <v>164</v>
      </c>
      <c r="E558" s="3090"/>
      <c r="F558" s="3090"/>
      <c r="G558" s="3090"/>
      <c r="H558" s="3090"/>
      <c r="I558" s="3090"/>
      <c r="J558" s="622"/>
      <c r="K558" s="190"/>
      <c r="L558" s="622"/>
      <c r="M558" s="190"/>
      <c r="N558" s="622"/>
      <c r="O558" s="190"/>
      <c r="P558" s="622"/>
      <c r="Q558" s="644">
        <f>SUM(Q555:Q555)</f>
        <v>212.54399999999998</v>
      </c>
      <c r="R558" s="704"/>
      <c r="S558" s="705">
        <f>SUM(S555:S557)</f>
        <v>15.18608</v>
      </c>
      <c r="T558" s="66"/>
      <c r="U558" s="2"/>
      <c r="V558" s="43"/>
    </row>
    <row r="559" spans="2:22" x14ac:dyDescent="0.3">
      <c r="B559" s="473"/>
      <c r="C559" s="465"/>
      <c r="D559" s="453"/>
      <c r="E559" s="455"/>
      <c r="F559" s="485"/>
      <c r="G559" s="455"/>
      <c r="H559" s="485"/>
      <c r="I559" s="455"/>
      <c r="J559" s="485"/>
      <c r="K559" s="477"/>
      <c r="L559" s="492"/>
      <c r="M559" s="477"/>
      <c r="N559" s="492"/>
      <c r="O559" s="477"/>
      <c r="P559" s="492"/>
      <c r="Q559" s="477"/>
      <c r="R559" s="492"/>
      <c r="S559" s="479"/>
    </row>
    <row r="560" spans="2:22" s="1" customFormat="1" ht="17.25" thickBot="1" x14ac:dyDescent="0.35">
      <c r="B560" s="59"/>
      <c r="C560" s="60" t="e">
        <f>RAB!#REF!</f>
        <v>#REF!</v>
      </c>
      <c r="D560" s="16"/>
      <c r="E560" s="16"/>
      <c r="F560" s="61"/>
      <c r="G560" s="16"/>
      <c r="H560" s="61"/>
      <c r="I560" s="16"/>
      <c r="J560" s="61"/>
      <c r="K560" s="30"/>
      <c r="L560" s="45"/>
      <c r="M560" s="39"/>
      <c r="N560" s="46"/>
      <c r="O560" s="40"/>
      <c r="P560" s="46"/>
      <c r="Q560" s="74"/>
      <c r="R560" s="46"/>
      <c r="S560" s="42"/>
      <c r="T560" s="18">
        <v>0</v>
      </c>
      <c r="U560" s="2" t="s">
        <v>0</v>
      </c>
      <c r="V560" s="43"/>
    </row>
    <row r="561" spans="2:22" s="1" customFormat="1" x14ac:dyDescent="0.3">
      <c r="B561" s="59"/>
      <c r="C561" s="60"/>
      <c r="D561" s="8" t="s">
        <v>95</v>
      </c>
      <c r="E561" s="4" t="s">
        <v>150</v>
      </c>
      <c r="F561" s="48"/>
      <c r="G561" s="4" t="s">
        <v>151</v>
      </c>
      <c r="H561" s="48"/>
      <c r="I561" s="4" t="s">
        <v>152</v>
      </c>
      <c r="J561" s="48"/>
      <c r="K561" s="4" t="s">
        <v>153</v>
      </c>
      <c r="L561" s="44"/>
      <c r="M561" s="5" t="s">
        <v>32</v>
      </c>
      <c r="N561" s="44"/>
      <c r="O561" s="6" t="s">
        <v>163</v>
      </c>
      <c r="P561" s="44"/>
      <c r="Q561" s="57" t="s">
        <v>151</v>
      </c>
      <c r="R561" s="44"/>
      <c r="S561" s="7" t="s">
        <v>143</v>
      </c>
      <c r="T561" s="66"/>
      <c r="U561" s="2"/>
      <c r="V561" s="43"/>
    </row>
    <row r="562" spans="2:22" s="1" customFormat="1" x14ac:dyDescent="0.3">
      <c r="D562" s="115" t="s">
        <v>717</v>
      </c>
      <c r="E562" s="22"/>
      <c r="F562" s="23"/>
      <c r="G562" s="22"/>
      <c r="H562" s="24"/>
      <c r="I562" s="22"/>
      <c r="J562" s="24"/>
      <c r="K562" s="20">
        <v>1</v>
      </c>
      <c r="L562" s="116"/>
      <c r="M562" s="418"/>
      <c r="N562" s="116"/>
      <c r="O562" s="418">
        <v>3.07</v>
      </c>
      <c r="P562" s="116"/>
      <c r="Q562" s="418">
        <f>SUM(Q558)</f>
        <v>212.54399999999998</v>
      </c>
      <c r="R562" s="19"/>
      <c r="S562" s="21">
        <f>K562*O562*Q562</f>
        <v>652.5100799999999</v>
      </c>
      <c r="T562" s="99"/>
      <c r="U562" s="2"/>
      <c r="V562" s="43"/>
    </row>
    <row r="563" spans="2:22" s="1" customFormat="1" x14ac:dyDescent="0.3">
      <c r="B563" s="59"/>
      <c r="C563" s="60"/>
      <c r="D563" s="41"/>
      <c r="E563" s="25"/>
      <c r="F563" s="31"/>
      <c r="G563" s="25"/>
      <c r="H563" s="31"/>
      <c r="I563" s="25"/>
      <c r="J563" s="31"/>
      <c r="K563" s="25"/>
      <c r="L563" s="47"/>
      <c r="M563" s="26"/>
      <c r="N563" s="47"/>
      <c r="O563" s="25"/>
      <c r="P563" s="47"/>
      <c r="Q563" s="58"/>
      <c r="R563" s="31"/>
      <c r="S563" s="27"/>
      <c r="T563" s="66"/>
      <c r="U563" s="2"/>
      <c r="V563" s="43"/>
    </row>
    <row r="564" spans="2:22" s="1" customFormat="1" ht="17.25" thickBot="1" x14ac:dyDescent="0.35">
      <c r="B564" s="59"/>
      <c r="C564" s="60"/>
      <c r="D564" s="3093" t="s">
        <v>164</v>
      </c>
      <c r="E564" s="3094"/>
      <c r="F564" s="3094"/>
      <c r="G564" s="3094"/>
      <c r="H564" s="3094"/>
      <c r="I564" s="3095"/>
      <c r="J564" s="65"/>
      <c r="K564" s="68"/>
      <c r="L564" s="69"/>
      <c r="M564" s="70"/>
      <c r="N564" s="71"/>
      <c r="O564" s="72"/>
      <c r="P564" s="71"/>
      <c r="Q564" s="73"/>
      <c r="R564" s="71"/>
      <c r="S564" s="28">
        <f>SUM(S562:S563)</f>
        <v>652.5100799999999</v>
      </c>
      <c r="T564" s="66"/>
      <c r="U564" s="2"/>
      <c r="V564" s="43"/>
    </row>
    <row r="565" spans="2:22" x14ac:dyDescent="0.3">
      <c r="B565" s="341"/>
      <c r="C565" s="342"/>
      <c r="D565" s="343"/>
      <c r="E565" s="343"/>
      <c r="F565" s="344"/>
      <c r="G565" s="343"/>
      <c r="H565" s="344"/>
      <c r="I565" s="343"/>
      <c r="J565" s="344"/>
      <c r="K565" s="345"/>
      <c r="L565" s="346"/>
      <c r="M565" s="347"/>
      <c r="N565" s="348"/>
      <c r="O565" s="349"/>
      <c r="P565" s="348"/>
      <c r="Q565" s="353"/>
      <c r="R565" s="348"/>
      <c r="S565" s="350"/>
    </row>
    <row r="566" spans="2:22" s="1" customFormat="1" ht="17.25" thickBot="1" x14ac:dyDescent="0.35">
      <c r="B566" s="325">
        <f>RAB!B111</f>
        <v>1</v>
      </c>
      <c r="C566" s="17" t="str">
        <f>RAB!C111</f>
        <v xml:space="preserve">Lantai Keramik Polish Uk. (60 x 60) Cm </v>
      </c>
      <c r="D566" s="38"/>
      <c r="E566" s="208"/>
      <c r="F566" s="551"/>
      <c r="G566" s="208"/>
      <c r="H566" s="551"/>
      <c r="I566" s="208"/>
      <c r="J566" s="551"/>
      <c r="K566" s="137"/>
      <c r="L566" s="642"/>
      <c r="M566" s="137"/>
      <c r="N566" s="642"/>
      <c r="O566" s="137"/>
      <c r="P566" s="642"/>
      <c r="Q566" s="137"/>
      <c r="R566" s="642"/>
      <c r="S566" s="241"/>
      <c r="T566" s="18">
        <f>ROUNDDOWN(Q578,2)</f>
        <v>678.92</v>
      </c>
      <c r="U566" s="2" t="s">
        <v>2</v>
      </c>
      <c r="V566" s="43"/>
    </row>
    <row r="567" spans="2:22" s="1" customFormat="1" x14ac:dyDescent="0.3">
      <c r="B567" s="325"/>
      <c r="C567" s="17"/>
      <c r="D567" s="141" t="s">
        <v>95</v>
      </c>
      <c r="E567" s="158" t="s">
        <v>150</v>
      </c>
      <c r="F567" s="641"/>
      <c r="G567" s="158" t="s">
        <v>151</v>
      </c>
      <c r="H567" s="641"/>
      <c r="I567" s="158" t="s">
        <v>152</v>
      </c>
      <c r="J567" s="641"/>
      <c r="K567" s="158" t="s">
        <v>153</v>
      </c>
      <c r="L567" s="641"/>
      <c r="M567" s="167" t="s">
        <v>32</v>
      </c>
      <c r="N567" s="641"/>
      <c r="O567" s="158" t="s">
        <v>163</v>
      </c>
      <c r="P567" s="641"/>
      <c r="Q567" s="222" t="s">
        <v>151</v>
      </c>
      <c r="R567" s="641"/>
      <c r="S567" s="242" t="s">
        <v>143</v>
      </c>
      <c r="T567" s="66"/>
      <c r="U567" s="2"/>
      <c r="V567" s="43"/>
    </row>
    <row r="568" spans="2:22" s="1" customFormat="1" x14ac:dyDescent="0.3">
      <c r="B568" s="325"/>
      <c r="C568" s="60"/>
      <c r="D568" s="643" t="s">
        <v>1336</v>
      </c>
      <c r="E568" s="331"/>
      <c r="F568" s="565"/>
      <c r="G568" s="331">
        <v>92.96</v>
      </c>
      <c r="H568" s="565"/>
      <c r="I568" s="331"/>
      <c r="J568" s="565"/>
      <c r="K568" s="331">
        <v>4</v>
      </c>
      <c r="L568" s="575"/>
      <c r="M568" s="331"/>
      <c r="N568" s="575"/>
      <c r="O568" s="331"/>
      <c r="P568" s="565"/>
      <c r="Q568" s="331">
        <f>G568*K568</f>
        <v>371.84</v>
      </c>
      <c r="R568" s="565"/>
      <c r="S568" s="577"/>
      <c r="T568" s="66"/>
      <c r="U568" s="2"/>
      <c r="V568" s="43"/>
    </row>
    <row r="569" spans="2:22" s="1" customFormat="1" x14ac:dyDescent="0.3">
      <c r="B569" s="325"/>
      <c r="C569" s="60"/>
      <c r="D569" s="324" t="s">
        <v>1337</v>
      </c>
      <c r="E569" s="589"/>
      <c r="F569" s="588"/>
      <c r="G569" s="1161">
        <v>4</v>
      </c>
      <c r="H569" s="518"/>
      <c r="I569" s="1161"/>
      <c r="J569" s="518"/>
      <c r="K569" s="1161">
        <v>36</v>
      </c>
      <c r="L569" s="517"/>
      <c r="M569" s="1161"/>
      <c r="N569" s="517"/>
      <c r="O569" s="1161"/>
      <c r="P569" s="518"/>
      <c r="Q569" s="1161">
        <f>G569*K569</f>
        <v>144</v>
      </c>
      <c r="R569" s="588"/>
      <c r="S569" s="590"/>
      <c r="T569" s="66"/>
      <c r="U569" s="2"/>
      <c r="V569" s="43"/>
    </row>
    <row r="570" spans="2:22" s="1" customFormat="1" x14ac:dyDescent="0.3">
      <c r="B570" s="325"/>
      <c r="C570" s="60"/>
      <c r="D570" s="324"/>
      <c r="E570" s="589"/>
      <c r="F570" s="588"/>
      <c r="G570" s="1161">
        <v>4</v>
      </c>
      <c r="H570" s="518"/>
      <c r="I570" s="1161"/>
      <c r="J570" s="518"/>
      <c r="K570" s="1161">
        <v>20</v>
      </c>
      <c r="L570" s="517"/>
      <c r="M570" s="1161"/>
      <c r="N570" s="517"/>
      <c r="O570" s="1161"/>
      <c r="P570" s="518"/>
      <c r="Q570" s="1161">
        <f>G570*K570</f>
        <v>80</v>
      </c>
      <c r="R570" s="588"/>
      <c r="S570" s="590"/>
      <c r="T570" s="66"/>
      <c r="U570" s="2"/>
      <c r="V570" s="43"/>
    </row>
    <row r="571" spans="2:22" s="1" customFormat="1" x14ac:dyDescent="0.3">
      <c r="B571" s="325"/>
      <c r="C571" s="60"/>
      <c r="D571" s="258" t="s">
        <v>1331</v>
      </c>
      <c r="E571" s="1161"/>
      <c r="F571" s="518"/>
      <c r="G571" s="1161"/>
      <c r="H571" s="518"/>
      <c r="I571" s="1161"/>
      <c r="J571" s="518"/>
      <c r="K571" s="1161"/>
      <c r="L571" s="517"/>
      <c r="M571" s="1161"/>
      <c r="N571" s="517"/>
      <c r="O571" s="1161"/>
      <c r="P571" s="518"/>
      <c r="Q571" s="1161"/>
      <c r="R571" s="518"/>
      <c r="S571" s="519"/>
      <c r="T571" s="66"/>
      <c r="U571" s="2"/>
      <c r="V571" s="43"/>
    </row>
    <row r="572" spans="2:22" s="1" customFormat="1" x14ac:dyDescent="0.3">
      <c r="B572" s="325"/>
      <c r="C572" s="60"/>
      <c r="D572" s="146" t="s">
        <v>155</v>
      </c>
      <c r="E572" s="1161">
        <v>1.82</v>
      </c>
      <c r="F572" s="518" t="s">
        <v>185</v>
      </c>
      <c r="G572" s="1161">
        <v>0.48</v>
      </c>
      <c r="H572" s="518" t="s">
        <v>185</v>
      </c>
      <c r="I572" s="1161"/>
      <c r="J572" s="518"/>
      <c r="K572" s="1161">
        <v>20</v>
      </c>
      <c r="L572" s="517"/>
      <c r="M572" s="1161">
        <v>4</v>
      </c>
      <c r="N572" s="517"/>
      <c r="O572" s="1161"/>
      <c r="P572" s="518" t="s">
        <v>114</v>
      </c>
      <c r="Q572" s="1161">
        <f>K572*G572*E572*M572</f>
        <v>69.888000000000005</v>
      </c>
      <c r="R572" s="518"/>
      <c r="S572" s="519"/>
      <c r="T572" s="66"/>
      <c r="U572" s="2"/>
      <c r="V572" s="43"/>
    </row>
    <row r="573" spans="2:22" s="1" customFormat="1" x14ac:dyDescent="0.3">
      <c r="B573" s="325"/>
      <c r="C573" s="60"/>
      <c r="D573" s="146" t="s">
        <v>158</v>
      </c>
      <c r="E573" s="1161">
        <v>4</v>
      </c>
      <c r="F573" s="518" t="s">
        <v>185</v>
      </c>
      <c r="G573" s="1161">
        <v>2</v>
      </c>
      <c r="H573" s="518" t="s">
        <v>185</v>
      </c>
      <c r="I573" s="1161"/>
      <c r="J573" s="518"/>
      <c r="K573" s="1161">
        <v>1</v>
      </c>
      <c r="L573" s="517"/>
      <c r="M573" s="1161"/>
      <c r="N573" s="517"/>
      <c r="O573" s="1161"/>
      <c r="P573" s="518" t="s">
        <v>114</v>
      </c>
      <c r="Q573" s="1161">
        <f>K573*G573*E573</f>
        <v>8</v>
      </c>
      <c r="R573" s="518"/>
      <c r="S573" s="519"/>
      <c r="T573" s="66"/>
      <c r="U573" s="2"/>
      <c r="V573" s="43"/>
    </row>
    <row r="574" spans="2:22" s="1" customFormat="1" x14ac:dyDescent="0.3">
      <c r="B574" s="325"/>
      <c r="C574" s="60"/>
      <c r="D574" s="326" t="s">
        <v>271</v>
      </c>
      <c r="E574" s="1161">
        <v>4</v>
      </c>
      <c r="F574" s="518" t="s">
        <v>185</v>
      </c>
      <c r="G574" s="1161">
        <v>1.62</v>
      </c>
      <c r="H574" s="518" t="s">
        <v>185</v>
      </c>
      <c r="I574" s="1161"/>
      <c r="J574" s="518"/>
      <c r="K574" s="1161">
        <v>1</v>
      </c>
      <c r="L574" s="517"/>
      <c r="M574" s="1161"/>
      <c r="N574" s="517"/>
      <c r="O574" s="1161"/>
      <c r="P574" s="518" t="s">
        <v>114</v>
      </c>
      <c r="Q574" s="1161">
        <f>K574*G574*E574</f>
        <v>6.48</v>
      </c>
      <c r="R574" s="558"/>
      <c r="S574" s="620"/>
      <c r="T574" s="66"/>
      <c r="U574" s="2"/>
      <c r="V574" s="43"/>
    </row>
    <row r="575" spans="2:22" s="1" customFormat="1" x14ac:dyDescent="0.3">
      <c r="B575" s="325"/>
      <c r="C575" s="60"/>
      <c r="D575" s="645" t="s">
        <v>244</v>
      </c>
      <c r="E575" s="619"/>
      <c r="F575" s="558"/>
      <c r="G575" s="619"/>
      <c r="H575" s="558"/>
      <c r="I575" s="619"/>
      <c r="J575" s="558"/>
      <c r="K575" s="619"/>
      <c r="L575" s="526"/>
      <c r="M575" s="619"/>
      <c r="N575" s="526"/>
      <c r="O575" s="619"/>
      <c r="P575" s="558"/>
      <c r="Q575" s="619"/>
      <c r="R575" s="558"/>
      <c r="S575" s="620"/>
      <c r="T575" s="66"/>
      <c r="U575" s="2"/>
      <c r="V575" s="43"/>
    </row>
    <row r="576" spans="2:22" s="1" customFormat="1" x14ac:dyDescent="0.3">
      <c r="B576" s="325"/>
      <c r="C576" s="60"/>
      <c r="D576" s="326" t="s">
        <v>730</v>
      </c>
      <c r="E576" s="328">
        <v>0.4</v>
      </c>
      <c r="F576" s="518" t="s">
        <v>185</v>
      </c>
      <c r="G576" s="328">
        <v>0.4</v>
      </c>
      <c r="H576" s="518" t="s">
        <v>185</v>
      </c>
      <c r="I576" s="1161"/>
      <c r="J576" s="518"/>
      <c r="K576" s="1161">
        <v>8</v>
      </c>
      <c r="L576" s="518"/>
      <c r="M576" s="1161"/>
      <c r="N576" s="518"/>
      <c r="O576" s="1161"/>
      <c r="P576" s="518" t="s">
        <v>114</v>
      </c>
      <c r="Q576" s="1161">
        <f>K576*G576*E576</f>
        <v>1.2800000000000002</v>
      </c>
      <c r="R576" s="558"/>
      <c r="S576" s="620"/>
      <c r="T576" s="66"/>
      <c r="U576" s="2"/>
      <c r="V576" s="43"/>
    </row>
    <row r="577" spans="2:22" s="1" customFormat="1" x14ac:dyDescent="0.3">
      <c r="B577" s="325"/>
      <c r="C577" s="17"/>
      <c r="D577" s="143"/>
      <c r="E577" s="330"/>
      <c r="F577" s="512"/>
      <c r="G577" s="330"/>
      <c r="H577" s="512"/>
      <c r="I577" s="330"/>
      <c r="J577" s="512"/>
      <c r="K577" s="330"/>
      <c r="L577" s="512"/>
      <c r="M577" s="330"/>
      <c r="N577" s="512"/>
      <c r="O577" s="330"/>
      <c r="P577" s="512"/>
      <c r="Q577" s="330"/>
      <c r="R577" s="512"/>
      <c r="S577" s="559"/>
      <c r="T577" s="66"/>
      <c r="U577" s="2"/>
      <c r="V577" s="43"/>
    </row>
    <row r="578" spans="2:22" s="1" customFormat="1" ht="17.25" thickBot="1" x14ac:dyDescent="0.35">
      <c r="B578" s="325"/>
      <c r="C578" s="17"/>
      <c r="D578" s="3089" t="s">
        <v>164</v>
      </c>
      <c r="E578" s="3090"/>
      <c r="F578" s="3090"/>
      <c r="G578" s="3090"/>
      <c r="H578" s="3090"/>
      <c r="I578" s="3090"/>
      <c r="J578" s="622"/>
      <c r="K578" s="190"/>
      <c r="L578" s="622"/>
      <c r="M578" s="190"/>
      <c r="N578" s="622"/>
      <c r="O578" s="190"/>
      <c r="P578" s="622"/>
      <c r="Q578" s="644">
        <f>SUM(Q568:Q574)-SUM(Q576:Q576)</f>
        <v>678.928</v>
      </c>
      <c r="R578" s="622"/>
      <c r="S578" s="247"/>
      <c r="T578" s="66"/>
      <c r="U578" s="2"/>
      <c r="V578" s="43"/>
    </row>
    <row r="579" spans="2:22" x14ac:dyDescent="0.3">
      <c r="B579" s="473"/>
      <c r="C579" s="465"/>
      <c r="D579" s="453"/>
      <c r="E579" s="455"/>
      <c r="F579" s="485"/>
      <c r="G579" s="455"/>
      <c r="H579" s="485"/>
      <c r="I579" s="455"/>
      <c r="J579" s="485"/>
      <c r="K579" s="477"/>
      <c r="L579" s="492"/>
      <c r="M579" s="477"/>
      <c r="N579" s="492"/>
      <c r="O579" s="477"/>
      <c r="P579" s="492"/>
      <c r="Q579" s="477"/>
      <c r="R579" s="492"/>
      <c r="S579" s="479"/>
    </row>
    <row r="580" spans="2:22" s="1" customFormat="1" ht="17.25" thickBot="1" x14ac:dyDescent="0.35">
      <c r="B580" s="325">
        <f>RAB!B112</f>
        <v>2</v>
      </c>
      <c r="C580" s="17" t="str">
        <f>RAB!C112</f>
        <v xml:space="preserve">Lantai Keramik Unpolish Uk. (60 x 60) Cm </v>
      </c>
      <c r="D580" s="38"/>
      <c r="E580" s="208"/>
      <c r="F580" s="551"/>
      <c r="G580" s="208"/>
      <c r="H580" s="551"/>
      <c r="I580" s="208"/>
      <c r="J580" s="551"/>
      <c r="K580" s="137"/>
      <c r="L580" s="642"/>
      <c r="M580" s="137"/>
      <c r="N580" s="642"/>
      <c r="O580" s="137"/>
      <c r="P580" s="642"/>
      <c r="Q580" s="137"/>
      <c r="R580" s="642"/>
      <c r="S580" s="241"/>
      <c r="T580" s="18">
        <f>ROUNDDOWN(Q585,2)</f>
        <v>66</v>
      </c>
      <c r="U580" s="2" t="s">
        <v>2</v>
      </c>
      <c r="V580" s="43"/>
    </row>
    <row r="581" spans="2:22" s="1" customFormat="1" x14ac:dyDescent="0.3">
      <c r="B581" s="325"/>
      <c r="C581" s="17"/>
      <c r="D581" s="8" t="s">
        <v>95</v>
      </c>
      <c r="E581" s="154" t="s">
        <v>150</v>
      </c>
      <c r="F581" s="493"/>
      <c r="G581" s="154" t="s">
        <v>151</v>
      </c>
      <c r="H581" s="493"/>
      <c r="I581" s="154" t="s">
        <v>152</v>
      </c>
      <c r="J581" s="493"/>
      <c r="K581" s="154" t="s">
        <v>153</v>
      </c>
      <c r="L581" s="494"/>
      <c r="M581" s="163" t="s">
        <v>32</v>
      </c>
      <c r="N581" s="494"/>
      <c r="O581" s="201" t="s">
        <v>163</v>
      </c>
      <c r="P581" s="494"/>
      <c r="Q581" s="202" t="s">
        <v>151</v>
      </c>
      <c r="R581" s="494"/>
      <c r="S581" s="226" t="s">
        <v>143</v>
      </c>
      <c r="T581" s="66"/>
      <c r="U581" s="2"/>
      <c r="V581" s="43"/>
    </row>
    <row r="582" spans="2:22" s="1" customFormat="1" x14ac:dyDescent="0.3">
      <c r="B582" s="325"/>
      <c r="C582" s="17"/>
      <c r="D582" s="643" t="s">
        <v>741</v>
      </c>
      <c r="E582" s="331">
        <v>12</v>
      </c>
      <c r="F582" s="565" t="s">
        <v>185</v>
      </c>
      <c r="G582" s="331">
        <v>3.5</v>
      </c>
      <c r="H582" s="565"/>
      <c r="I582" s="331"/>
      <c r="J582" s="565"/>
      <c r="K582" s="331"/>
      <c r="L582" s="575"/>
      <c r="M582" s="331"/>
      <c r="N582" s="575"/>
      <c r="O582" s="331"/>
      <c r="P582" s="565" t="s">
        <v>114</v>
      </c>
      <c r="Q582" s="331">
        <f>G582*E582</f>
        <v>42</v>
      </c>
      <c r="R582" s="565"/>
      <c r="S582" s="577"/>
      <c r="T582" s="66"/>
      <c r="U582" s="2"/>
      <c r="V582" s="43"/>
    </row>
    <row r="583" spans="2:22" s="1" customFormat="1" x14ac:dyDescent="0.3">
      <c r="B583" s="325"/>
      <c r="C583" s="17"/>
      <c r="D583" s="146" t="s">
        <v>1338</v>
      </c>
      <c r="E583" s="1161">
        <f>E582</f>
        <v>12</v>
      </c>
      <c r="F583" s="517" t="s">
        <v>185</v>
      </c>
      <c r="G583" s="1161">
        <v>2</v>
      </c>
      <c r="H583" s="517"/>
      <c r="I583" s="1161"/>
      <c r="J583" s="517"/>
      <c r="K583" s="1161"/>
      <c r="L583" s="517"/>
      <c r="M583" s="1161"/>
      <c r="N583" s="517"/>
      <c r="O583" s="1161"/>
      <c r="P583" s="517" t="s">
        <v>114</v>
      </c>
      <c r="Q583" s="1161">
        <f>G583*E583</f>
        <v>24</v>
      </c>
      <c r="R583" s="517"/>
      <c r="S583" s="519"/>
      <c r="T583" s="66"/>
      <c r="U583" s="2"/>
      <c r="V583" s="43"/>
    </row>
    <row r="584" spans="2:22" s="1" customFormat="1" x14ac:dyDescent="0.3">
      <c r="B584" s="325"/>
      <c r="C584" s="17"/>
      <c r="D584" s="143"/>
      <c r="E584" s="330"/>
      <c r="F584" s="512"/>
      <c r="G584" s="330"/>
      <c r="H584" s="512"/>
      <c r="I584" s="330"/>
      <c r="J584" s="512"/>
      <c r="K584" s="330"/>
      <c r="L584" s="512"/>
      <c r="M584" s="330"/>
      <c r="N584" s="512"/>
      <c r="O584" s="330"/>
      <c r="P584" s="512"/>
      <c r="Q584" s="330"/>
      <c r="R584" s="512"/>
      <c r="S584" s="559"/>
      <c r="T584" s="66"/>
      <c r="U584" s="2"/>
      <c r="V584" s="43"/>
    </row>
    <row r="585" spans="2:22" s="1" customFormat="1" ht="17.25" thickBot="1" x14ac:dyDescent="0.35">
      <c r="B585" s="325"/>
      <c r="C585" s="17"/>
      <c r="D585" s="3089" t="s">
        <v>164</v>
      </c>
      <c r="E585" s="3090"/>
      <c r="F585" s="3090"/>
      <c r="G585" s="3090"/>
      <c r="H585" s="3090"/>
      <c r="I585" s="3090"/>
      <c r="J585" s="622"/>
      <c r="K585" s="190"/>
      <c r="L585" s="622"/>
      <c r="M585" s="190"/>
      <c r="N585" s="622"/>
      <c r="O585" s="190"/>
      <c r="P585" s="622"/>
      <c r="Q585" s="644">
        <f>SUM(Q582:Q584)</f>
        <v>66</v>
      </c>
      <c r="R585" s="622"/>
      <c r="S585" s="247"/>
      <c r="T585" s="66"/>
      <c r="U585" s="2"/>
      <c r="V585" s="43"/>
    </row>
    <row r="586" spans="2:22" x14ac:dyDescent="0.3">
      <c r="B586" s="473"/>
      <c r="C586" s="465"/>
      <c r="D586" s="453"/>
      <c r="E586" s="455"/>
      <c r="F586" s="485"/>
      <c r="G586" s="455"/>
      <c r="H586" s="485"/>
      <c r="I586" s="455"/>
      <c r="J586" s="485"/>
      <c r="K586" s="477"/>
      <c r="L586" s="492"/>
      <c r="M586" s="477"/>
      <c r="N586" s="492"/>
      <c r="O586" s="477"/>
      <c r="P586" s="492"/>
      <c r="Q586" s="477"/>
      <c r="R586" s="492"/>
      <c r="S586" s="479"/>
    </row>
    <row r="587" spans="2:22" s="1" customFormat="1" ht="17.25" thickBot="1" x14ac:dyDescent="0.35">
      <c r="B587" s="325">
        <f>RAB!B113</f>
        <v>3</v>
      </c>
      <c r="C587" s="17" t="str">
        <f>RAB!C113</f>
        <v xml:space="preserve">Dinding Kramik Uk. (40 x 40) Cm polished </v>
      </c>
      <c r="D587" s="38"/>
      <c r="E587" s="208"/>
      <c r="F587" s="551"/>
      <c r="G587" s="208"/>
      <c r="H587" s="551"/>
      <c r="I587" s="208"/>
      <c r="J587" s="551"/>
      <c r="K587" s="137"/>
      <c r="L587" s="642"/>
      <c r="M587" s="137"/>
      <c r="N587" s="642"/>
      <c r="O587" s="137"/>
      <c r="P587" s="642"/>
      <c r="Q587" s="137"/>
      <c r="R587" s="642"/>
      <c r="S587" s="241"/>
      <c r="T587" s="18">
        <f>ROUNDDOWN(Q591,2)</f>
        <v>59.2</v>
      </c>
      <c r="U587" s="2" t="s">
        <v>2</v>
      </c>
      <c r="V587" s="43"/>
    </row>
    <row r="588" spans="2:22" s="1" customFormat="1" x14ac:dyDescent="0.3">
      <c r="B588" s="325"/>
      <c r="C588" s="17"/>
      <c r="D588" s="8" t="s">
        <v>95</v>
      </c>
      <c r="E588" s="154" t="s">
        <v>150</v>
      </c>
      <c r="F588" s="493"/>
      <c r="G588" s="154" t="s">
        <v>151</v>
      </c>
      <c r="H588" s="493"/>
      <c r="I588" s="154" t="s">
        <v>152</v>
      </c>
      <c r="J588" s="493"/>
      <c r="K588" s="154" t="s">
        <v>153</v>
      </c>
      <c r="L588" s="494"/>
      <c r="M588" s="163" t="s">
        <v>32</v>
      </c>
      <c r="N588" s="494"/>
      <c r="O588" s="201" t="s">
        <v>163</v>
      </c>
      <c r="P588" s="494"/>
      <c r="Q588" s="202" t="s">
        <v>151</v>
      </c>
      <c r="R588" s="494"/>
      <c r="S588" s="226" t="s">
        <v>143</v>
      </c>
      <c r="T588" s="66"/>
      <c r="U588" s="2"/>
      <c r="V588" s="43"/>
    </row>
    <row r="589" spans="2:22" s="1" customFormat="1" x14ac:dyDescent="0.3">
      <c r="B589" s="325"/>
      <c r="C589" s="17"/>
      <c r="D589" s="643" t="s">
        <v>1340</v>
      </c>
      <c r="E589" s="331">
        <v>7.4</v>
      </c>
      <c r="F589" s="565" t="s">
        <v>185</v>
      </c>
      <c r="G589" s="331"/>
      <c r="H589" s="565"/>
      <c r="I589" s="331">
        <v>2</v>
      </c>
      <c r="J589" s="565"/>
      <c r="K589" s="331">
        <v>4</v>
      </c>
      <c r="L589" s="575"/>
      <c r="M589" s="331"/>
      <c r="N589" s="575"/>
      <c r="O589" s="331"/>
      <c r="P589" s="565" t="s">
        <v>114</v>
      </c>
      <c r="Q589" s="331">
        <f>I589*E589*K589</f>
        <v>59.2</v>
      </c>
      <c r="R589" s="565"/>
      <c r="S589" s="577"/>
      <c r="T589" s="66"/>
      <c r="U589" s="2"/>
      <c r="V589" s="43"/>
    </row>
    <row r="590" spans="2:22" s="1" customFormat="1" x14ac:dyDescent="0.3">
      <c r="B590" s="325"/>
      <c r="C590" s="17"/>
      <c r="D590" s="143"/>
      <c r="E590" s="330"/>
      <c r="F590" s="512"/>
      <c r="G590" s="330"/>
      <c r="H590" s="512"/>
      <c r="I590" s="330"/>
      <c r="J590" s="512"/>
      <c r="K590" s="330"/>
      <c r="L590" s="512"/>
      <c r="M590" s="330"/>
      <c r="N590" s="512"/>
      <c r="O590" s="330"/>
      <c r="P590" s="512"/>
      <c r="Q590" s="330"/>
      <c r="R590" s="512"/>
      <c r="S590" s="559"/>
      <c r="T590" s="66"/>
      <c r="U590" s="2"/>
      <c r="V590" s="43"/>
    </row>
    <row r="591" spans="2:22" s="1" customFormat="1" ht="17.25" thickBot="1" x14ac:dyDescent="0.35">
      <c r="B591" s="325"/>
      <c r="C591" s="17"/>
      <c r="D591" s="3089" t="s">
        <v>164</v>
      </c>
      <c r="E591" s="3090"/>
      <c r="F591" s="3090"/>
      <c r="G591" s="3090"/>
      <c r="H591" s="3090"/>
      <c r="I591" s="3090"/>
      <c r="J591" s="622"/>
      <c r="K591" s="190"/>
      <c r="L591" s="622"/>
      <c r="M591" s="190"/>
      <c r="N591" s="622"/>
      <c r="O591" s="190"/>
      <c r="P591" s="622"/>
      <c r="Q591" s="644">
        <f>SUM(Q589:Q590)</f>
        <v>59.2</v>
      </c>
      <c r="R591" s="622"/>
      <c r="S591" s="247"/>
      <c r="T591" s="66"/>
      <c r="U591" s="2"/>
      <c r="V591" s="43"/>
    </row>
    <row r="592" spans="2:22" s="1" customFormat="1" x14ac:dyDescent="0.3">
      <c r="B592" s="325"/>
      <c r="C592" s="17"/>
      <c r="D592" s="338"/>
      <c r="E592" s="338"/>
      <c r="F592" s="338"/>
      <c r="G592" s="338"/>
      <c r="H592" s="338"/>
      <c r="I592" s="338"/>
      <c r="J592" s="638"/>
      <c r="K592" s="339"/>
      <c r="L592" s="638"/>
      <c r="M592" s="339"/>
      <c r="N592" s="638"/>
      <c r="O592" s="339"/>
      <c r="P592" s="638"/>
      <c r="Q592" s="339"/>
      <c r="R592" s="638"/>
      <c r="S592" s="340"/>
      <c r="T592" s="66"/>
      <c r="U592" s="2"/>
      <c r="V592" s="43"/>
    </row>
    <row r="593" spans="2:22" s="1" customFormat="1" ht="17.25" thickBot="1" x14ac:dyDescent="0.35">
      <c r="B593" s="325">
        <f>RAB!B114</f>
        <v>4</v>
      </c>
      <c r="C593" s="325" t="str">
        <f>RAB!C114</f>
        <v xml:space="preserve">Lantai Kramik Uk. (40 x 40) Cm unpolished </v>
      </c>
      <c r="D593" s="38"/>
      <c r="E593" s="208"/>
      <c r="F593" s="551"/>
      <c r="G593" s="208"/>
      <c r="H593" s="551"/>
      <c r="I593" s="208"/>
      <c r="J593" s="551"/>
      <c r="K593" s="137"/>
      <c r="L593" s="642"/>
      <c r="M593" s="137"/>
      <c r="N593" s="642"/>
      <c r="O593" s="137"/>
      <c r="P593" s="642"/>
      <c r="Q593" s="137"/>
      <c r="R593" s="642"/>
      <c r="S593" s="241"/>
      <c r="T593" s="18">
        <f>ROUNDDOWN(Q597,2)</f>
        <v>13.6</v>
      </c>
      <c r="U593" s="2" t="s">
        <v>2</v>
      </c>
      <c r="V593" s="43"/>
    </row>
    <row r="594" spans="2:22" s="1" customFormat="1" x14ac:dyDescent="0.3">
      <c r="B594" s="325"/>
      <c r="C594" s="17"/>
      <c r="D594" s="8" t="s">
        <v>95</v>
      </c>
      <c r="E594" s="154" t="s">
        <v>150</v>
      </c>
      <c r="F594" s="493"/>
      <c r="G594" s="154" t="s">
        <v>151</v>
      </c>
      <c r="H594" s="493"/>
      <c r="I594" s="154" t="s">
        <v>152</v>
      </c>
      <c r="J594" s="493"/>
      <c r="K594" s="154" t="s">
        <v>153</v>
      </c>
      <c r="L594" s="494"/>
      <c r="M594" s="163" t="s">
        <v>32</v>
      </c>
      <c r="N594" s="494"/>
      <c r="O594" s="201" t="s">
        <v>163</v>
      </c>
      <c r="P594" s="494"/>
      <c r="Q594" s="202" t="s">
        <v>151</v>
      </c>
      <c r="R594" s="494"/>
      <c r="S594" s="226" t="s">
        <v>143</v>
      </c>
      <c r="T594" s="66"/>
      <c r="U594" s="2"/>
      <c r="V594" s="43"/>
    </row>
    <row r="595" spans="2:22" s="1" customFormat="1" x14ac:dyDescent="0.3">
      <c r="B595" s="325"/>
      <c r="C595" s="17"/>
      <c r="D595" s="643" t="s">
        <v>1340</v>
      </c>
      <c r="E595" s="331">
        <v>3.4</v>
      </c>
      <c r="F595" s="565" t="s">
        <v>185</v>
      </c>
      <c r="G595" s="331"/>
      <c r="H595" s="565"/>
      <c r="I595" s="331">
        <v>1</v>
      </c>
      <c r="J595" s="565"/>
      <c r="K595" s="331">
        <v>4</v>
      </c>
      <c r="L595" s="575"/>
      <c r="M595" s="331"/>
      <c r="N595" s="575"/>
      <c r="O595" s="331"/>
      <c r="P595" s="565" t="s">
        <v>114</v>
      </c>
      <c r="Q595" s="331">
        <f>I595*E595*K595</f>
        <v>13.6</v>
      </c>
      <c r="R595" s="565"/>
      <c r="S595" s="577"/>
      <c r="T595" s="66"/>
      <c r="U595" s="2"/>
      <c r="V595" s="43"/>
    </row>
    <row r="596" spans="2:22" s="1" customFormat="1" x14ac:dyDescent="0.3">
      <c r="B596" s="325"/>
      <c r="C596" s="17"/>
      <c r="D596" s="143"/>
      <c r="E596" s="330"/>
      <c r="F596" s="512"/>
      <c r="G596" s="330"/>
      <c r="H596" s="512"/>
      <c r="I596" s="330"/>
      <c r="J596" s="512"/>
      <c r="K596" s="330"/>
      <c r="L596" s="512"/>
      <c r="M596" s="330"/>
      <c r="N596" s="512"/>
      <c r="O596" s="330"/>
      <c r="P596" s="512"/>
      <c r="Q596" s="330"/>
      <c r="R596" s="512"/>
      <c r="S596" s="559"/>
      <c r="T596" s="66"/>
      <c r="U596" s="2"/>
      <c r="V596" s="43"/>
    </row>
    <row r="597" spans="2:22" s="1" customFormat="1" ht="17.25" thickBot="1" x14ac:dyDescent="0.35">
      <c r="B597" s="325"/>
      <c r="C597" s="17"/>
      <c r="D597" s="3089" t="s">
        <v>164</v>
      </c>
      <c r="E597" s="3090"/>
      <c r="F597" s="3090"/>
      <c r="G597" s="3090"/>
      <c r="H597" s="3090"/>
      <c r="I597" s="3090"/>
      <c r="J597" s="622"/>
      <c r="K597" s="190"/>
      <c r="L597" s="622"/>
      <c r="M597" s="190"/>
      <c r="N597" s="622"/>
      <c r="O597" s="190"/>
      <c r="P597" s="622"/>
      <c r="Q597" s="644">
        <f>SUM(Q595:Q596)</f>
        <v>13.6</v>
      </c>
      <c r="R597" s="622"/>
      <c r="S597" s="247"/>
      <c r="T597" s="66"/>
      <c r="U597" s="2"/>
      <c r="V597" s="43"/>
    </row>
    <row r="598" spans="2:22" x14ac:dyDescent="0.3">
      <c r="B598" s="473"/>
      <c r="C598" s="465"/>
      <c r="D598" s="453"/>
      <c r="E598" s="455"/>
      <c r="F598" s="485"/>
      <c r="G598" s="455"/>
      <c r="H598" s="485"/>
      <c r="I598" s="455"/>
      <c r="J598" s="485"/>
      <c r="K598" s="477"/>
      <c r="L598" s="492"/>
      <c r="M598" s="477"/>
      <c r="N598" s="492"/>
      <c r="O598" s="477"/>
      <c r="P598" s="492"/>
      <c r="Q598" s="477"/>
      <c r="R598" s="492"/>
      <c r="S598" s="479"/>
    </row>
    <row r="599" spans="2:22" s="1" customFormat="1" ht="17.25" thickBot="1" x14ac:dyDescent="0.35">
      <c r="B599" s="325">
        <f>RAB!B115</f>
        <v>5</v>
      </c>
      <c r="C599" s="17" t="str">
        <f>RAB!C115</f>
        <v>Anti Slip Lantai Uk. 7,5 x 60 cm</v>
      </c>
      <c r="D599" s="38"/>
      <c r="E599" s="208"/>
      <c r="F599" s="551"/>
      <c r="G599" s="208"/>
      <c r="H599" s="551"/>
      <c r="I599" s="208"/>
      <c r="J599" s="551"/>
      <c r="K599" s="137"/>
      <c r="L599" s="642"/>
      <c r="M599" s="137"/>
      <c r="N599" s="642"/>
      <c r="O599" s="137"/>
      <c r="P599" s="642"/>
      <c r="Q599" s="137"/>
      <c r="R599" s="642"/>
      <c r="S599" s="241"/>
      <c r="T599" s="18">
        <f>ROUNDDOWN(Q604,2)</f>
        <v>145.6</v>
      </c>
      <c r="U599" s="2" t="s">
        <v>27</v>
      </c>
      <c r="V599" s="43"/>
    </row>
    <row r="600" spans="2:22" s="1" customFormat="1" x14ac:dyDescent="0.3">
      <c r="B600" s="325"/>
      <c r="C600" s="17"/>
      <c r="D600" s="8" t="s">
        <v>95</v>
      </c>
      <c r="E600" s="154" t="s">
        <v>150</v>
      </c>
      <c r="F600" s="493"/>
      <c r="G600" s="154" t="s">
        <v>151</v>
      </c>
      <c r="H600" s="493"/>
      <c r="I600" s="154" t="s">
        <v>152</v>
      </c>
      <c r="J600" s="493"/>
      <c r="K600" s="154" t="s">
        <v>153</v>
      </c>
      <c r="L600" s="494"/>
      <c r="M600" s="163" t="s">
        <v>32</v>
      </c>
      <c r="N600" s="494"/>
      <c r="O600" s="201" t="s">
        <v>163</v>
      </c>
      <c r="P600" s="494"/>
      <c r="Q600" s="202" t="s">
        <v>151</v>
      </c>
      <c r="R600" s="494"/>
      <c r="S600" s="226" t="s">
        <v>143</v>
      </c>
      <c r="T600" s="66"/>
      <c r="U600" s="2"/>
      <c r="V600" s="43"/>
    </row>
    <row r="601" spans="2:22" s="1" customFormat="1" x14ac:dyDescent="0.3">
      <c r="B601" s="325"/>
      <c r="C601" s="17"/>
      <c r="D601" s="138" t="str">
        <f>C389</f>
        <v xml:space="preserve">Tangga </v>
      </c>
      <c r="E601" s="1161"/>
      <c r="F601" s="517"/>
      <c r="G601" s="1161"/>
      <c r="H601" s="517"/>
      <c r="I601" s="1161"/>
      <c r="J601" s="517"/>
      <c r="K601" s="1161"/>
      <c r="L601" s="517"/>
      <c r="M601" s="1161"/>
      <c r="N601" s="517"/>
      <c r="O601" s="1161"/>
      <c r="P601" s="517"/>
      <c r="Q601" s="1161"/>
      <c r="R601" s="517"/>
      <c r="S601" s="519"/>
      <c r="T601" s="66"/>
      <c r="U601" s="2"/>
      <c r="V601" s="43"/>
    </row>
    <row r="602" spans="2:22" s="1" customFormat="1" x14ac:dyDescent="0.3">
      <c r="B602" s="325"/>
      <c r="C602" s="17"/>
      <c r="D602" s="140" t="s">
        <v>317</v>
      </c>
      <c r="E602" s="1161">
        <f>E392</f>
        <v>1.82</v>
      </c>
      <c r="F602" s="518" t="s">
        <v>185</v>
      </c>
      <c r="G602" s="1161"/>
      <c r="H602" s="518"/>
      <c r="I602" s="1161"/>
      <c r="J602" s="518"/>
      <c r="K602" s="1161">
        <f>K392</f>
        <v>20</v>
      </c>
      <c r="L602" s="518" t="s">
        <v>185</v>
      </c>
      <c r="M602" s="1161">
        <v>4</v>
      </c>
      <c r="N602" s="517"/>
      <c r="O602" s="1161"/>
      <c r="P602" s="518" t="s">
        <v>114</v>
      </c>
      <c r="Q602" s="1161">
        <f>E602*K602*M602</f>
        <v>145.6</v>
      </c>
      <c r="R602" s="517"/>
      <c r="S602" s="519"/>
      <c r="T602" s="66"/>
      <c r="U602" s="2"/>
      <c r="V602" s="43"/>
    </row>
    <row r="603" spans="2:22" s="1" customFormat="1" x14ac:dyDescent="0.3">
      <c r="B603" s="325"/>
      <c r="C603" s="17"/>
      <c r="D603" s="143"/>
      <c r="E603" s="330"/>
      <c r="F603" s="512"/>
      <c r="G603" s="330"/>
      <c r="H603" s="512"/>
      <c r="I603" s="330"/>
      <c r="J603" s="512"/>
      <c r="K603" s="330"/>
      <c r="L603" s="512"/>
      <c r="M603" s="330"/>
      <c r="N603" s="512"/>
      <c r="O603" s="330"/>
      <c r="P603" s="512"/>
      <c r="Q603" s="330"/>
      <c r="R603" s="512"/>
      <c r="S603" s="559"/>
      <c r="T603" s="66"/>
      <c r="U603" s="2"/>
      <c r="V603" s="43"/>
    </row>
    <row r="604" spans="2:22" s="1" customFormat="1" ht="17.25" thickBot="1" x14ac:dyDescent="0.35">
      <c r="B604" s="325"/>
      <c r="C604" s="17"/>
      <c r="D604" s="1158" t="s">
        <v>164</v>
      </c>
      <c r="E604" s="190"/>
      <c r="F604" s="622"/>
      <c r="G604" s="190"/>
      <c r="H604" s="622"/>
      <c r="I604" s="190"/>
      <c r="J604" s="622"/>
      <c r="K604" s="190"/>
      <c r="L604" s="622"/>
      <c r="M604" s="190"/>
      <c r="N604" s="622"/>
      <c r="O604" s="190"/>
      <c r="P604" s="622"/>
      <c r="Q604" s="644">
        <f>SUM(Q601:Q602)</f>
        <v>145.6</v>
      </c>
      <c r="R604" s="622"/>
      <c r="S604" s="247"/>
      <c r="T604" s="66"/>
      <c r="U604" s="2"/>
      <c r="V604" s="43"/>
    </row>
    <row r="605" spans="2:22" x14ac:dyDescent="0.3">
      <c r="B605" s="473"/>
      <c r="C605" s="465"/>
      <c r="D605" s="453"/>
      <c r="E605" s="455"/>
      <c r="F605" s="485"/>
      <c r="G605" s="455"/>
      <c r="H605" s="485"/>
      <c r="I605" s="455"/>
      <c r="J605" s="485"/>
      <c r="K605" s="477"/>
      <c r="L605" s="492"/>
      <c r="M605" s="477"/>
      <c r="N605" s="492"/>
      <c r="O605" s="477"/>
      <c r="P605" s="492"/>
      <c r="Q605" s="477"/>
      <c r="R605" s="492"/>
      <c r="S605" s="479"/>
      <c r="T605" s="474"/>
    </row>
    <row r="606" spans="2:22" s="1" customFormat="1" x14ac:dyDescent="0.3">
      <c r="B606" s="1179" t="str">
        <f>RAB!B118</f>
        <v>VI</v>
      </c>
      <c r="C606" s="134" t="str">
        <f>RAB!C118</f>
        <v>PEKERJAAN PLAFON</v>
      </c>
      <c r="E606" s="153"/>
      <c r="F606" s="480"/>
      <c r="G606" s="153"/>
      <c r="H606" s="480"/>
      <c r="I606" s="153"/>
      <c r="J606" s="480"/>
      <c r="K606" s="153"/>
      <c r="L606" s="480"/>
      <c r="M606" s="162"/>
      <c r="N606" s="480"/>
      <c r="O606" s="153"/>
      <c r="P606" s="480"/>
      <c r="Q606" s="200"/>
      <c r="R606" s="480"/>
      <c r="S606" s="224"/>
      <c r="T606" s="134"/>
      <c r="U606" s="2"/>
      <c r="V606" s="43"/>
    </row>
    <row r="607" spans="2:22" s="1" customFormat="1" ht="17.25" thickBot="1" x14ac:dyDescent="0.35">
      <c r="B607" s="36">
        <f>RAB!B119</f>
        <v>1</v>
      </c>
      <c r="C607" s="325" t="str">
        <f>RAB!C119</f>
        <v xml:space="preserve">Pemasangan Rangka Furing Plafond </v>
      </c>
      <c r="E607" s="153"/>
      <c r="F607" s="480"/>
      <c r="G607" s="153"/>
      <c r="H607" s="480"/>
      <c r="I607" s="153"/>
      <c r="J607" s="480"/>
      <c r="K607" s="153"/>
      <c r="L607" s="480"/>
      <c r="M607" s="162"/>
      <c r="N607" s="480"/>
      <c r="O607" s="153"/>
      <c r="P607" s="480"/>
      <c r="Q607" s="200"/>
      <c r="R607" s="480"/>
      <c r="S607" s="224"/>
      <c r="T607" s="18">
        <f>ROUNDDOWN(Q615,2)</f>
        <v>542.55999999999995</v>
      </c>
      <c r="U607" s="2" t="s">
        <v>2</v>
      </c>
      <c r="V607" s="43"/>
    </row>
    <row r="608" spans="2:22" s="1" customFormat="1" x14ac:dyDescent="0.3">
      <c r="B608" s="325"/>
      <c r="C608" s="325"/>
      <c r="D608" s="8" t="s">
        <v>95</v>
      </c>
      <c r="E608" s="154" t="s">
        <v>150</v>
      </c>
      <c r="F608" s="493"/>
      <c r="G608" s="154" t="s">
        <v>151</v>
      </c>
      <c r="H608" s="493"/>
      <c r="I608" s="154" t="s">
        <v>152</v>
      </c>
      <c r="J608" s="493"/>
      <c r="K608" s="154" t="s">
        <v>153</v>
      </c>
      <c r="L608" s="494"/>
      <c r="M608" s="163" t="s">
        <v>32</v>
      </c>
      <c r="N608" s="494"/>
      <c r="O608" s="201" t="s">
        <v>163</v>
      </c>
      <c r="P608" s="494"/>
      <c r="Q608" s="202" t="s">
        <v>151</v>
      </c>
      <c r="R608" s="494"/>
      <c r="S608" s="226" t="s">
        <v>143</v>
      </c>
      <c r="T608" s="66"/>
      <c r="U608" s="2"/>
      <c r="V608" s="43"/>
    </row>
    <row r="609" spans="2:22" s="1" customFormat="1" x14ac:dyDescent="0.3">
      <c r="B609" s="325"/>
      <c r="C609" s="60"/>
      <c r="D609" s="643" t="s">
        <v>1336</v>
      </c>
      <c r="E609" s="331"/>
      <c r="F609" s="565"/>
      <c r="G609" s="331">
        <v>92.96</v>
      </c>
      <c r="H609" s="565"/>
      <c r="I609" s="331"/>
      <c r="J609" s="565"/>
      <c r="K609" s="331">
        <v>1</v>
      </c>
      <c r="L609" s="575"/>
      <c r="M609" s="331">
        <v>4</v>
      </c>
      <c r="N609" s="575"/>
      <c r="O609" s="331"/>
      <c r="P609" s="565"/>
      <c r="Q609" s="331">
        <f>G609*K609*M609</f>
        <v>371.84</v>
      </c>
      <c r="R609" s="565"/>
      <c r="S609" s="577"/>
      <c r="T609" s="66"/>
      <c r="U609" s="2"/>
      <c r="V609" s="43"/>
    </row>
    <row r="610" spans="2:22" s="1" customFormat="1" x14ac:dyDescent="0.3">
      <c r="B610" s="325"/>
      <c r="C610" s="60"/>
      <c r="D610" s="324" t="s">
        <v>1337</v>
      </c>
      <c r="E610" s="589"/>
      <c r="F610" s="588"/>
      <c r="G610" s="1161">
        <v>1.5</v>
      </c>
      <c r="H610" s="518"/>
      <c r="I610" s="1161"/>
      <c r="J610" s="518"/>
      <c r="K610" s="1161">
        <v>16</v>
      </c>
      <c r="L610" s="517"/>
      <c r="M610" s="1161">
        <v>4</v>
      </c>
      <c r="N610" s="517"/>
      <c r="O610" s="1161"/>
      <c r="P610" s="518"/>
      <c r="Q610" s="331">
        <f>G610*K610*M610</f>
        <v>96</v>
      </c>
      <c r="R610" s="588"/>
      <c r="S610" s="590"/>
      <c r="T610" s="66"/>
      <c r="U610" s="2"/>
      <c r="V610" s="43"/>
    </row>
    <row r="611" spans="2:22" s="1" customFormat="1" x14ac:dyDescent="0.3">
      <c r="B611" s="325"/>
      <c r="C611" s="60"/>
      <c r="D611" s="324"/>
      <c r="E611" s="589"/>
      <c r="F611" s="588"/>
      <c r="G611" s="1161">
        <v>4</v>
      </c>
      <c r="H611" s="518"/>
      <c r="I611" s="1161"/>
      <c r="J611" s="518"/>
      <c r="K611" s="1161">
        <v>9.5</v>
      </c>
      <c r="L611" s="517"/>
      <c r="M611" s="1161">
        <v>2</v>
      </c>
      <c r="N611" s="517"/>
      <c r="O611" s="1161"/>
      <c r="P611" s="518"/>
      <c r="Q611" s="331">
        <f>G611*K611*M611</f>
        <v>76</v>
      </c>
      <c r="R611" s="588"/>
      <c r="S611" s="590"/>
      <c r="T611" s="66"/>
      <c r="U611" s="2"/>
      <c r="V611" s="43"/>
    </row>
    <row r="612" spans="2:22" s="1" customFormat="1" x14ac:dyDescent="0.3">
      <c r="B612" s="325"/>
      <c r="C612" s="60"/>
      <c r="D612" s="645" t="s">
        <v>244</v>
      </c>
      <c r="E612" s="619"/>
      <c r="F612" s="558"/>
      <c r="G612" s="619"/>
      <c r="H612" s="558"/>
      <c r="I612" s="619"/>
      <c r="J612" s="558"/>
      <c r="K612" s="619"/>
      <c r="L612" s="526"/>
      <c r="M612" s="619"/>
      <c r="N612" s="526"/>
      <c r="O612" s="619"/>
      <c r="P612" s="558"/>
      <c r="Q612" s="619"/>
      <c r="R612" s="558"/>
      <c r="S612" s="620"/>
      <c r="T612" s="66"/>
      <c r="U612" s="2"/>
      <c r="V612" s="43"/>
    </row>
    <row r="613" spans="2:22" s="1" customFormat="1" x14ac:dyDescent="0.3">
      <c r="B613" s="325"/>
      <c r="C613" s="60"/>
      <c r="D613" s="326" t="s">
        <v>730</v>
      </c>
      <c r="E613" s="328">
        <v>0.4</v>
      </c>
      <c r="F613" s="518" t="s">
        <v>185</v>
      </c>
      <c r="G613" s="328">
        <v>0.4</v>
      </c>
      <c r="H613" s="518" t="s">
        <v>185</v>
      </c>
      <c r="I613" s="1161"/>
      <c r="J613" s="518"/>
      <c r="K613" s="1161">
        <v>8</v>
      </c>
      <c r="L613" s="518"/>
      <c r="M613" s="1161"/>
      <c r="N613" s="518"/>
      <c r="O613" s="1161"/>
      <c r="P613" s="518" t="s">
        <v>114</v>
      </c>
      <c r="Q613" s="1161">
        <f>K613*G613*E613</f>
        <v>1.2800000000000002</v>
      </c>
      <c r="R613" s="558"/>
      <c r="S613" s="620"/>
      <c r="T613" s="66"/>
      <c r="U613" s="2"/>
      <c r="V613" s="43"/>
    </row>
    <row r="614" spans="2:22" s="1" customFormat="1" x14ac:dyDescent="0.3">
      <c r="B614" s="325"/>
      <c r="C614" s="325"/>
      <c r="D614" s="143"/>
      <c r="E614" s="170"/>
      <c r="F614" s="630"/>
      <c r="G614" s="170"/>
      <c r="H614" s="630"/>
      <c r="I614" s="170"/>
      <c r="J614" s="630"/>
      <c r="K614" s="170"/>
      <c r="L614" s="630"/>
      <c r="M614" s="170"/>
      <c r="N614" s="630"/>
      <c r="O614" s="170"/>
      <c r="P614" s="630"/>
      <c r="Q614" s="170"/>
      <c r="R614" s="630"/>
      <c r="S614" s="246"/>
      <c r="T614" s="66"/>
      <c r="U614" s="2"/>
      <c r="V614" s="43"/>
    </row>
    <row r="615" spans="2:22" s="1" customFormat="1" ht="17.25" thickBot="1" x14ac:dyDescent="0.35">
      <c r="B615" s="325"/>
      <c r="C615" s="325"/>
      <c r="D615" s="3093" t="s">
        <v>164</v>
      </c>
      <c r="E615" s="3094"/>
      <c r="F615" s="3094"/>
      <c r="G615" s="3094"/>
      <c r="H615" s="3094"/>
      <c r="I615" s="3095"/>
      <c r="J615" s="637"/>
      <c r="K615" s="196"/>
      <c r="L615" s="637"/>
      <c r="M615" s="196"/>
      <c r="N615" s="637"/>
      <c r="O615" s="196"/>
      <c r="P615" s="637"/>
      <c r="Q615" s="579">
        <f>SUM(Q609:Q611)-Q613</f>
        <v>542.55999999999995</v>
      </c>
      <c r="R615" s="637"/>
      <c r="S615" s="253"/>
      <c r="T615" s="66"/>
      <c r="U615" s="2"/>
      <c r="V615" s="43"/>
    </row>
    <row r="616" spans="2:22" x14ac:dyDescent="0.3">
      <c r="B616" s="464"/>
      <c r="C616" s="464"/>
    </row>
    <row r="617" spans="2:22" s="1" customFormat="1" ht="17.25" thickBot="1" x14ac:dyDescent="0.35">
      <c r="B617" s="36">
        <f>RAB!B120</f>
        <v>2</v>
      </c>
      <c r="C617" s="325" t="str">
        <f>RAB!C120</f>
        <v>Pemasangan Plafond Gybsum board tbl. 9 mm</v>
      </c>
      <c r="E617" s="153"/>
      <c r="F617" s="480"/>
      <c r="G617" s="153"/>
      <c r="H617" s="480"/>
      <c r="I617" s="153"/>
      <c r="J617" s="480"/>
      <c r="K617" s="153"/>
      <c r="L617" s="480"/>
      <c r="M617" s="162"/>
      <c r="N617" s="480"/>
      <c r="O617" s="153"/>
      <c r="P617" s="480"/>
      <c r="Q617" s="200"/>
      <c r="R617" s="480"/>
      <c r="S617" s="224"/>
      <c r="T617" s="18">
        <f>ROUNDDOWN(Q621,2)</f>
        <v>542.55999999999995</v>
      </c>
      <c r="U617" s="2" t="s">
        <v>2</v>
      </c>
      <c r="V617" s="43"/>
    </row>
    <row r="618" spans="2:22" s="1" customFormat="1" x14ac:dyDescent="0.3">
      <c r="B618" s="325"/>
      <c r="C618" s="17"/>
      <c r="D618" s="141" t="s">
        <v>95</v>
      </c>
      <c r="E618" s="158" t="s">
        <v>150</v>
      </c>
      <c r="F618" s="641"/>
      <c r="G618" s="158" t="s">
        <v>151</v>
      </c>
      <c r="H618" s="641"/>
      <c r="I618" s="158" t="s">
        <v>152</v>
      </c>
      <c r="J618" s="641"/>
      <c r="K618" s="158" t="s">
        <v>153</v>
      </c>
      <c r="L618" s="641"/>
      <c r="M618" s="167" t="s">
        <v>32</v>
      </c>
      <c r="N618" s="641"/>
      <c r="O618" s="158" t="s">
        <v>163</v>
      </c>
      <c r="P618" s="641"/>
      <c r="Q618" s="222" t="s">
        <v>151</v>
      </c>
      <c r="R618" s="641"/>
      <c r="S618" s="242" t="s">
        <v>143</v>
      </c>
      <c r="T618" s="66"/>
      <c r="U618" s="2"/>
      <c r="V618" s="43"/>
    </row>
    <row r="619" spans="2:22" s="1" customFormat="1" x14ac:dyDescent="0.3">
      <c r="B619" s="325"/>
      <c r="C619" s="17"/>
      <c r="D619" s="142" t="str">
        <f>C607</f>
        <v xml:space="preserve">Pemasangan Rangka Furing Plafond </v>
      </c>
      <c r="E619" s="197"/>
      <c r="F619" s="516"/>
      <c r="G619" s="197"/>
      <c r="H619" s="516"/>
      <c r="I619" s="197"/>
      <c r="J619" s="516"/>
      <c r="K619" s="197"/>
      <c r="L619" s="640"/>
      <c r="M619" s="197"/>
      <c r="N619" s="640"/>
      <c r="O619" s="197"/>
      <c r="P619" s="516"/>
      <c r="Q619" s="197">
        <f>Q615</f>
        <v>542.55999999999995</v>
      </c>
      <c r="R619" s="516"/>
      <c r="S619" s="255"/>
      <c r="T619" s="66"/>
      <c r="U619" s="2"/>
      <c r="V619" s="43"/>
    </row>
    <row r="620" spans="2:22" s="1" customFormat="1" x14ac:dyDescent="0.3">
      <c r="B620" s="325"/>
      <c r="C620" s="17"/>
      <c r="D620" s="143"/>
      <c r="E620" s="170"/>
      <c r="F620" s="630"/>
      <c r="G620" s="170"/>
      <c r="H620" s="630"/>
      <c r="I620" s="170"/>
      <c r="J620" s="630"/>
      <c r="K620" s="170"/>
      <c r="L620" s="630"/>
      <c r="M620" s="170"/>
      <c r="N620" s="630"/>
      <c r="O620" s="170"/>
      <c r="P620" s="630"/>
      <c r="Q620" s="170"/>
      <c r="R620" s="630"/>
      <c r="S620" s="246"/>
      <c r="T620" s="66"/>
      <c r="U620" s="2"/>
      <c r="V620" s="43"/>
    </row>
    <row r="621" spans="2:22" s="1" customFormat="1" ht="17.25" thickBot="1" x14ac:dyDescent="0.35">
      <c r="B621" s="325"/>
      <c r="C621" s="17"/>
      <c r="D621" s="3091" t="s">
        <v>164</v>
      </c>
      <c r="E621" s="3092"/>
      <c r="F621" s="3092"/>
      <c r="G621" s="3092"/>
      <c r="H621" s="3092"/>
      <c r="I621" s="3092"/>
      <c r="J621" s="622"/>
      <c r="K621" s="190"/>
      <c r="L621" s="622"/>
      <c r="M621" s="190"/>
      <c r="N621" s="622"/>
      <c r="O621" s="190"/>
      <c r="P621" s="622"/>
      <c r="Q621" s="190">
        <f>SUM(Q619:Q620)</f>
        <v>542.55999999999995</v>
      </c>
      <c r="R621" s="622"/>
      <c r="S621" s="247"/>
      <c r="T621" s="66"/>
      <c r="U621" s="2"/>
      <c r="V621" s="43"/>
    </row>
    <row r="622" spans="2:22" x14ac:dyDescent="0.3">
      <c r="B622" s="473"/>
      <c r="C622" s="465"/>
      <c r="D622" s="453"/>
      <c r="E622" s="455"/>
      <c r="F622" s="485"/>
      <c r="G622" s="455"/>
      <c r="H622" s="485"/>
      <c r="I622" s="455"/>
      <c r="J622" s="485"/>
      <c r="K622" s="477"/>
      <c r="L622" s="492"/>
      <c r="M622" s="477"/>
      <c r="N622" s="492"/>
      <c r="O622" s="477"/>
      <c r="P622" s="492"/>
      <c r="Q622" s="477"/>
      <c r="R622" s="492"/>
      <c r="S622" s="479"/>
    </row>
    <row r="623" spans="2:22" s="66" customFormat="1" x14ac:dyDescent="0.3">
      <c r="B623" s="134" t="str">
        <f>RAB!B123</f>
        <v>VII</v>
      </c>
      <c r="C623" s="134" t="str">
        <f>RAB!C123</f>
        <v>PEKERJAAN PENGECATAN</v>
      </c>
      <c r="D623" s="118"/>
      <c r="E623" s="198"/>
      <c r="F623" s="652"/>
      <c r="G623" s="198"/>
      <c r="H623" s="652"/>
      <c r="I623" s="198"/>
      <c r="J623" s="652"/>
      <c r="K623" s="198"/>
      <c r="L623" s="652"/>
      <c r="M623" s="198"/>
      <c r="N623" s="652"/>
      <c r="O623" s="198"/>
      <c r="P623" s="652"/>
      <c r="Q623" s="198"/>
      <c r="R623" s="652"/>
      <c r="S623" s="256"/>
      <c r="U623" s="2"/>
      <c r="V623" s="675"/>
    </row>
    <row r="624" spans="2:22" s="1" customFormat="1" ht="17.25" thickBot="1" x14ac:dyDescent="0.35">
      <c r="B624" s="36">
        <f>RAB!B124</f>
        <v>1</v>
      </c>
      <c r="C624" s="17" t="str">
        <f>RAB!C124</f>
        <v>Pengecatan bidang tembok eksterior (Jotun weathershield)</v>
      </c>
      <c r="E624" s="153"/>
      <c r="F624" s="480"/>
      <c r="G624" s="153"/>
      <c r="H624" s="480"/>
      <c r="I624" s="153"/>
      <c r="J624" s="480"/>
      <c r="K624" s="153"/>
      <c r="L624" s="480"/>
      <c r="M624" s="162"/>
      <c r="N624" s="480"/>
      <c r="O624" s="153"/>
      <c r="P624" s="480"/>
      <c r="Q624" s="200"/>
      <c r="R624" s="480"/>
      <c r="S624" s="224"/>
      <c r="T624" s="18">
        <f>ROUNDDOWN(Q634,2)</f>
        <v>240.56</v>
      </c>
      <c r="U624" s="2" t="s">
        <v>2</v>
      </c>
      <c r="V624" s="43"/>
    </row>
    <row r="625" spans="2:22" s="1" customFormat="1" x14ac:dyDescent="0.3">
      <c r="B625" s="325"/>
      <c r="C625" s="17"/>
      <c r="D625" s="8" t="s">
        <v>95</v>
      </c>
      <c r="E625" s="154" t="s">
        <v>150</v>
      </c>
      <c r="F625" s="493"/>
      <c r="G625" s="154" t="s">
        <v>151</v>
      </c>
      <c r="H625" s="493"/>
      <c r="I625" s="154" t="s">
        <v>152</v>
      </c>
      <c r="J625" s="493"/>
      <c r="K625" s="154" t="s">
        <v>153</v>
      </c>
      <c r="L625" s="494"/>
      <c r="M625" s="163" t="s">
        <v>32</v>
      </c>
      <c r="N625" s="494"/>
      <c r="O625" s="201" t="s">
        <v>163</v>
      </c>
      <c r="P625" s="494"/>
      <c r="Q625" s="202" t="s">
        <v>151</v>
      </c>
      <c r="R625" s="494"/>
      <c r="S625" s="226" t="s">
        <v>143</v>
      </c>
      <c r="T625" s="66"/>
      <c r="U625" s="2"/>
      <c r="V625" s="43"/>
    </row>
    <row r="626" spans="2:22" s="1" customFormat="1" x14ac:dyDescent="0.3">
      <c r="B626" s="325"/>
      <c r="C626" s="17"/>
      <c r="D626" s="138"/>
      <c r="E626" s="1161">
        <v>36</v>
      </c>
      <c r="F626" s="517" t="s">
        <v>185</v>
      </c>
      <c r="G626" s="1161"/>
      <c r="H626" s="517"/>
      <c r="I626" s="1161">
        <v>3.6</v>
      </c>
      <c r="J626" s="517" t="s">
        <v>185</v>
      </c>
      <c r="K626" s="1161">
        <v>2</v>
      </c>
      <c r="L626" s="517"/>
      <c r="M626" s="1161"/>
      <c r="N626" s="517"/>
      <c r="O626" s="1161"/>
      <c r="P626" s="517" t="s">
        <v>114</v>
      </c>
      <c r="Q626" s="1161">
        <f>E626*I626*K626</f>
        <v>259.2</v>
      </c>
      <c r="R626" s="517"/>
      <c r="S626" s="519"/>
      <c r="T626" s="66"/>
      <c r="U626" s="2"/>
      <c r="V626" s="43"/>
    </row>
    <row r="627" spans="2:22" s="1" customFormat="1" x14ac:dyDescent="0.3">
      <c r="B627" s="325"/>
      <c r="C627" s="17"/>
      <c r="D627" s="138"/>
      <c r="E627" s="1161">
        <v>20</v>
      </c>
      <c r="F627" s="517" t="s">
        <v>185</v>
      </c>
      <c r="G627" s="1161"/>
      <c r="H627" s="517"/>
      <c r="I627" s="1161">
        <v>3.6</v>
      </c>
      <c r="J627" s="517" t="s">
        <v>185</v>
      </c>
      <c r="K627" s="1161">
        <v>2</v>
      </c>
      <c r="L627" s="517"/>
      <c r="M627" s="1161"/>
      <c r="N627" s="517"/>
      <c r="O627" s="1161"/>
      <c r="P627" s="517" t="s">
        <v>114</v>
      </c>
      <c r="Q627" s="1161">
        <f>E627*I627*K627</f>
        <v>144</v>
      </c>
      <c r="R627" s="517"/>
      <c r="S627" s="519"/>
      <c r="T627" s="66"/>
      <c r="U627" s="2"/>
      <c r="V627" s="43"/>
    </row>
    <row r="628" spans="2:22" s="1" customFormat="1" x14ac:dyDescent="0.3">
      <c r="B628" s="325"/>
      <c r="C628" s="17"/>
      <c r="D628" s="138" t="s">
        <v>154</v>
      </c>
      <c r="E628" s="1161"/>
      <c r="F628" s="517"/>
      <c r="G628" s="1161"/>
      <c r="H628" s="517"/>
      <c r="I628" s="1161"/>
      <c r="J628" s="517"/>
      <c r="K628" s="1161"/>
      <c r="L628" s="517"/>
      <c r="M628" s="1161"/>
      <c r="N628" s="517"/>
      <c r="O628" s="1161"/>
      <c r="P628" s="517"/>
      <c r="Q628" s="1161"/>
      <c r="R628" s="603"/>
      <c r="S628" s="245"/>
      <c r="T628" s="66"/>
      <c r="U628" s="2"/>
      <c r="V628" s="43"/>
    </row>
    <row r="629" spans="2:22" x14ac:dyDescent="0.3">
      <c r="B629" s="473"/>
      <c r="C629" s="465"/>
      <c r="D629" s="146" t="str">
        <f>D459</f>
        <v>Pintu Type P1</v>
      </c>
      <c r="E629" s="1161">
        <v>3</v>
      </c>
      <c r="F629" s="518" t="s">
        <v>185</v>
      </c>
      <c r="G629" s="1161"/>
      <c r="H629" s="518"/>
      <c r="I629" s="1161">
        <v>1.5</v>
      </c>
      <c r="J629" s="518" t="s">
        <v>185</v>
      </c>
      <c r="K629" s="1161">
        <v>8</v>
      </c>
      <c r="L629" s="517"/>
      <c r="M629" s="1161"/>
      <c r="N629" s="517"/>
      <c r="O629" s="1161"/>
      <c r="P629" s="518" t="s">
        <v>114</v>
      </c>
      <c r="Q629" s="1161">
        <f>K629*I629*E629</f>
        <v>36</v>
      </c>
      <c r="R629" s="491"/>
      <c r="S629" s="472"/>
    </row>
    <row r="630" spans="2:22" x14ac:dyDescent="0.3">
      <c r="B630" s="473"/>
      <c r="C630" s="465"/>
      <c r="D630" s="146" t="str">
        <f>D460</f>
        <v>Pintu Type P2</v>
      </c>
      <c r="E630" s="1161">
        <v>3</v>
      </c>
      <c r="F630" s="518" t="s">
        <v>185</v>
      </c>
      <c r="G630" s="1161"/>
      <c r="H630" s="518"/>
      <c r="I630" s="1161">
        <v>2</v>
      </c>
      <c r="J630" s="518" t="s">
        <v>185</v>
      </c>
      <c r="K630" s="1161">
        <v>1</v>
      </c>
      <c r="L630" s="517"/>
      <c r="M630" s="1161"/>
      <c r="N630" s="517"/>
      <c r="O630" s="1161"/>
      <c r="P630" s="518" t="s">
        <v>114</v>
      </c>
      <c r="Q630" s="1161">
        <f>K630*I630*E630</f>
        <v>6</v>
      </c>
      <c r="R630" s="491"/>
      <c r="S630" s="472"/>
    </row>
    <row r="631" spans="2:22" x14ac:dyDescent="0.3">
      <c r="B631" s="473"/>
      <c r="C631" s="465"/>
      <c r="D631" s="146" t="str">
        <f>D462</f>
        <v>Jendela Type J.1</v>
      </c>
      <c r="E631" s="1161">
        <v>2</v>
      </c>
      <c r="F631" s="518" t="s">
        <v>185</v>
      </c>
      <c r="G631" s="1161"/>
      <c r="H631" s="518"/>
      <c r="I631" s="1161">
        <v>2.6</v>
      </c>
      <c r="J631" s="518" t="s">
        <v>185</v>
      </c>
      <c r="K631" s="1161">
        <f>12+10</f>
        <v>22</v>
      </c>
      <c r="L631" s="517"/>
      <c r="M631" s="1161"/>
      <c r="N631" s="517"/>
      <c r="O631" s="1161"/>
      <c r="P631" s="518" t="s">
        <v>114</v>
      </c>
      <c r="Q631" s="1161">
        <f>K631*I631*E631</f>
        <v>114.4</v>
      </c>
      <c r="R631" s="491"/>
      <c r="S631" s="472"/>
    </row>
    <row r="632" spans="2:22" x14ac:dyDescent="0.3">
      <c r="B632" s="473"/>
      <c r="C632" s="465"/>
      <c r="D632" s="146" t="str">
        <f>D463</f>
        <v>Jendela Type J2</v>
      </c>
      <c r="E632" s="1161">
        <v>0.6</v>
      </c>
      <c r="F632" s="518" t="s">
        <v>185</v>
      </c>
      <c r="G632" s="1161"/>
      <c r="H632" s="518"/>
      <c r="I632" s="1161">
        <v>2.6</v>
      </c>
      <c r="J632" s="518" t="s">
        <v>185</v>
      </c>
      <c r="K632" s="1161">
        <v>4</v>
      </c>
      <c r="L632" s="517"/>
      <c r="M632" s="1161"/>
      <c r="N632" s="517"/>
      <c r="O632" s="1161"/>
      <c r="P632" s="518" t="s">
        <v>114</v>
      </c>
      <c r="Q632" s="1161">
        <f>K632*I632*E632</f>
        <v>6.24</v>
      </c>
      <c r="R632" s="491"/>
      <c r="S632" s="472"/>
    </row>
    <row r="633" spans="2:22" x14ac:dyDescent="0.3">
      <c r="B633" s="473"/>
      <c r="C633" s="465"/>
      <c r="D633" s="476"/>
      <c r="E633" s="591"/>
      <c r="F633" s="618"/>
      <c r="G633" s="591"/>
      <c r="H633" s="618"/>
      <c r="I633" s="591"/>
      <c r="J633" s="618"/>
      <c r="K633" s="591"/>
      <c r="L633" s="618"/>
      <c r="M633" s="591"/>
      <c r="N633" s="618"/>
      <c r="O633" s="591"/>
      <c r="P633" s="618"/>
      <c r="Q633" s="591"/>
      <c r="R633" s="490"/>
      <c r="S633" s="478"/>
    </row>
    <row r="634" spans="2:22" s="1" customFormat="1" ht="17.25" thickBot="1" x14ac:dyDescent="0.35">
      <c r="B634" s="325"/>
      <c r="C634" s="17"/>
      <c r="D634" s="3087" t="s">
        <v>164</v>
      </c>
      <c r="E634" s="3088"/>
      <c r="F634" s="3088"/>
      <c r="G634" s="3088"/>
      <c r="H634" s="3088"/>
      <c r="I634" s="3088"/>
      <c r="J634" s="637"/>
      <c r="K634" s="196"/>
      <c r="L634" s="637"/>
      <c r="M634" s="196"/>
      <c r="N634" s="637"/>
      <c r="O634" s="196"/>
      <c r="P634" s="637"/>
      <c r="Q634" s="653">
        <f>SUM(Q626:Q627)-SUM(Q629:Q633)</f>
        <v>240.55999999999997</v>
      </c>
      <c r="R634" s="637"/>
      <c r="S634" s="253"/>
      <c r="T634" s="66"/>
      <c r="U634" s="2"/>
      <c r="V634" s="43"/>
    </row>
    <row r="635" spans="2:22" x14ac:dyDescent="0.3">
      <c r="B635" s="464"/>
      <c r="C635" s="465"/>
      <c r="D635" s="453"/>
      <c r="E635" s="477"/>
      <c r="F635" s="485"/>
      <c r="G635" s="477"/>
      <c r="H635" s="485"/>
      <c r="I635" s="477"/>
      <c r="J635" s="485"/>
      <c r="K635" s="438"/>
      <c r="L635" s="482"/>
      <c r="M635" s="439"/>
      <c r="N635" s="482"/>
      <c r="O635" s="438"/>
      <c r="P635" s="482"/>
      <c r="Q635" s="477"/>
      <c r="R635" s="492"/>
      <c r="S635" s="454"/>
    </row>
    <row r="636" spans="2:22" s="1" customFormat="1" ht="17.25" thickBot="1" x14ac:dyDescent="0.35">
      <c r="B636" s="36">
        <f>RAB!B125</f>
        <v>2</v>
      </c>
      <c r="C636" s="17" t="str">
        <f>RAB!C125</f>
        <v>Pengecatan bidang tembok interior (Jotun Jotaplast)</v>
      </c>
      <c r="E636" s="153"/>
      <c r="F636" s="480"/>
      <c r="G636" s="153"/>
      <c r="H636" s="480"/>
      <c r="I636" s="153"/>
      <c r="J636" s="480"/>
      <c r="K636" s="153"/>
      <c r="L636" s="480"/>
      <c r="M636" s="162"/>
      <c r="N636" s="480"/>
      <c r="O636" s="153"/>
      <c r="P636" s="480"/>
      <c r="Q636" s="200"/>
      <c r="R636" s="480"/>
      <c r="S636" s="224"/>
      <c r="T636" s="18">
        <f>ROUNDDOWN(Q640,2)</f>
        <v>776.56</v>
      </c>
      <c r="U636" s="2" t="s">
        <v>2</v>
      </c>
      <c r="V636" s="43"/>
    </row>
    <row r="637" spans="2:22" s="1" customFormat="1" x14ac:dyDescent="0.3">
      <c r="B637" s="325"/>
      <c r="C637" s="17"/>
      <c r="D637" s="8" t="s">
        <v>95</v>
      </c>
      <c r="E637" s="154" t="s">
        <v>150</v>
      </c>
      <c r="F637" s="493"/>
      <c r="G637" s="154" t="s">
        <v>151</v>
      </c>
      <c r="H637" s="493"/>
      <c r="I637" s="154" t="s">
        <v>152</v>
      </c>
      <c r="J637" s="493"/>
      <c r="K637" s="154" t="s">
        <v>153</v>
      </c>
      <c r="L637" s="494"/>
      <c r="M637" s="163" t="s">
        <v>32</v>
      </c>
      <c r="N637" s="494"/>
      <c r="O637" s="201" t="s">
        <v>163</v>
      </c>
      <c r="P637" s="494"/>
      <c r="Q637" s="202" t="s">
        <v>151</v>
      </c>
      <c r="R637" s="494"/>
      <c r="S637" s="226" t="s">
        <v>143</v>
      </c>
      <c r="T637" s="66"/>
      <c r="U637" s="2"/>
      <c r="V637" s="43"/>
    </row>
    <row r="638" spans="2:22" s="1" customFormat="1" x14ac:dyDescent="0.3">
      <c r="B638" s="325"/>
      <c r="C638" s="17"/>
      <c r="D638" s="643" t="s">
        <v>586</v>
      </c>
      <c r="E638" s="197"/>
      <c r="F638" s="516"/>
      <c r="G638" s="197"/>
      <c r="H638" s="640"/>
      <c r="I638" s="197"/>
      <c r="J638" s="640"/>
      <c r="K638" s="270">
        <f>Q465</f>
        <v>776.56</v>
      </c>
      <c r="L638" s="640"/>
      <c r="M638" s="197"/>
      <c r="N638" s="516"/>
      <c r="O638" s="323"/>
      <c r="P638" s="516" t="s">
        <v>114</v>
      </c>
      <c r="Q638" s="270">
        <f>K638</f>
        <v>776.56</v>
      </c>
      <c r="R638" s="516"/>
      <c r="S638" s="255"/>
      <c r="T638" s="66"/>
      <c r="U638" s="2"/>
      <c r="V638" s="43">
        <f>T636+T624</f>
        <v>1017.1199999999999</v>
      </c>
    </row>
    <row r="639" spans="2:22" s="1" customFormat="1" x14ac:dyDescent="0.3">
      <c r="B639" s="325"/>
      <c r="C639" s="17"/>
      <c r="D639" s="148"/>
      <c r="E639" s="192"/>
      <c r="F639" s="631"/>
      <c r="G639" s="192"/>
      <c r="H639" s="631"/>
      <c r="I639" s="192"/>
      <c r="J639" s="631"/>
      <c r="K639" s="192"/>
      <c r="L639" s="631"/>
      <c r="M639" s="192"/>
      <c r="N639" s="631"/>
      <c r="O639" s="192"/>
      <c r="P639" s="631"/>
      <c r="Q639" s="268"/>
      <c r="R639" s="631"/>
      <c r="S639" s="252"/>
      <c r="T639" s="66"/>
      <c r="U639" s="2"/>
      <c r="V639" s="43"/>
    </row>
    <row r="640" spans="2:22" s="1" customFormat="1" ht="17.25" thickBot="1" x14ac:dyDescent="0.35">
      <c r="B640" s="325"/>
      <c r="C640" s="17"/>
      <c r="D640" s="3087" t="s">
        <v>164</v>
      </c>
      <c r="E640" s="3088"/>
      <c r="F640" s="3088"/>
      <c r="G640" s="3088"/>
      <c r="H640" s="3088"/>
      <c r="I640" s="3088"/>
      <c r="J640" s="637"/>
      <c r="K640" s="196"/>
      <c r="L640" s="637"/>
      <c r="M640" s="196"/>
      <c r="N640" s="637"/>
      <c r="O640" s="196"/>
      <c r="P640" s="637"/>
      <c r="Q640" s="269">
        <f>Q638-(SUM(Q639:Q639))</f>
        <v>776.56</v>
      </c>
      <c r="R640" s="637"/>
      <c r="S640" s="253"/>
      <c r="T640" s="66"/>
      <c r="U640" s="2"/>
      <c r="V640" s="43"/>
    </row>
    <row r="641" spans="2:22" x14ac:dyDescent="0.3">
      <c r="B641" s="473"/>
      <c r="C641" s="465"/>
      <c r="D641" s="453"/>
      <c r="E641" s="455"/>
      <c r="F641" s="485"/>
      <c r="G641" s="455"/>
      <c r="H641" s="485"/>
      <c r="I641" s="455"/>
      <c r="J641" s="485"/>
      <c r="K641" s="477"/>
      <c r="L641" s="492"/>
      <c r="M641" s="477"/>
      <c r="N641" s="492"/>
      <c r="O641" s="477"/>
      <c r="P641" s="492"/>
      <c r="Q641" s="477"/>
      <c r="R641" s="492"/>
      <c r="S641" s="454"/>
    </row>
    <row r="642" spans="2:22" s="1" customFormat="1" ht="17.25" thickBot="1" x14ac:dyDescent="0.35">
      <c r="B642" s="36">
        <f>RAB!B126</f>
        <v>3</v>
      </c>
      <c r="C642" s="17" t="str">
        <f>RAB!C126</f>
        <v>Pengecatan langit-langit (Jotun Jotaplast)</v>
      </c>
      <c r="D642" s="38"/>
      <c r="E642" s="137"/>
      <c r="F642" s="551"/>
      <c r="G642" s="137"/>
      <c r="H642" s="551"/>
      <c r="I642" s="137"/>
      <c r="J642" s="551"/>
      <c r="K642" s="156"/>
      <c r="L642" s="501"/>
      <c r="M642" s="165"/>
      <c r="N642" s="501"/>
      <c r="O642" s="156"/>
      <c r="P642" s="501"/>
      <c r="Q642" s="137"/>
      <c r="R642" s="642"/>
      <c r="S642" s="232"/>
      <c r="T642" s="18">
        <f>Q647</f>
        <v>656.06399999999996</v>
      </c>
      <c r="U642" s="2" t="s">
        <v>2</v>
      </c>
      <c r="V642" s="43"/>
    </row>
    <row r="643" spans="2:22" s="1" customFormat="1" x14ac:dyDescent="0.3">
      <c r="B643" s="325"/>
      <c r="C643" s="17"/>
      <c r="D643" s="8" t="s">
        <v>95</v>
      </c>
      <c r="E643" s="154" t="s">
        <v>150</v>
      </c>
      <c r="F643" s="493"/>
      <c r="G643" s="154" t="s">
        <v>151</v>
      </c>
      <c r="H643" s="493"/>
      <c r="I643" s="154" t="s">
        <v>152</v>
      </c>
      <c r="J643" s="493"/>
      <c r="K643" s="154" t="s">
        <v>153</v>
      </c>
      <c r="L643" s="494"/>
      <c r="M643" s="163" t="s">
        <v>32</v>
      </c>
      <c r="N643" s="494"/>
      <c r="O643" s="201" t="s">
        <v>163</v>
      </c>
      <c r="P643" s="494"/>
      <c r="Q643" s="202" t="s">
        <v>151</v>
      </c>
      <c r="R643" s="494"/>
      <c r="S643" s="226" t="s">
        <v>143</v>
      </c>
      <c r="T643" s="66"/>
      <c r="U643" s="2"/>
      <c r="V643" s="43"/>
    </row>
    <row r="644" spans="2:22" s="1" customFormat="1" x14ac:dyDescent="0.3">
      <c r="B644" s="325"/>
      <c r="C644" s="17"/>
      <c r="D644" s="643" t="s">
        <v>743</v>
      </c>
      <c r="E644" s="197"/>
      <c r="F644" s="640"/>
      <c r="G644" s="197"/>
      <c r="H644" s="640"/>
      <c r="I644" s="197"/>
      <c r="J644" s="640"/>
      <c r="K644" s="197"/>
      <c r="L644" s="640"/>
      <c r="M644" s="197"/>
      <c r="N644" s="640"/>
      <c r="O644" s="197"/>
      <c r="P644" s="640"/>
      <c r="Q644" s="323">
        <f>Q615</f>
        <v>542.55999999999995</v>
      </c>
      <c r="R644" s="640"/>
      <c r="S644" s="255"/>
      <c r="T644" s="66"/>
      <c r="U644" s="2"/>
      <c r="V644" s="43"/>
    </row>
    <row r="645" spans="2:22" s="1" customFormat="1" x14ac:dyDescent="0.3">
      <c r="B645" s="325"/>
      <c r="C645" s="17"/>
      <c r="D645" s="146" t="s">
        <v>744</v>
      </c>
      <c r="E645" s="416"/>
      <c r="F645" s="603"/>
      <c r="G645" s="416"/>
      <c r="H645" s="603"/>
      <c r="I645" s="416"/>
      <c r="J645" s="603"/>
      <c r="K645" s="416"/>
      <c r="L645" s="603"/>
      <c r="M645" s="416"/>
      <c r="N645" s="603"/>
      <c r="O645" s="416"/>
      <c r="P645" s="603"/>
      <c r="Q645" s="646">
        <f>Q492</f>
        <v>113.50399999999999</v>
      </c>
      <c r="R645" s="603"/>
      <c r="S645" s="245"/>
      <c r="T645" s="66"/>
      <c r="U645" s="2"/>
      <c r="V645" s="43"/>
    </row>
    <row r="646" spans="2:22" s="1" customFormat="1" x14ac:dyDescent="0.3">
      <c r="B646" s="325"/>
      <c r="C646" s="17"/>
      <c r="D646" s="148"/>
      <c r="E646" s="192"/>
      <c r="F646" s="631"/>
      <c r="G646" s="192"/>
      <c r="H646" s="631"/>
      <c r="I646" s="192"/>
      <c r="J646" s="631"/>
      <c r="K646" s="192"/>
      <c r="L646" s="631"/>
      <c r="M646" s="192"/>
      <c r="N646" s="631"/>
      <c r="O646" s="192"/>
      <c r="P646" s="631"/>
      <c r="Q646" s="192"/>
      <c r="R646" s="631"/>
      <c r="S646" s="252"/>
      <c r="T646" s="66"/>
      <c r="U646" s="2"/>
      <c r="V646" s="43"/>
    </row>
    <row r="647" spans="2:22" s="1" customFormat="1" ht="17.25" thickBot="1" x14ac:dyDescent="0.35">
      <c r="B647" s="325"/>
      <c r="C647" s="17"/>
      <c r="D647" s="3087" t="s">
        <v>164</v>
      </c>
      <c r="E647" s="3088"/>
      <c r="F647" s="3088"/>
      <c r="G647" s="3088"/>
      <c r="H647" s="3088"/>
      <c r="I647" s="3088"/>
      <c r="J647" s="637"/>
      <c r="K647" s="196"/>
      <c r="L647" s="637"/>
      <c r="M647" s="196"/>
      <c r="N647" s="637"/>
      <c r="O647" s="196"/>
      <c r="P647" s="637"/>
      <c r="Q647" s="196">
        <f>SUM(Q644:Q646)</f>
        <v>656.06399999999996</v>
      </c>
      <c r="R647" s="637"/>
      <c r="S647" s="253"/>
      <c r="T647" s="66"/>
      <c r="U647" s="2"/>
      <c r="V647" s="43"/>
    </row>
    <row r="648" spans="2:22" x14ac:dyDescent="0.3">
      <c r="B648" s="464"/>
      <c r="C648" s="465"/>
      <c r="D648" s="453"/>
      <c r="E648" s="477"/>
      <c r="F648" s="485"/>
      <c r="G648" s="477"/>
      <c r="H648" s="485"/>
      <c r="I648" s="477"/>
      <c r="J648" s="485"/>
      <c r="K648" s="438"/>
      <c r="L648" s="482"/>
      <c r="M648" s="439"/>
      <c r="N648" s="482"/>
      <c r="O648" s="438"/>
      <c r="P648" s="482"/>
      <c r="Q648" s="477"/>
      <c r="R648" s="492"/>
      <c r="S648" s="454"/>
    </row>
    <row r="649" spans="2:22" s="1" customFormat="1" ht="17.25" thickBot="1" x14ac:dyDescent="0.35">
      <c r="B649" s="36">
        <f>RAB!B127</f>
        <v>4</v>
      </c>
      <c r="C649" s="17" t="str">
        <f>RAB!C127</f>
        <v>Pengecatan Minyak bidang besi dan Kayu (Avian)</v>
      </c>
      <c r="D649" s="38"/>
      <c r="E649" s="137"/>
      <c r="F649" s="551"/>
      <c r="G649" s="137"/>
      <c r="H649" s="551"/>
      <c r="I649" s="137"/>
      <c r="J649" s="551"/>
      <c r="K649" s="156"/>
      <c r="L649" s="501"/>
      <c r="M649" s="165"/>
      <c r="N649" s="501"/>
      <c r="O649" s="156"/>
      <c r="P649" s="501"/>
      <c r="Q649" s="137"/>
      <c r="R649" s="642"/>
      <c r="S649" s="232"/>
      <c r="T649" s="18">
        <f>ROUNDDOWN(Q656,2)</f>
        <v>70.92</v>
      </c>
      <c r="U649" s="2" t="s">
        <v>2</v>
      </c>
      <c r="V649" s="43"/>
    </row>
    <row r="650" spans="2:22" s="1" customFormat="1" x14ac:dyDescent="0.3">
      <c r="B650" s="325"/>
      <c r="C650" s="17"/>
      <c r="D650" s="8" t="s">
        <v>95</v>
      </c>
      <c r="E650" s="154" t="s">
        <v>150</v>
      </c>
      <c r="F650" s="493"/>
      <c r="G650" s="154" t="s">
        <v>151</v>
      </c>
      <c r="H650" s="493"/>
      <c r="I650" s="154" t="s">
        <v>152</v>
      </c>
      <c r="J650" s="493"/>
      <c r="K650" s="154" t="s">
        <v>153</v>
      </c>
      <c r="L650" s="494"/>
      <c r="M650" s="163" t="s">
        <v>32</v>
      </c>
      <c r="N650" s="494"/>
      <c r="O650" s="201" t="s">
        <v>163</v>
      </c>
      <c r="P650" s="494"/>
      <c r="Q650" s="202" t="s">
        <v>151</v>
      </c>
      <c r="R650" s="494"/>
      <c r="S650" s="226" t="s">
        <v>143</v>
      </c>
      <c r="T650" s="66"/>
      <c r="U650" s="2"/>
      <c r="V650" s="43"/>
    </row>
    <row r="651" spans="2:22" s="1" customFormat="1" x14ac:dyDescent="0.3">
      <c r="B651" s="325"/>
      <c r="C651" s="17"/>
      <c r="D651" s="643" t="s">
        <v>745</v>
      </c>
      <c r="E651" s="331">
        <f>E505</f>
        <v>6.8</v>
      </c>
      <c r="F651" s="575" t="s">
        <v>185</v>
      </c>
      <c r="G651" s="331"/>
      <c r="H651" s="575"/>
      <c r="I651" s="331">
        <v>1.1000000000000001</v>
      </c>
      <c r="J651" s="575"/>
      <c r="K651" s="331">
        <v>4</v>
      </c>
      <c r="L651" s="575"/>
      <c r="M651" s="331"/>
      <c r="N651" s="575"/>
      <c r="O651" s="331"/>
      <c r="P651" s="575" t="s">
        <v>114</v>
      </c>
      <c r="Q651" s="331">
        <f>I651*E651*K651</f>
        <v>29.92</v>
      </c>
      <c r="R651" s="575"/>
      <c r="S651" s="577"/>
      <c r="T651" s="66"/>
      <c r="U651" s="2"/>
      <c r="V651" s="43"/>
    </row>
    <row r="652" spans="2:22" s="32" customFormat="1" x14ac:dyDescent="0.3">
      <c r="B652" s="124"/>
      <c r="C652" s="114"/>
      <c r="D652" s="676" t="s">
        <v>747</v>
      </c>
      <c r="E652" s="554"/>
      <c r="F652" s="557"/>
      <c r="G652" s="554"/>
      <c r="H652" s="557"/>
      <c r="I652" s="554"/>
      <c r="J652" s="557"/>
      <c r="K652" s="554"/>
      <c r="L652" s="557"/>
      <c r="M652" s="554"/>
      <c r="N652" s="557"/>
      <c r="O652" s="554"/>
      <c r="P652" s="557"/>
      <c r="Q652" s="554"/>
      <c r="R652" s="557"/>
      <c r="S652" s="677"/>
      <c r="T652" s="53"/>
      <c r="U652" s="50"/>
      <c r="V652" s="51"/>
    </row>
    <row r="653" spans="2:22" s="32" customFormat="1" x14ac:dyDescent="0.3">
      <c r="B653" s="124"/>
      <c r="C653" s="114"/>
      <c r="D653" s="678" t="str">
        <f>C517</f>
        <v>Pintu Type P2</v>
      </c>
      <c r="E653" s="554">
        <f>2+2+1.5+1.5+1.5</f>
        <v>8.5</v>
      </c>
      <c r="F653" s="557" t="s">
        <v>185</v>
      </c>
      <c r="G653" s="554">
        <v>0.25</v>
      </c>
      <c r="H653" s="557" t="s">
        <v>185</v>
      </c>
      <c r="I653" s="554"/>
      <c r="J653" s="557"/>
      <c r="K653" s="554">
        <v>8</v>
      </c>
      <c r="L653" s="557"/>
      <c r="M653" s="554"/>
      <c r="N653" s="557"/>
      <c r="O653" s="554"/>
      <c r="P653" s="557" t="s">
        <v>114</v>
      </c>
      <c r="Q653" s="554">
        <f>K653*G653*E653</f>
        <v>17</v>
      </c>
      <c r="R653" s="557"/>
      <c r="S653" s="677"/>
      <c r="T653" s="53"/>
      <c r="U653" s="50"/>
      <c r="V653" s="51"/>
    </row>
    <row r="654" spans="2:22" s="32" customFormat="1" x14ac:dyDescent="0.3">
      <c r="B654" s="124"/>
      <c r="C654" s="114"/>
      <c r="D654" s="678" t="s">
        <v>768</v>
      </c>
      <c r="E654" s="554">
        <f>1.5</f>
        <v>1.5</v>
      </c>
      <c r="F654" s="557" t="s">
        <v>185</v>
      </c>
      <c r="G654" s="554">
        <v>2</v>
      </c>
      <c r="H654" s="557" t="s">
        <v>185</v>
      </c>
      <c r="I654" s="554"/>
      <c r="J654" s="557"/>
      <c r="K654" s="554">
        <v>8</v>
      </c>
      <c r="L654" s="557"/>
      <c r="M654" s="554"/>
      <c r="N654" s="557"/>
      <c r="O654" s="554"/>
      <c r="P654" s="557" t="s">
        <v>114</v>
      </c>
      <c r="Q654" s="554">
        <f>K654*G654*E654</f>
        <v>24</v>
      </c>
      <c r="R654" s="557"/>
      <c r="S654" s="677"/>
      <c r="T654" s="53"/>
      <c r="U654" s="50"/>
      <c r="V654" s="51"/>
    </row>
    <row r="655" spans="2:22" s="32" customFormat="1" x14ac:dyDescent="0.3">
      <c r="B655" s="124"/>
      <c r="C655" s="114"/>
      <c r="D655" s="679"/>
      <c r="E655" s="592"/>
      <c r="F655" s="593"/>
      <c r="G655" s="592"/>
      <c r="H655" s="593"/>
      <c r="I655" s="592"/>
      <c r="J655" s="593"/>
      <c r="K655" s="592"/>
      <c r="L655" s="593"/>
      <c r="M655" s="592"/>
      <c r="N655" s="593"/>
      <c r="O655" s="592"/>
      <c r="P655" s="593"/>
      <c r="Q655" s="592"/>
      <c r="R655" s="593"/>
      <c r="S655" s="599"/>
      <c r="T655" s="53"/>
      <c r="U655" s="50"/>
      <c r="V655" s="51"/>
    </row>
    <row r="656" spans="2:22" s="32" customFormat="1" ht="17.25" thickBot="1" x14ac:dyDescent="0.35">
      <c r="B656" s="124"/>
      <c r="C656" s="114"/>
      <c r="D656" s="3085" t="s">
        <v>164</v>
      </c>
      <c r="E656" s="3086"/>
      <c r="F656" s="3086"/>
      <c r="G656" s="3086"/>
      <c r="H656" s="3086"/>
      <c r="I656" s="3086"/>
      <c r="J656" s="680"/>
      <c r="K656" s="681"/>
      <c r="L656" s="680"/>
      <c r="M656" s="681"/>
      <c r="N656" s="680"/>
      <c r="O656" s="681"/>
      <c r="P656" s="680"/>
      <c r="Q656" s="683">
        <f>SUM(Q651:Q655)</f>
        <v>70.92</v>
      </c>
      <c r="R656" s="680"/>
      <c r="S656" s="682"/>
      <c r="T656" s="53"/>
      <c r="U656" s="50"/>
      <c r="V656" s="51"/>
    </row>
    <row r="657" spans="2:24" s="1" customFormat="1" x14ac:dyDescent="0.3">
      <c r="B657" s="325"/>
      <c r="C657" s="17"/>
      <c r="D657" s="38"/>
      <c r="E657" s="208"/>
      <c r="F657" s="551"/>
      <c r="G657" s="208"/>
      <c r="H657" s="551"/>
      <c r="I657" s="208"/>
      <c r="J657" s="551"/>
      <c r="K657" s="137"/>
      <c r="L657" s="642"/>
      <c r="M657" s="137"/>
      <c r="N657" s="642"/>
      <c r="O657" s="137"/>
      <c r="P657" s="642"/>
      <c r="Q657" s="137"/>
      <c r="R657" s="642"/>
      <c r="S657" s="241"/>
      <c r="T657" s="66"/>
      <c r="U657" s="2"/>
      <c r="V657" s="43"/>
    </row>
    <row r="658" spans="2:24" ht="17.25" thickBot="1" x14ac:dyDescent="0.35">
      <c r="B658" s="977" t="str">
        <f>RAB!B130</f>
        <v>VIII</v>
      </c>
      <c r="C658" s="112" t="str">
        <f>RAB!C130</f>
        <v>PEKERJAAN SANITAIR</v>
      </c>
      <c r="D658" s="1"/>
      <c r="E658" s="153"/>
      <c r="F658" s="480"/>
      <c r="G658" s="153"/>
      <c r="H658" s="480"/>
      <c r="I658" s="153"/>
      <c r="J658" s="480"/>
      <c r="K658" s="153"/>
      <c r="L658" s="480"/>
      <c r="M658" s="162"/>
      <c r="N658" s="480"/>
      <c r="O658" s="153"/>
      <c r="P658" s="480"/>
      <c r="Q658" s="200"/>
      <c r="R658" s="480"/>
      <c r="S658" s="224"/>
      <c r="T658" s="18"/>
      <c r="U658" s="2"/>
    </row>
    <row r="659" spans="2:24" x14ac:dyDescent="0.3">
      <c r="B659" s="325"/>
      <c r="C659" s="17"/>
      <c r="D659" s="141" t="s">
        <v>95</v>
      </c>
      <c r="E659" s="158" t="s">
        <v>150</v>
      </c>
      <c r="F659" s="641"/>
      <c r="G659" s="158" t="s">
        <v>151</v>
      </c>
      <c r="H659" s="641"/>
      <c r="I659" s="158" t="s">
        <v>152</v>
      </c>
      <c r="J659" s="641"/>
      <c r="K659" s="158" t="s">
        <v>153</v>
      </c>
      <c r="L659" s="641"/>
      <c r="M659" s="167" t="s">
        <v>32</v>
      </c>
      <c r="N659" s="641"/>
      <c r="O659" s="158" t="s">
        <v>163</v>
      </c>
      <c r="P659" s="641"/>
      <c r="Q659" s="222" t="s">
        <v>151</v>
      </c>
      <c r="R659" s="641"/>
      <c r="S659" s="242" t="s">
        <v>143</v>
      </c>
      <c r="T659" s="66"/>
      <c r="U659" s="2"/>
    </row>
    <row r="660" spans="2:24" x14ac:dyDescent="0.3">
      <c r="B660" s="325"/>
      <c r="C660" s="17"/>
      <c r="D660" s="978" t="e">
        <f>RAB!#REF!</f>
        <v>#REF!</v>
      </c>
      <c r="E660" s="979"/>
      <c r="F660" s="565"/>
      <c r="G660" s="979"/>
      <c r="H660" s="565"/>
      <c r="I660" s="979"/>
      <c r="J660" s="565"/>
      <c r="K660" s="979">
        <v>2</v>
      </c>
      <c r="L660" s="565"/>
      <c r="M660" s="979"/>
      <c r="N660" s="565"/>
      <c r="O660" s="979"/>
      <c r="P660" s="565"/>
      <c r="Q660" s="979"/>
      <c r="R660" s="565" t="s">
        <v>114</v>
      </c>
      <c r="S660" s="980">
        <f>K660</f>
        <v>2</v>
      </c>
      <c r="T660" s="972">
        <f>ROUNDDOWN(S660,2)</f>
        <v>2</v>
      </c>
      <c r="U660" s="981" t="s">
        <v>32</v>
      </c>
      <c r="W660" s="467"/>
      <c r="X660" s="467"/>
    </row>
    <row r="661" spans="2:24" x14ac:dyDescent="0.3">
      <c r="B661" s="325"/>
      <c r="C661" s="17"/>
      <c r="D661" s="988"/>
      <c r="E661" s="983"/>
      <c r="F661" s="588"/>
      <c r="G661" s="983"/>
      <c r="H661" s="588"/>
      <c r="I661" s="983"/>
      <c r="J661" s="588"/>
      <c r="K661" s="983"/>
      <c r="L661" s="588"/>
      <c r="M661" s="983"/>
      <c r="N661" s="588"/>
      <c r="O661" s="983"/>
      <c r="P661" s="588"/>
      <c r="Q661" s="983"/>
      <c r="R661" s="588"/>
      <c r="S661" s="984"/>
      <c r="T661" s="972"/>
      <c r="U661" s="981"/>
      <c r="W661" s="467"/>
      <c r="X661" s="467"/>
    </row>
    <row r="662" spans="2:24" ht="26.1" customHeight="1" x14ac:dyDescent="0.3">
      <c r="B662" s="325"/>
      <c r="C662" s="17"/>
      <c r="D662" s="982" t="e">
        <f>RAB!#REF!</f>
        <v>#REF!</v>
      </c>
      <c r="E662" s="983">
        <v>15</v>
      </c>
      <c r="F662" s="588"/>
      <c r="G662" s="983"/>
      <c r="H662" s="588"/>
      <c r="I662" s="983"/>
      <c r="J662" s="588"/>
      <c r="K662" s="983"/>
      <c r="L662" s="588"/>
      <c r="M662" s="983"/>
      <c r="N662" s="588"/>
      <c r="O662" s="983"/>
      <c r="P662" s="588"/>
      <c r="Q662" s="983"/>
      <c r="R662" s="588" t="s">
        <v>114</v>
      </c>
      <c r="S662" s="984">
        <f>E662</f>
        <v>15</v>
      </c>
      <c r="T662" s="972">
        <f t="shared" ref="T662:T671" si="9">ROUNDDOWN(S662,2)</f>
        <v>15</v>
      </c>
      <c r="U662" s="987" t="s">
        <v>27</v>
      </c>
      <c r="W662" s="1028"/>
      <c r="X662" s="467"/>
    </row>
    <row r="663" spans="2:24" x14ac:dyDescent="0.3">
      <c r="B663" s="325"/>
      <c r="C663" s="17"/>
      <c r="D663" s="985" t="e">
        <f>RAB!#REF!</f>
        <v>#REF!</v>
      </c>
      <c r="E663" s="702"/>
      <c r="F663" s="518"/>
      <c r="G663" s="702"/>
      <c r="H663" s="518"/>
      <c r="I663" s="702"/>
      <c r="J663" s="518"/>
      <c r="K663" s="702">
        <v>2</v>
      </c>
      <c r="L663" s="518"/>
      <c r="M663" s="702"/>
      <c r="N663" s="518"/>
      <c r="O663" s="702"/>
      <c r="P663" s="518"/>
      <c r="Q663" s="702"/>
      <c r="R663" s="588" t="s">
        <v>114</v>
      </c>
      <c r="S663" s="986">
        <f>K663</f>
        <v>2</v>
      </c>
      <c r="T663" s="972">
        <f t="shared" si="9"/>
        <v>2</v>
      </c>
      <c r="U663" s="987" t="s">
        <v>9</v>
      </c>
      <c r="W663" s="1028"/>
      <c r="X663" s="467"/>
    </row>
    <row r="664" spans="2:24" x14ac:dyDescent="0.3">
      <c r="B664" s="325"/>
      <c r="C664" s="17"/>
      <c r="D664" s="985" t="e">
        <f>RAB!#REF!</f>
        <v>#REF!</v>
      </c>
      <c r="E664" s="702"/>
      <c r="F664" s="518"/>
      <c r="G664" s="702"/>
      <c r="H664" s="518"/>
      <c r="I664" s="702"/>
      <c r="J664" s="518"/>
      <c r="K664" s="702">
        <v>2</v>
      </c>
      <c r="L664" s="518"/>
      <c r="M664" s="702"/>
      <c r="N664" s="518"/>
      <c r="O664" s="702"/>
      <c r="P664" s="518"/>
      <c r="Q664" s="702"/>
      <c r="R664" s="588" t="s">
        <v>114</v>
      </c>
      <c r="S664" s="986">
        <f>K664</f>
        <v>2</v>
      </c>
      <c r="T664" s="972">
        <f t="shared" si="9"/>
        <v>2</v>
      </c>
      <c r="U664" s="987" t="s">
        <v>9</v>
      </c>
      <c r="W664" s="1028"/>
      <c r="X664" s="467"/>
    </row>
    <row r="665" spans="2:24" x14ac:dyDescent="0.3">
      <c r="B665" s="325"/>
      <c r="C665" s="17"/>
      <c r="D665" s="985" t="e">
        <f>RAB!#REF!</f>
        <v>#REF!</v>
      </c>
      <c r="E665" s="702"/>
      <c r="F665" s="518"/>
      <c r="G665" s="702"/>
      <c r="H665" s="518"/>
      <c r="I665" s="702"/>
      <c r="J665" s="518"/>
      <c r="K665" s="702">
        <v>2</v>
      </c>
      <c r="L665" s="518"/>
      <c r="M665" s="702"/>
      <c r="N665" s="518"/>
      <c r="O665" s="702"/>
      <c r="P665" s="518"/>
      <c r="Q665" s="702"/>
      <c r="R665" s="588" t="s">
        <v>114</v>
      </c>
      <c r="S665" s="986">
        <f>K665</f>
        <v>2</v>
      </c>
      <c r="T665" s="972">
        <f t="shared" si="9"/>
        <v>2</v>
      </c>
      <c r="U665" s="987" t="s">
        <v>9</v>
      </c>
      <c r="W665" s="1028"/>
      <c r="X665" s="467"/>
    </row>
    <row r="666" spans="2:24" x14ac:dyDescent="0.3">
      <c r="B666" s="325"/>
      <c r="C666" s="17"/>
      <c r="D666" s="985" t="e">
        <f>RAB!#REF!</f>
        <v>#REF!</v>
      </c>
      <c r="E666" s="702">
        <v>27</v>
      </c>
      <c r="F666" s="518"/>
      <c r="G666" s="702"/>
      <c r="H666" s="518"/>
      <c r="I666" s="702"/>
      <c r="J666" s="518"/>
      <c r="K666" s="702"/>
      <c r="L666" s="518"/>
      <c r="M666" s="702"/>
      <c r="N666" s="518"/>
      <c r="O666" s="702"/>
      <c r="P666" s="518"/>
      <c r="Q666" s="702"/>
      <c r="R666" s="588" t="s">
        <v>114</v>
      </c>
      <c r="S666" s="986">
        <f>E666</f>
        <v>27</v>
      </c>
      <c r="T666" s="972">
        <f t="shared" si="9"/>
        <v>27</v>
      </c>
      <c r="U666" s="987" t="s">
        <v>27</v>
      </c>
      <c r="W666" s="1028"/>
      <c r="X666" s="467"/>
    </row>
    <row r="667" spans="2:24" ht="26.1" customHeight="1" x14ac:dyDescent="0.3">
      <c r="B667" s="325"/>
      <c r="C667" s="17"/>
      <c r="D667" s="985" t="e">
        <f>RAB!#REF!</f>
        <v>#REF!</v>
      </c>
      <c r="E667" s="702"/>
      <c r="F667" s="518"/>
      <c r="G667" s="702"/>
      <c r="H667" s="518"/>
      <c r="I667" s="702"/>
      <c r="J667" s="518"/>
      <c r="K667" s="702">
        <v>2</v>
      </c>
      <c r="L667" s="518"/>
      <c r="M667" s="702"/>
      <c r="N667" s="518"/>
      <c r="O667" s="702"/>
      <c r="P667" s="518"/>
      <c r="Q667" s="702"/>
      <c r="R667" s="588" t="s">
        <v>114</v>
      </c>
      <c r="S667" s="986">
        <f>K667</f>
        <v>2</v>
      </c>
      <c r="T667" s="972">
        <f t="shared" si="9"/>
        <v>2</v>
      </c>
      <c r="U667" s="987" t="s">
        <v>9</v>
      </c>
      <c r="W667" s="1028"/>
      <c r="X667" s="467"/>
    </row>
    <row r="668" spans="2:24" x14ac:dyDescent="0.3">
      <c r="B668" s="325"/>
      <c r="C668" s="17"/>
      <c r="D668" s="985" t="e">
        <f>RAB!#REF!</f>
        <v>#REF!</v>
      </c>
      <c r="E668" s="702"/>
      <c r="F668" s="518"/>
      <c r="G668" s="702"/>
      <c r="H668" s="518"/>
      <c r="I668" s="702"/>
      <c r="J668" s="518"/>
      <c r="K668" s="702">
        <v>2</v>
      </c>
      <c r="L668" s="518"/>
      <c r="M668" s="702"/>
      <c r="N668" s="518"/>
      <c r="O668" s="702"/>
      <c r="P668" s="518"/>
      <c r="Q668" s="702"/>
      <c r="R668" s="588" t="s">
        <v>114</v>
      </c>
      <c r="S668" s="986">
        <f>K668</f>
        <v>2</v>
      </c>
      <c r="T668" s="972">
        <f t="shared" si="9"/>
        <v>2</v>
      </c>
      <c r="U668" s="987" t="s">
        <v>9</v>
      </c>
      <c r="W668" s="1028"/>
      <c r="X668" s="467"/>
    </row>
    <row r="669" spans="2:24" x14ac:dyDescent="0.3">
      <c r="B669" s="325"/>
      <c r="C669" s="17"/>
      <c r="D669" s="985" t="e">
        <f>RAB!#REF!</f>
        <v>#REF!</v>
      </c>
      <c r="E669" s="702">
        <v>12</v>
      </c>
      <c r="F669" s="518"/>
      <c r="G669" s="702"/>
      <c r="H669" s="518"/>
      <c r="I669" s="702"/>
      <c r="J669" s="518"/>
      <c r="K669" s="702"/>
      <c r="L669" s="518"/>
      <c r="M669" s="702"/>
      <c r="N669" s="518"/>
      <c r="O669" s="702"/>
      <c r="P669" s="518"/>
      <c r="Q669" s="702"/>
      <c r="R669" s="588" t="s">
        <v>114</v>
      </c>
      <c r="S669" s="986">
        <f>E669</f>
        <v>12</v>
      </c>
      <c r="T669" s="972">
        <f t="shared" si="9"/>
        <v>12</v>
      </c>
      <c r="U669" s="987" t="s">
        <v>27</v>
      </c>
      <c r="W669" s="1028"/>
      <c r="X669" s="467"/>
    </row>
    <row r="670" spans="2:24" ht="26.1" customHeight="1" x14ac:dyDescent="0.3">
      <c r="B670" s="325"/>
      <c r="C670" s="17"/>
      <c r="D670" s="985" t="e">
        <f>RAB!#REF!</f>
        <v>#REF!</v>
      </c>
      <c r="E670" s="702"/>
      <c r="F670" s="518"/>
      <c r="G670" s="702"/>
      <c r="H670" s="518"/>
      <c r="I670" s="702"/>
      <c r="J670" s="518"/>
      <c r="K670" s="702">
        <v>1</v>
      </c>
      <c r="L670" s="518"/>
      <c r="M670" s="702"/>
      <c r="N670" s="518"/>
      <c r="O670" s="702"/>
      <c r="P670" s="518"/>
      <c r="Q670" s="702"/>
      <c r="R670" s="588" t="s">
        <v>114</v>
      </c>
      <c r="S670" s="986">
        <f>K670</f>
        <v>1</v>
      </c>
      <c r="T670" s="972">
        <f t="shared" si="9"/>
        <v>1</v>
      </c>
      <c r="U670" s="987" t="s">
        <v>837</v>
      </c>
      <c r="W670" s="1028"/>
      <c r="X670" s="467"/>
    </row>
    <row r="671" spans="2:24" ht="26.1" customHeight="1" x14ac:dyDescent="0.3">
      <c r="B671" s="325"/>
      <c r="C671" s="17"/>
      <c r="D671" s="985" t="e">
        <f>RAB!#REF!</f>
        <v>#REF!</v>
      </c>
      <c r="E671" s="702"/>
      <c r="F671" s="518"/>
      <c r="G671" s="702"/>
      <c r="H671" s="518"/>
      <c r="I671" s="702"/>
      <c r="J671" s="518"/>
      <c r="K671" s="702">
        <v>1</v>
      </c>
      <c r="L671" s="518"/>
      <c r="M671" s="702"/>
      <c r="N671" s="518"/>
      <c r="O671" s="702"/>
      <c r="P671" s="518"/>
      <c r="Q671" s="702"/>
      <c r="R671" s="588" t="s">
        <v>114</v>
      </c>
      <c r="S671" s="986">
        <f>K671</f>
        <v>1</v>
      </c>
      <c r="T671" s="972">
        <f t="shared" si="9"/>
        <v>1</v>
      </c>
      <c r="U671" s="987" t="s">
        <v>132</v>
      </c>
      <c r="W671" s="1028"/>
      <c r="X671" s="467"/>
    </row>
    <row r="672" spans="2:24" x14ac:dyDescent="0.3">
      <c r="B672" s="473"/>
      <c r="C672" s="465"/>
      <c r="D672" s="970"/>
      <c r="E672" s="695"/>
      <c r="F672" s="692"/>
      <c r="G672" s="695"/>
      <c r="H672" s="692"/>
      <c r="I672" s="695"/>
      <c r="J672" s="692"/>
      <c r="K672" s="695"/>
      <c r="L672" s="692"/>
      <c r="M672" s="695"/>
      <c r="N672" s="692"/>
      <c r="O672" s="695"/>
      <c r="P672" s="692"/>
      <c r="Q672" s="695"/>
      <c r="R672" s="692"/>
      <c r="S672" s="693"/>
      <c r="T672" s="474"/>
      <c r="W672" s="467"/>
      <c r="X672" s="467"/>
    </row>
    <row r="673" spans="2:24" x14ac:dyDescent="0.3">
      <c r="B673" s="473"/>
      <c r="C673" s="465"/>
      <c r="D673" s="990" t="str">
        <f>RAB!C131</f>
        <v>Instalasi Pipa Air Bersih Pipa PPR PN 10.</v>
      </c>
      <c r="E673" s="1161"/>
      <c r="F673" s="517"/>
      <c r="G673" s="1161"/>
      <c r="H673" s="517"/>
      <c r="I673" s="1161"/>
      <c r="J673" s="517"/>
      <c r="K673" s="1161"/>
      <c r="L673" s="517"/>
      <c r="M673" s="1161"/>
      <c r="N673" s="517"/>
      <c r="O673" s="1161"/>
      <c r="P673" s="517"/>
      <c r="Q673" s="1161"/>
      <c r="R673" s="517"/>
      <c r="S673" s="519"/>
      <c r="T673" s="474"/>
      <c r="U673" s="987"/>
      <c r="W673" s="467"/>
      <c r="X673" s="467"/>
    </row>
    <row r="674" spans="2:24" x14ac:dyDescent="0.3">
      <c r="B674" s="473"/>
      <c r="C674" s="465"/>
      <c r="D674" s="991" t="str">
        <f>RAB!D132</f>
        <v>Dia. 20 mm (1/2")</v>
      </c>
      <c r="E674" s="1161">
        <v>60</v>
      </c>
      <c r="F674" s="517"/>
      <c r="G674" s="1161"/>
      <c r="H674" s="517"/>
      <c r="I674" s="1161"/>
      <c r="J674" s="517"/>
      <c r="K674" s="1161"/>
      <c r="L674" s="517"/>
      <c r="M674" s="1161"/>
      <c r="N674" s="517"/>
      <c r="O674" s="1161"/>
      <c r="P674" s="517"/>
      <c r="Q674" s="1161"/>
      <c r="R674" s="588" t="s">
        <v>114</v>
      </c>
      <c r="S674" s="986">
        <f>E674</f>
        <v>60</v>
      </c>
      <c r="T674" s="972">
        <f t="shared" ref="T674:T684" si="10">ROUNDDOWN(S674,2)</f>
        <v>60</v>
      </c>
      <c r="U674" s="987" t="s">
        <v>27</v>
      </c>
      <c r="W674" s="1029"/>
      <c r="X674" s="1030"/>
    </row>
    <row r="675" spans="2:24" x14ac:dyDescent="0.3">
      <c r="B675" s="473"/>
      <c r="C675" s="465"/>
      <c r="D675" s="991" t="str">
        <f>RAB!D133</f>
        <v xml:space="preserve">Gate Valve Dia 15 mm (1/2") </v>
      </c>
      <c r="E675" s="1161">
        <v>1</v>
      </c>
      <c r="F675" s="517"/>
      <c r="G675" s="1161"/>
      <c r="H675" s="517"/>
      <c r="I675" s="1161"/>
      <c r="J675" s="517"/>
      <c r="K675" s="1161"/>
      <c r="L675" s="517"/>
      <c r="M675" s="1161"/>
      <c r="N675" s="517"/>
      <c r="O675" s="1161"/>
      <c r="P675" s="517"/>
      <c r="Q675" s="1161"/>
      <c r="R675" s="588" t="s">
        <v>114</v>
      </c>
      <c r="S675" s="986">
        <f>E675</f>
        <v>1</v>
      </c>
      <c r="T675" s="972">
        <f t="shared" si="10"/>
        <v>1</v>
      </c>
      <c r="U675" s="987" t="s">
        <v>9</v>
      </c>
      <c r="W675" s="1029"/>
      <c r="X675" s="1030"/>
    </row>
    <row r="676" spans="2:24" x14ac:dyDescent="0.3">
      <c r="B676" s="473"/>
      <c r="C676" s="465"/>
      <c r="D676" s="990"/>
      <c r="E676" s="1161"/>
      <c r="F676" s="517"/>
      <c r="G676" s="1161"/>
      <c r="H676" s="517"/>
      <c r="I676" s="1161"/>
      <c r="J676" s="517"/>
      <c r="K676" s="1161"/>
      <c r="L676" s="517"/>
      <c r="M676" s="1161"/>
      <c r="N676" s="517"/>
      <c r="O676" s="1161"/>
      <c r="P676" s="517"/>
      <c r="Q676" s="1161"/>
      <c r="R676" s="588"/>
      <c r="S676" s="986"/>
      <c r="T676" s="972"/>
      <c r="W676" s="1029"/>
      <c r="X676" s="1030"/>
    </row>
    <row r="677" spans="2:24" ht="27" x14ac:dyDescent="0.3">
      <c r="B677" s="473"/>
      <c r="C677" s="465"/>
      <c r="D677" s="992" t="str">
        <f>RAB!C134</f>
        <v>Instalasi Pipa Air kotor dan bekas pipa PVC class AW 10 kg/cm3.</v>
      </c>
      <c r="E677" s="1161"/>
      <c r="F677" s="517"/>
      <c r="G677" s="1161"/>
      <c r="H677" s="517"/>
      <c r="I677" s="1161"/>
      <c r="J677" s="517"/>
      <c r="K677" s="1161"/>
      <c r="L677" s="517"/>
      <c r="M677" s="1161"/>
      <c r="N677" s="517"/>
      <c r="O677" s="1161"/>
      <c r="P677" s="517"/>
      <c r="Q677" s="1161"/>
      <c r="R677" s="588"/>
      <c r="S677" s="986"/>
      <c r="T677" s="972"/>
      <c r="W677" s="1028"/>
      <c r="X677" s="971"/>
    </row>
    <row r="678" spans="2:24" x14ac:dyDescent="0.3">
      <c r="B678" s="473"/>
      <c r="C678" s="465"/>
      <c r="D678" s="991" t="str">
        <f>RAB!D135</f>
        <v>Dia. 150 mm (6") tinja</v>
      </c>
      <c r="E678" s="1161">
        <v>6</v>
      </c>
      <c r="F678" s="517" t="s">
        <v>185</v>
      </c>
      <c r="G678" s="1161"/>
      <c r="H678" s="517"/>
      <c r="I678" s="1161"/>
      <c r="J678" s="517"/>
      <c r="K678" s="1161">
        <f>2*2+4</f>
        <v>8</v>
      </c>
      <c r="L678" s="517"/>
      <c r="M678" s="1161"/>
      <c r="N678" s="517"/>
      <c r="O678" s="1161"/>
      <c r="P678" s="517"/>
      <c r="Q678" s="1161"/>
      <c r="R678" s="588" t="s">
        <v>114</v>
      </c>
      <c r="S678" s="986">
        <v>15</v>
      </c>
      <c r="T678" s="972">
        <f t="shared" si="10"/>
        <v>15</v>
      </c>
      <c r="U678" s="987" t="s">
        <v>27</v>
      </c>
      <c r="W678" s="1028"/>
      <c r="X678" s="971"/>
    </row>
    <row r="679" spans="2:24" x14ac:dyDescent="0.3">
      <c r="B679" s="473"/>
      <c r="C679" s="465"/>
      <c r="D679" s="991" t="str">
        <f>RAB!D136</f>
        <v>Dia. 150 mm (6") Air kotor</v>
      </c>
      <c r="E679" s="1161">
        <v>30</v>
      </c>
      <c r="F679" s="517"/>
      <c r="G679" s="1161"/>
      <c r="H679" s="517"/>
      <c r="I679" s="1161"/>
      <c r="J679" s="517"/>
      <c r="K679" s="1161"/>
      <c r="L679" s="517"/>
      <c r="M679" s="1161"/>
      <c r="N679" s="517"/>
      <c r="O679" s="1161"/>
      <c r="P679" s="517"/>
      <c r="Q679" s="1161"/>
      <c r="R679" s="588" t="s">
        <v>114</v>
      </c>
      <c r="S679" s="986">
        <f>E679</f>
        <v>30</v>
      </c>
      <c r="T679" s="972">
        <f t="shared" si="10"/>
        <v>30</v>
      </c>
      <c r="U679" s="987" t="s">
        <v>27</v>
      </c>
      <c r="W679" s="1028"/>
      <c r="X679" s="971"/>
    </row>
    <row r="680" spans="2:24" x14ac:dyDescent="0.3">
      <c r="B680" s="473"/>
      <c r="C680" s="465"/>
      <c r="D680" s="991" t="str">
        <f>RAB!D137</f>
        <v>Dia. 100 mm (4") Air hujan</v>
      </c>
      <c r="E680" s="1161">
        <v>6</v>
      </c>
      <c r="F680" s="517" t="s">
        <v>185</v>
      </c>
      <c r="G680" s="1161"/>
      <c r="H680" s="517"/>
      <c r="I680" s="1161"/>
      <c r="J680" s="517"/>
      <c r="K680" s="1161">
        <v>12</v>
      </c>
      <c r="L680" s="517"/>
      <c r="M680" s="1161"/>
      <c r="N680" s="517"/>
      <c r="O680" s="1161"/>
      <c r="P680" s="517"/>
      <c r="Q680" s="1161"/>
      <c r="R680" s="588" t="s">
        <v>114</v>
      </c>
      <c r="S680" s="986">
        <f>K680*E680</f>
        <v>72</v>
      </c>
      <c r="T680" s="972">
        <f t="shared" si="10"/>
        <v>72</v>
      </c>
      <c r="U680" s="987" t="s">
        <v>27</v>
      </c>
      <c r="W680" s="1028"/>
      <c r="X680" s="971"/>
    </row>
    <row r="681" spans="2:24" x14ac:dyDescent="0.3">
      <c r="B681" s="473"/>
      <c r="C681" s="465"/>
      <c r="D681" s="970"/>
      <c r="E681" s="695"/>
      <c r="F681" s="692"/>
      <c r="G681" s="695"/>
      <c r="H681" s="692"/>
      <c r="I681" s="695"/>
      <c r="J681" s="692"/>
      <c r="K681" s="695"/>
      <c r="L681" s="692"/>
      <c r="M681" s="695"/>
      <c r="N681" s="692"/>
      <c r="O681" s="695"/>
      <c r="P681" s="692"/>
      <c r="Q681" s="695"/>
      <c r="R681" s="692"/>
      <c r="S681" s="693"/>
      <c r="T681" s="474"/>
      <c r="W681" s="467"/>
      <c r="X681" s="467"/>
    </row>
    <row r="682" spans="2:24" s="1" customFormat="1" x14ac:dyDescent="0.3">
      <c r="B682" s="325"/>
      <c r="C682" s="17"/>
      <c r="D682" s="991" t="str">
        <f>RAB!C138</f>
        <v>Kloset Jongkok porselin</v>
      </c>
      <c r="E682" s="1161"/>
      <c r="F682" s="517"/>
      <c r="G682" s="1161"/>
      <c r="H682" s="517"/>
      <c r="I682" s="1161"/>
      <c r="J682" s="517"/>
      <c r="K682" s="1161">
        <v>8</v>
      </c>
      <c r="L682" s="517"/>
      <c r="M682" s="1161"/>
      <c r="N682" s="517"/>
      <c r="O682" s="1161"/>
      <c r="P682" s="517"/>
      <c r="Q682" s="1161"/>
      <c r="R682" s="588" t="s">
        <v>114</v>
      </c>
      <c r="S682" s="986">
        <f>K682</f>
        <v>8</v>
      </c>
      <c r="T682" s="972">
        <f t="shared" si="10"/>
        <v>8</v>
      </c>
      <c r="U682" s="987" t="s">
        <v>9</v>
      </c>
      <c r="V682" s="43"/>
    </row>
    <row r="683" spans="2:24" s="1" customFormat="1" x14ac:dyDescent="0.3">
      <c r="B683" s="325"/>
      <c r="C683" s="17"/>
      <c r="D683" s="991" t="str">
        <f>RAB!C139</f>
        <v xml:space="preserve">Floor Drain Stainless staill </v>
      </c>
      <c r="E683" s="1161"/>
      <c r="F683" s="517"/>
      <c r="G683" s="1161"/>
      <c r="H683" s="517"/>
      <c r="I683" s="1161"/>
      <c r="J683" s="517"/>
      <c r="K683" s="1161">
        <v>8</v>
      </c>
      <c r="L683" s="517"/>
      <c r="M683" s="1161"/>
      <c r="N683" s="517"/>
      <c r="O683" s="1161"/>
      <c r="P683" s="517"/>
      <c r="Q683" s="1161"/>
      <c r="R683" s="588" t="s">
        <v>114</v>
      </c>
      <c r="S683" s="986">
        <f>K683</f>
        <v>8</v>
      </c>
      <c r="T683" s="972">
        <f t="shared" si="10"/>
        <v>8</v>
      </c>
      <c r="U683" s="987" t="s">
        <v>9</v>
      </c>
      <c r="V683" s="43"/>
    </row>
    <row r="684" spans="2:24" s="1" customFormat="1" x14ac:dyDescent="0.3">
      <c r="B684" s="325"/>
      <c r="C684" s="17"/>
      <c r="D684" s="991" t="str">
        <f>RAB!C140</f>
        <v>Kran air Stainless staill 1/2 inc</v>
      </c>
      <c r="E684" s="1161"/>
      <c r="F684" s="517"/>
      <c r="G684" s="1161"/>
      <c r="H684" s="517"/>
      <c r="I684" s="1161"/>
      <c r="J684" s="517"/>
      <c r="K684" s="1161">
        <v>8</v>
      </c>
      <c r="L684" s="517"/>
      <c r="M684" s="1161"/>
      <c r="N684" s="517"/>
      <c r="O684" s="1161"/>
      <c r="P684" s="517"/>
      <c r="Q684" s="1161"/>
      <c r="R684" s="588" t="s">
        <v>114</v>
      </c>
      <c r="S684" s="986">
        <f>K684</f>
        <v>8</v>
      </c>
      <c r="T684" s="972">
        <f t="shared" si="10"/>
        <v>8</v>
      </c>
      <c r="U684" s="987" t="s">
        <v>9</v>
      </c>
      <c r="V684" s="43"/>
    </row>
    <row r="685" spans="2:24" x14ac:dyDescent="0.3">
      <c r="B685" s="473"/>
      <c r="C685" s="465"/>
      <c r="D685" s="989"/>
      <c r="E685" s="695"/>
      <c r="F685" s="692"/>
      <c r="G685" s="695"/>
      <c r="H685" s="692"/>
      <c r="I685" s="695"/>
      <c r="J685" s="692"/>
      <c r="K685" s="695"/>
      <c r="L685" s="692"/>
      <c r="M685" s="695"/>
      <c r="N685" s="692"/>
      <c r="O685" s="695"/>
      <c r="P685" s="692"/>
      <c r="Q685" s="695"/>
      <c r="R685" s="692"/>
      <c r="S685" s="693"/>
      <c r="T685" s="474"/>
    </row>
    <row r="686" spans="2:24" s="1" customFormat="1" x14ac:dyDescent="0.3">
      <c r="B686" s="325"/>
      <c r="C686" s="17"/>
      <c r="D686" s="990" t="str">
        <f>RAB!C141</f>
        <v>Septiktank  &amp; Resapan</v>
      </c>
      <c r="E686" s="1161"/>
      <c r="F686" s="517"/>
      <c r="G686" s="1161"/>
      <c r="H686" s="517"/>
      <c r="I686" s="1161"/>
      <c r="J686" s="517"/>
      <c r="K686" s="1161"/>
      <c r="L686" s="517"/>
      <c r="M686" s="1161"/>
      <c r="N686" s="517"/>
      <c r="O686" s="1161"/>
      <c r="P686" s="517"/>
      <c r="Q686" s="1161"/>
      <c r="R686" s="517"/>
      <c r="S686" s="519"/>
      <c r="T686" s="134"/>
      <c r="U686" s="2"/>
      <c r="V686" s="43"/>
    </row>
    <row r="687" spans="2:24" s="1" customFormat="1" x14ac:dyDescent="0.3">
      <c r="B687" s="325"/>
      <c r="C687" s="17"/>
      <c r="D687" s="991" t="str">
        <f>RAB!D142</f>
        <v xml:space="preserve">- Galian Tanah </v>
      </c>
      <c r="E687" s="1161"/>
      <c r="F687" s="517"/>
      <c r="G687" s="1161"/>
      <c r="H687" s="517"/>
      <c r="I687" s="1161"/>
      <c r="J687" s="517"/>
      <c r="K687" s="1161"/>
      <c r="L687" s="517"/>
      <c r="M687" s="1161"/>
      <c r="N687" s="517"/>
      <c r="O687" s="1161"/>
      <c r="P687" s="517"/>
      <c r="Q687" s="1161"/>
      <c r="R687" s="517"/>
      <c r="S687" s="519">
        <f>SUM(S688:S689)</f>
        <v>12.600000000000001</v>
      </c>
      <c r="T687" s="972">
        <f>ROUNDDOWN(S687,2)</f>
        <v>12.6</v>
      </c>
      <c r="U687" s="987" t="s">
        <v>3</v>
      </c>
      <c r="V687" s="43"/>
    </row>
    <row r="688" spans="2:24" s="1" customFormat="1" x14ac:dyDescent="0.3">
      <c r="B688" s="325"/>
      <c r="C688" s="17"/>
      <c r="D688" s="991" t="s">
        <v>838</v>
      </c>
      <c r="E688" s="1161">
        <v>3</v>
      </c>
      <c r="F688" s="517" t="s">
        <v>185</v>
      </c>
      <c r="G688" s="1161">
        <v>1.8</v>
      </c>
      <c r="H688" s="517" t="s">
        <v>185</v>
      </c>
      <c r="I688" s="1161">
        <v>1.5</v>
      </c>
      <c r="J688" s="517"/>
      <c r="K688" s="1161"/>
      <c r="L688" s="517"/>
      <c r="M688" s="1161"/>
      <c r="N688" s="517"/>
      <c r="O688" s="1161"/>
      <c r="P688" s="517"/>
      <c r="Q688" s="1161"/>
      <c r="R688" s="517" t="s">
        <v>114</v>
      </c>
      <c r="S688" s="519">
        <f>I688*G688*E688</f>
        <v>8.1000000000000014</v>
      </c>
      <c r="T688" s="134"/>
      <c r="U688" s="2"/>
      <c r="V688" s="43"/>
    </row>
    <row r="689" spans="2:23" s="1" customFormat="1" x14ac:dyDescent="0.3">
      <c r="B689" s="325"/>
      <c r="C689" s="17"/>
      <c r="D689" s="991" t="s">
        <v>839</v>
      </c>
      <c r="E689" s="1161">
        <v>2</v>
      </c>
      <c r="F689" s="517" t="s">
        <v>185</v>
      </c>
      <c r="G689" s="1161">
        <v>1.5</v>
      </c>
      <c r="H689" s="517" t="s">
        <v>185</v>
      </c>
      <c r="I689" s="1161">
        <v>1.5</v>
      </c>
      <c r="J689" s="517"/>
      <c r="K689" s="1161"/>
      <c r="L689" s="517"/>
      <c r="M689" s="1161"/>
      <c r="N689" s="517"/>
      <c r="O689" s="1161"/>
      <c r="P689" s="517"/>
      <c r="Q689" s="1161"/>
      <c r="R689" s="517" t="s">
        <v>114</v>
      </c>
      <c r="S689" s="519">
        <f>I689*G689*E689</f>
        <v>4.5</v>
      </c>
      <c r="T689" s="134"/>
      <c r="U689" s="2"/>
      <c r="V689" s="43"/>
    </row>
    <row r="690" spans="2:23" s="1" customFormat="1" x14ac:dyDescent="0.3">
      <c r="B690" s="325"/>
      <c r="C690" s="17"/>
      <c r="D690" s="991" t="str">
        <f>RAB!D143</f>
        <v>- Pasangan Batu-Bata 1 : 4</v>
      </c>
      <c r="E690" s="1161"/>
      <c r="F690" s="517"/>
      <c r="G690" s="1161"/>
      <c r="H690" s="517"/>
      <c r="I690" s="1161"/>
      <c r="J690" s="517"/>
      <c r="K690" s="1161"/>
      <c r="L690" s="517"/>
      <c r="M690" s="1161"/>
      <c r="N690" s="517"/>
      <c r="O690" s="1161"/>
      <c r="P690" s="517"/>
      <c r="Q690" s="327">
        <f>SUM(Q691:Q692)</f>
        <v>31.5</v>
      </c>
      <c r="R690" s="517"/>
      <c r="S690" s="519"/>
      <c r="T690" s="972">
        <f>ROUNDDOWN(Q690,2)</f>
        <v>31.5</v>
      </c>
      <c r="U690" s="987" t="s">
        <v>2</v>
      </c>
      <c r="V690" s="43"/>
    </row>
    <row r="691" spans="2:23" s="1" customFormat="1" x14ac:dyDescent="0.3">
      <c r="B691" s="325"/>
      <c r="C691" s="17"/>
      <c r="D691" s="991" t="s">
        <v>838</v>
      </c>
      <c r="E691" s="1161">
        <f>(2.6+1.6)*3</f>
        <v>12.600000000000001</v>
      </c>
      <c r="F691" s="517" t="s">
        <v>185</v>
      </c>
      <c r="G691" s="1161">
        <v>1.5</v>
      </c>
      <c r="H691" s="517"/>
      <c r="I691" s="1161"/>
      <c r="J691" s="517"/>
      <c r="K691" s="1161"/>
      <c r="L691" s="517"/>
      <c r="M691" s="1161"/>
      <c r="N691" s="517"/>
      <c r="O691" s="1161"/>
      <c r="P691" s="517" t="s">
        <v>114</v>
      </c>
      <c r="Q691" s="1161">
        <f>G691*E691</f>
        <v>18.900000000000002</v>
      </c>
      <c r="R691" s="517"/>
      <c r="S691" s="519"/>
      <c r="T691" s="134"/>
      <c r="U691" s="2"/>
      <c r="V691" s="43"/>
    </row>
    <row r="692" spans="2:23" s="1" customFormat="1" x14ac:dyDescent="0.3">
      <c r="B692" s="325"/>
      <c r="C692" s="17"/>
      <c r="D692" s="991" t="s">
        <v>839</v>
      </c>
      <c r="E692" s="1161">
        <f>(1.6+1.2)*3</f>
        <v>8.3999999999999986</v>
      </c>
      <c r="F692" s="517" t="s">
        <v>185</v>
      </c>
      <c r="G692" s="1161">
        <v>1.5</v>
      </c>
      <c r="H692" s="517"/>
      <c r="I692" s="1161"/>
      <c r="J692" s="517"/>
      <c r="K692" s="1161"/>
      <c r="L692" s="517"/>
      <c r="M692" s="1161"/>
      <c r="N692" s="517"/>
      <c r="O692" s="1161"/>
      <c r="P692" s="517" t="s">
        <v>114</v>
      </c>
      <c r="Q692" s="1161">
        <f>G692*E692</f>
        <v>12.599999999999998</v>
      </c>
      <c r="R692" s="517"/>
      <c r="S692" s="519"/>
      <c r="T692" s="134"/>
      <c r="U692" s="2"/>
      <c r="V692" s="43"/>
    </row>
    <row r="693" spans="2:23" s="1" customFormat="1" x14ac:dyDescent="0.3">
      <c r="B693" s="325"/>
      <c r="C693" s="17"/>
      <c r="D693" s="991" t="str">
        <f>RAB!D144</f>
        <v>- Plasteran 1 : 2 Tebal 1,5 cm</v>
      </c>
      <c r="E693" s="1161"/>
      <c r="F693" s="517"/>
      <c r="G693" s="1161"/>
      <c r="H693" s="517"/>
      <c r="I693" s="1161"/>
      <c r="J693" s="517"/>
      <c r="K693" s="1161">
        <f>Q690</f>
        <v>31.5</v>
      </c>
      <c r="L693" s="517" t="s">
        <v>185</v>
      </c>
      <c r="M693" s="1161"/>
      <c r="N693" s="517"/>
      <c r="O693" s="1161">
        <v>1</v>
      </c>
      <c r="P693" s="517" t="s">
        <v>114</v>
      </c>
      <c r="Q693" s="1161">
        <f>O693*K693</f>
        <v>31.5</v>
      </c>
      <c r="R693" s="517"/>
      <c r="S693" s="519"/>
      <c r="T693" s="972">
        <f>ROUNDDOWN(Q693,2)</f>
        <v>31.5</v>
      </c>
      <c r="U693" s="987" t="s">
        <v>2</v>
      </c>
      <c r="V693" s="43"/>
    </row>
    <row r="694" spans="2:23" ht="27" x14ac:dyDescent="0.3">
      <c r="B694" s="473"/>
      <c r="C694" s="465"/>
      <c r="D694" s="993" t="str">
        <f>RAB!D145</f>
        <v>- Beton mutu f'c=14,5 Mpa (K 175) Lantai dan Cover</v>
      </c>
      <c r="E694" s="695"/>
      <c r="F694" s="692"/>
      <c r="G694" s="695"/>
      <c r="H694" s="692"/>
      <c r="I694" s="695"/>
      <c r="J694" s="692"/>
      <c r="K694" s="695"/>
      <c r="L694" s="692"/>
      <c r="M694" s="695"/>
      <c r="N694" s="692"/>
      <c r="O694" s="695"/>
      <c r="P694" s="692"/>
      <c r="Q694" s="695"/>
      <c r="R694" s="692"/>
      <c r="S694" s="519">
        <f>SUM(S695:S696)</f>
        <v>0.67200000000000004</v>
      </c>
      <c r="T694" s="972">
        <f>ROUNDDOWN(S694,2)</f>
        <v>0.67</v>
      </c>
      <c r="U694" s="987" t="s">
        <v>3</v>
      </c>
    </row>
    <row r="695" spans="2:23" s="1" customFormat="1" x14ac:dyDescent="0.3">
      <c r="B695" s="325"/>
      <c r="C695" s="17"/>
      <c r="D695" s="991" t="s">
        <v>838</v>
      </c>
      <c r="E695" s="1161">
        <v>3</v>
      </c>
      <c r="F695" s="517" t="s">
        <v>185</v>
      </c>
      <c r="G695" s="1161">
        <v>1.8</v>
      </c>
      <c r="H695" s="517" t="s">
        <v>185</v>
      </c>
      <c r="I695" s="1161">
        <v>0.08</v>
      </c>
      <c r="J695" s="517"/>
      <c r="K695" s="1161"/>
      <c r="L695" s="517"/>
      <c r="M695" s="1161"/>
      <c r="N695" s="517"/>
      <c r="O695" s="1161"/>
      <c r="P695" s="517"/>
      <c r="Q695" s="1161"/>
      <c r="R695" s="517" t="s">
        <v>114</v>
      </c>
      <c r="S695" s="519">
        <f>I695*G695*E695</f>
        <v>0.43200000000000005</v>
      </c>
      <c r="T695" s="134"/>
      <c r="U695" s="2"/>
      <c r="V695" s="43"/>
    </row>
    <row r="696" spans="2:23" s="1" customFormat="1" x14ac:dyDescent="0.3">
      <c r="B696" s="325"/>
      <c r="C696" s="17"/>
      <c r="D696" s="991" t="s">
        <v>839</v>
      </c>
      <c r="E696" s="1161">
        <v>2</v>
      </c>
      <c r="F696" s="517" t="s">
        <v>185</v>
      </c>
      <c r="G696" s="1161">
        <v>1.5</v>
      </c>
      <c r="H696" s="517" t="s">
        <v>185</v>
      </c>
      <c r="I696" s="1161">
        <f>I695</f>
        <v>0.08</v>
      </c>
      <c r="J696" s="517"/>
      <c r="K696" s="1161"/>
      <c r="L696" s="517"/>
      <c r="M696" s="1161"/>
      <c r="N696" s="517"/>
      <c r="O696" s="1161"/>
      <c r="P696" s="517"/>
      <c r="Q696" s="1161"/>
      <c r="R696" s="517" t="s">
        <v>114</v>
      </c>
      <c r="S696" s="519">
        <f>I696*G696*E696</f>
        <v>0.24</v>
      </c>
      <c r="T696" s="134"/>
      <c r="U696" s="2"/>
      <c r="V696" s="43"/>
    </row>
    <row r="697" spans="2:23" s="1" customFormat="1" x14ac:dyDescent="0.3">
      <c r="B697" s="325"/>
      <c r="C697" s="17"/>
      <c r="D697" s="991" t="str">
        <f>RAB!D146</f>
        <v>- Pembesian dengan Besi Polos</v>
      </c>
      <c r="E697" s="1161"/>
      <c r="F697" s="517"/>
      <c r="G697" s="1161"/>
      <c r="H697" s="517"/>
      <c r="I697" s="1161"/>
      <c r="J697" s="517"/>
      <c r="K697" s="1161"/>
      <c r="L697" s="517"/>
      <c r="M697" s="1161"/>
      <c r="N697" s="517"/>
      <c r="O697" s="1161"/>
      <c r="P697" s="517"/>
      <c r="Q697" s="1161"/>
      <c r="R697" s="517"/>
      <c r="S697" s="519">
        <f>SUM(S698:S703)</f>
        <v>220.06914285714288</v>
      </c>
      <c r="T697" s="972">
        <f>ROUNDDOWN(S697,2)</f>
        <v>220.06</v>
      </c>
      <c r="U697" s="987" t="s">
        <v>0</v>
      </c>
      <c r="V697" s="43"/>
    </row>
    <row r="698" spans="2:23" s="1" customFormat="1" x14ac:dyDescent="0.3">
      <c r="B698" s="325"/>
      <c r="C698" s="17"/>
      <c r="D698" s="991" t="s">
        <v>838</v>
      </c>
      <c r="E698" s="1161"/>
      <c r="F698" s="517"/>
      <c r="G698" s="1161"/>
      <c r="H698" s="517"/>
      <c r="I698" s="1161"/>
      <c r="J698" s="517"/>
      <c r="K698" s="1161"/>
      <c r="L698" s="517"/>
      <c r="M698" s="1161"/>
      <c r="N698" s="517"/>
      <c r="O698" s="1161"/>
      <c r="P698" s="517"/>
      <c r="Q698" s="1161"/>
      <c r="R698" s="517"/>
      <c r="S698" s="519"/>
      <c r="T698" s="134"/>
      <c r="U698" s="2"/>
      <c r="V698" s="43"/>
      <c r="W698" s="37">
        <f>E699/0.15</f>
        <v>24</v>
      </c>
    </row>
    <row r="699" spans="2:23" s="1" customFormat="1" x14ac:dyDescent="0.3">
      <c r="B699" s="325"/>
      <c r="C699" s="17"/>
      <c r="D699" s="994" t="s">
        <v>840</v>
      </c>
      <c r="E699" s="1161">
        <v>3.6</v>
      </c>
      <c r="F699" s="517" t="s">
        <v>185</v>
      </c>
      <c r="G699" s="1161"/>
      <c r="H699" s="517"/>
      <c r="I699" s="1161"/>
      <c r="J699" s="517"/>
      <c r="K699" s="1161">
        <v>2</v>
      </c>
      <c r="L699" s="517" t="s">
        <v>185</v>
      </c>
      <c r="M699" s="1161">
        <v>16</v>
      </c>
      <c r="N699" s="517" t="s">
        <v>185</v>
      </c>
      <c r="O699" s="1161">
        <v>7850</v>
      </c>
      <c r="P699" s="517" t="s">
        <v>185</v>
      </c>
      <c r="Q699" s="1161">
        <f>22/7*0.005*0.005</f>
        <v>7.857142857142858E-5</v>
      </c>
      <c r="R699" s="517" t="s">
        <v>114</v>
      </c>
      <c r="S699" s="519">
        <f>Q699*O699*M699*K699*E699</f>
        <v>71.053714285714292</v>
      </c>
      <c r="T699" s="134"/>
      <c r="U699" s="2"/>
      <c r="V699" s="43"/>
      <c r="W699" s="37">
        <f>E700/0.15</f>
        <v>16</v>
      </c>
    </row>
    <row r="700" spans="2:23" s="1" customFormat="1" x14ac:dyDescent="0.3">
      <c r="B700" s="325"/>
      <c r="C700" s="17"/>
      <c r="D700" s="994" t="s">
        <v>252</v>
      </c>
      <c r="E700" s="1161">
        <v>2.4</v>
      </c>
      <c r="F700" s="517" t="s">
        <v>185</v>
      </c>
      <c r="G700" s="1161"/>
      <c r="H700" s="517"/>
      <c r="I700" s="1161"/>
      <c r="J700" s="517"/>
      <c r="K700" s="1161">
        <v>2</v>
      </c>
      <c r="L700" s="517" t="s">
        <v>185</v>
      </c>
      <c r="M700" s="1161">
        <v>24</v>
      </c>
      <c r="N700" s="517" t="s">
        <v>185</v>
      </c>
      <c r="O700" s="1161">
        <f>O699</f>
        <v>7850</v>
      </c>
      <c r="P700" s="517" t="s">
        <v>185</v>
      </c>
      <c r="Q700" s="1161">
        <f>Q699</f>
        <v>7.857142857142858E-5</v>
      </c>
      <c r="R700" s="517" t="s">
        <v>114</v>
      </c>
      <c r="S700" s="519">
        <f>Q700*O700*M700*K700*E700</f>
        <v>71.053714285714292</v>
      </c>
      <c r="T700" s="134"/>
      <c r="U700" s="2"/>
      <c r="V700" s="43"/>
    </row>
    <row r="701" spans="2:23" s="1" customFormat="1" x14ac:dyDescent="0.3">
      <c r="B701" s="325"/>
      <c r="C701" s="17"/>
      <c r="D701" s="991" t="str">
        <f>D696</f>
        <v>st 2</v>
      </c>
      <c r="E701" s="1161"/>
      <c r="F701" s="517"/>
      <c r="G701" s="1161"/>
      <c r="H701" s="517"/>
      <c r="I701" s="1161"/>
      <c r="J701" s="517"/>
      <c r="K701" s="1161"/>
      <c r="L701" s="517"/>
      <c r="M701" s="1161"/>
      <c r="N701" s="517"/>
      <c r="O701" s="1161"/>
      <c r="P701" s="517"/>
      <c r="Q701" s="1161"/>
      <c r="R701" s="517"/>
      <c r="S701" s="519"/>
      <c r="T701" s="134"/>
      <c r="U701" s="2"/>
      <c r="V701" s="43"/>
    </row>
    <row r="702" spans="2:23" s="1" customFormat="1" x14ac:dyDescent="0.3">
      <c r="B702" s="325"/>
      <c r="C702" s="17"/>
      <c r="D702" s="994" t="s">
        <v>840</v>
      </c>
      <c r="E702" s="1161">
        <v>2.4</v>
      </c>
      <c r="F702" s="517" t="s">
        <v>185</v>
      </c>
      <c r="G702" s="1161"/>
      <c r="H702" s="517"/>
      <c r="I702" s="1161"/>
      <c r="J702" s="517"/>
      <c r="K702" s="1161">
        <v>2</v>
      </c>
      <c r="L702" s="517" t="s">
        <v>185</v>
      </c>
      <c r="M702" s="1161">
        <v>13</v>
      </c>
      <c r="N702" s="517" t="s">
        <v>185</v>
      </c>
      <c r="O702" s="1161">
        <v>7850</v>
      </c>
      <c r="P702" s="517" t="s">
        <v>185</v>
      </c>
      <c r="Q702" s="1161">
        <f>22/7*0.005*0.005</f>
        <v>7.857142857142858E-5</v>
      </c>
      <c r="R702" s="517" t="s">
        <v>114</v>
      </c>
      <c r="S702" s="519">
        <f>Q702*O702*M702*K702*E702</f>
        <v>38.487428571428573</v>
      </c>
      <c r="T702" s="134"/>
      <c r="U702" s="2"/>
      <c r="V702" s="43"/>
      <c r="W702" s="37">
        <f>E702/0.15</f>
        <v>16</v>
      </c>
    </row>
    <row r="703" spans="2:23" s="1" customFormat="1" x14ac:dyDescent="0.3">
      <c r="B703" s="325"/>
      <c r="C703" s="17"/>
      <c r="D703" s="994" t="s">
        <v>252</v>
      </c>
      <c r="E703" s="1161">
        <v>2</v>
      </c>
      <c r="F703" s="517" t="s">
        <v>185</v>
      </c>
      <c r="G703" s="1161"/>
      <c r="H703" s="517"/>
      <c r="I703" s="1161"/>
      <c r="J703" s="517"/>
      <c r="K703" s="1161">
        <v>2</v>
      </c>
      <c r="L703" s="517" t="s">
        <v>185</v>
      </c>
      <c r="M703" s="1161">
        <v>16</v>
      </c>
      <c r="N703" s="517" t="s">
        <v>185</v>
      </c>
      <c r="O703" s="1161">
        <f>O702</f>
        <v>7850</v>
      </c>
      <c r="P703" s="517" t="s">
        <v>185</v>
      </c>
      <c r="Q703" s="1161">
        <f>Q702</f>
        <v>7.857142857142858E-5</v>
      </c>
      <c r="R703" s="517" t="s">
        <v>114</v>
      </c>
      <c r="S703" s="519">
        <f>Q703*O703*M703*K703*E703</f>
        <v>39.47428571428572</v>
      </c>
      <c r="T703" s="134"/>
      <c r="U703" s="2"/>
      <c r="V703" s="43"/>
      <c r="W703" s="37">
        <f>E703/0.15</f>
        <v>13.333333333333334</v>
      </c>
    </row>
    <row r="704" spans="2:23" s="1" customFormat="1" x14ac:dyDescent="0.3">
      <c r="B704" s="325"/>
      <c r="C704" s="17"/>
      <c r="D704" s="991" t="str">
        <f>RAB!D147</f>
        <v>- Bekisting plat</v>
      </c>
      <c r="E704" s="1161"/>
      <c r="F704" s="517"/>
      <c r="G704" s="1161"/>
      <c r="H704" s="517"/>
      <c r="I704" s="1161"/>
      <c r="J704" s="517"/>
      <c r="K704" s="1161"/>
      <c r="L704" s="517"/>
      <c r="M704" s="1161"/>
      <c r="N704" s="517"/>
      <c r="O704" s="1161"/>
      <c r="P704" s="517"/>
      <c r="Q704" s="327">
        <f>SUM(Q705:Q706)</f>
        <v>8.4</v>
      </c>
      <c r="R704" s="517"/>
      <c r="S704" s="519"/>
      <c r="T704" s="972">
        <f>ROUNDDOWN(Q704,2)</f>
        <v>8.4</v>
      </c>
      <c r="U704" s="987" t="s">
        <v>2</v>
      </c>
      <c r="V704" s="43"/>
    </row>
    <row r="705" spans="2:23" s="1" customFormat="1" x14ac:dyDescent="0.3">
      <c r="B705" s="325"/>
      <c r="C705" s="17"/>
      <c r="D705" s="991" t="s">
        <v>838</v>
      </c>
      <c r="E705" s="1161">
        <v>3</v>
      </c>
      <c r="F705" s="517" t="s">
        <v>185</v>
      </c>
      <c r="G705" s="1161">
        <v>1.8</v>
      </c>
      <c r="H705" s="517"/>
      <c r="I705" s="1161"/>
      <c r="J705" s="517"/>
      <c r="K705" s="1161"/>
      <c r="L705" s="517"/>
      <c r="M705" s="1161"/>
      <c r="N705" s="517"/>
      <c r="O705" s="1161"/>
      <c r="P705" s="517" t="s">
        <v>114</v>
      </c>
      <c r="Q705" s="1161">
        <f>G705*E705</f>
        <v>5.4</v>
      </c>
      <c r="R705" s="517"/>
      <c r="S705" s="519"/>
      <c r="T705" s="134"/>
      <c r="U705" s="2"/>
      <c r="V705" s="43"/>
    </row>
    <row r="706" spans="2:23" s="1" customFormat="1" x14ac:dyDescent="0.3">
      <c r="B706" s="325"/>
      <c r="C706" s="17"/>
      <c r="D706" s="991" t="s">
        <v>839</v>
      </c>
      <c r="E706" s="1161">
        <v>2</v>
      </c>
      <c r="F706" s="517" t="s">
        <v>185</v>
      </c>
      <c r="G706" s="1161">
        <v>1.5</v>
      </c>
      <c r="H706" s="517"/>
      <c r="I706" s="1161"/>
      <c r="J706" s="517"/>
      <c r="K706" s="1161"/>
      <c r="L706" s="517"/>
      <c r="M706" s="1161"/>
      <c r="N706" s="517"/>
      <c r="O706" s="1161"/>
      <c r="P706" s="517" t="s">
        <v>114</v>
      </c>
      <c r="Q706" s="1161">
        <f>G706*E706</f>
        <v>3</v>
      </c>
      <c r="R706" s="517"/>
      <c r="S706" s="519"/>
      <c r="T706" s="134"/>
      <c r="U706" s="2"/>
      <c r="V706" s="43"/>
    </row>
    <row r="707" spans="2:23" s="1" customFormat="1" x14ac:dyDescent="0.3">
      <c r="B707" s="325"/>
      <c r="C707" s="17"/>
      <c r="D707" s="991" t="str">
        <f>RAB!D148</f>
        <v>- Pipa Hawa</v>
      </c>
      <c r="E707" s="1161"/>
      <c r="F707" s="517"/>
      <c r="G707" s="1161"/>
      <c r="H707" s="517"/>
      <c r="I707" s="1161"/>
      <c r="J707" s="517"/>
      <c r="K707" s="1161">
        <v>2</v>
      </c>
      <c r="L707" s="517"/>
      <c r="M707" s="1161"/>
      <c r="N707" s="517"/>
      <c r="O707" s="1161"/>
      <c r="P707" s="517"/>
      <c r="Q707" s="1161"/>
      <c r="R707" s="588" t="s">
        <v>114</v>
      </c>
      <c r="S707" s="986">
        <f>K707</f>
        <v>2</v>
      </c>
      <c r="T707" s="972">
        <f>ROUNDDOWN(S707,2)</f>
        <v>2</v>
      </c>
      <c r="U707" s="987" t="s">
        <v>9</v>
      </c>
      <c r="V707" s="43"/>
    </row>
    <row r="708" spans="2:23" s="1" customFormat="1" x14ac:dyDescent="0.3">
      <c r="B708" s="325"/>
      <c r="C708" s="17"/>
      <c r="D708" s="991" t="str">
        <f>RAB!D149</f>
        <v>- Pipa PVC 4 Inc Berlobang 4 inc</v>
      </c>
      <c r="E708" s="1161">
        <v>9</v>
      </c>
      <c r="F708" s="517"/>
      <c r="G708" s="1161"/>
      <c r="H708" s="517"/>
      <c r="I708" s="1161"/>
      <c r="J708" s="517"/>
      <c r="K708" s="1161"/>
      <c r="L708" s="517"/>
      <c r="M708" s="1161"/>
      <c r="N708" s="517"/>
      <c r="O708" s="1161"/>
      <c r="P708" s="517"/>
      <c r="Q708" s="1161"/>
      <c r="R708" s="588" t="s">
        <v>114</v>
      </c>
      <c r="S708" s="986">
        <f>E708</f>
        <v>9</v>
      </c>
      <c r="T708" s="972">
        <f>ROUNDDOWN(S708,2)</f>
        <v>9</v>
      </c>
      <c r="U708" s="987" t="s">
        <v>27</v>
      </c>
      <c r="V708" s="43"/>
    </row>
    <row r="709" spans="2:23" s="1" customFormat="1" x14ac:dyDescent="0.3">
      <c r="B709" s="325"/>
      <c r="C709" s="17"/>
      <c r="D709" s="991" t="str">
        <f>RAB!D150</f>
        <v>- Lapisan ijuk</v>
      </c>
      <c r="E709" s="1161">
        <v>3</v>
      </c>
      <c r="F709" s="517" t="s">
        <v>185</v>
      </c>
      <c r="G709" s="1161">
        <f>22/7*0.2</f>
        <v>0.62857142857142856</v>
      </c>
      <c r="H709" s="517"/>
      <c r="I709" s="1161"/>
      <c r="J709" s="517"/>
      <c r="K709" s="1161"/>
      <c r="L709" s="517"/>
      <c r="M709" s="1161"/>
      <c r="N709" s="517"/>
      <c r="O709" s="1161"/>
      <c r="P709" s="517" t="s">
        <v>114</v>
      </c>
      <c r="Q709" s="1161">
        <f>G709*E709</f>
        <v>1.8857142857142857</v>
      </c>
      <c r="R709" s="588"/>
      <c r="S709" s="986"/>
      <c r="T709" s="972">
        <f>ROUNDDOWN(Q709,2)</f>
        <v>1.88</v>
      </c>
      <c r="U709" s="987" t="s">
        <v>2</v>
      </c>
      <c r="V709" s="43"/>
    </row>
    <row r="710" spans="2:23" s="1" customFormat="1" x14ac:dyDescent="0.3">
      <c r="B710" s="325"/>
      <c r="C710" s="17"/>
      <c r="D710" s="991" t="str">
        <f>RAB!D151</f>
        <v>- Kerikil</v>
      </c>
      <c r="E710" s="1161"/>
      <c r="F710" s="517"/>
      <c r="G710" s="1161"/>
      <c r="H710" s="517"/>
      <c r="I710" s="1161"/>
      <c r="J710" s="517"/>
      <c r="K710" s="1161">
        <v>0.98000000000000009</v>
      </c>
      <c r="L710" s="517"/>
      <c r="M710" s="1161"/>
      <c r="N710" s="517"/>
      <c r="O710" s="1161"/>
      <c r="P710" s="517"/>
      <c r="Q710" s="1161"/>
      <c r="R710" s="588" t="s">
        <v>114</v>
      </c>
      <c r="S710" s="986">
        <f>K710</f>
        <v>0.98000000000000009</v>
      </c>
      <c r="T710" s="972">
        <f>ROUNDDOWN(S710,2)</f>
        <v>0.98</v>
      </c>
      <c r="U710" s="987" t="s">
        <v>3</v>
      </c>
      <c r="V710" s="43"/>
    </row>
    <row r="711" spans="2:23" x14ac:dyDescent="0.3">
      <c r="B711" s="473"/>
      <c r="C711" s="465"/>
      <c r="D711" s="989"/>
      <c r="E711" s="695"/>
      <c r="F711" s="692"/>
      <c r="G711" s="695"/>
      <c r="H711" s="692"/>
      <c r="I711" s="695"/>
      <c r="J711" s="692"/>
      <c r="K711" s="695"/>
      <c r="L711" s="692"/>
      <c r="M711" s="695"/>
      <c r="N711" s="692"/>
      <c r="O711" s="695"/>
      <c r="P711" s="692"/>
      <c r="Q711" s="695"/>
      <c r="R711" s="692"/>
      <c r="S711" s="693"/>
      <c r="T711" s="474"/>
    </row>
    <row r="712" spans="2:23" s="1" customFormat="1" x14ac:dyDescent="0.3">
      <c r="B712" s="325"/>
      <c r="C712" s="17"/>
      <c r="D712" s="995" t="e">
        <f>RAB!#REF!</f>
        <v>#REF!</v>
      </c>
      <c r="E712" s="1161"/>
      <c r="F712" s="517"/>
      <c r="G712" s="1161"/>
      <c r="H712" s="517"/>
      <c r="I712" s="1161"/>
      <c r="J712" s="517"/>
      <c r="K712" s="1161"/>
      <c r="L712" s="517"/>
      <c r="M712" s="1161"/>
      <c r="N712" s="517"/>
      <c r="O712" s="1161"/>
      <c r="P712" s="517"/>
      <c r="Q712" s="1161"/>
      <c r="R712" s="517"/>
      <c r="S712" s="519"/>
      <c r="T712" s="134"/>
      <c r="U712" s="2"/>
      <c r="V712" s="43"/>
    </row>
    <row r="713" spans="2:23" s="1" customFormat="1" x14ac:dyDescent="0.3">
      <c r="B713" s="325"/>
      <c r="C713" s="17"/>
      <c r="D713" s="991" t="e">
        <f>RAB!#REF!</f>
        <v>#REF!</v>
      </c>
      <c r="E713" s="1161">
        <v>4</v>
      </c>
      <c r="F713" s="517" t="s">
        <v>185</v>
      </c>
      <c r="G713" s="1161">
        <v>2</v>
      </c>
      <c r="H713" s="517" t="s">
        <v>185</v>
      </c>
      <c r="I713" s="1161">
        <v>1.7</v>
      </c>
      <c r="J713" s="517"/>
      <c r="K713" s="1161"/>
      <c r="L713" s="517"/>
      <c r="M713" s="1161"/>
      <c r="N713" s="517"/>
      <c r="O713" s="1161"/>
      <c r="P713" s="517"/>
      <c r="Q713" s="1161"/>
      <c r="R713" s="517" t="s">
        <v>114</v>
      </c>
      <c r="S713" s="519">
        <f>I713*G713*E713</f>
        <v>13.6</v>
      </c>
      <c r="T713" s="972">
        <f>ROUNDDOWN(S713,2)</f>
        <v>13.6</v>
      </c>
      <c r="U713" s="987" t="s">
        <v>3</v>
      </c>
      <c r="V713" s="43"/>
    </row>
    <row r="714" spans="2:23" s="1" customFormat="1" x14ac:dyDescent="0.3">
      <c r="B714" s="325"/>
      <c r="C714" s="17"/>
      <c r="D714" s="991" t="e">
        <f>RAB!#REF!</f>
        <v>#REF!</v>
      </c>
      <c r="E714" s="1161">
        <v>4</v>
      </c>
      <c r="F714" s="517" t="s">
        <v>185</v>
      </c>
      <c r="G714" s="1161">
        <v>2</v>
      </c>
      <c r="H714" s="517" t="s">
        <v>185</v>
      </c>
      <c r="I714" s="1161">
        <v>0.05</v>
      </c>
      <c r="J714" s="517"/>
      <c r="K714" s="1161"/>
      <c r="L714" s="517"/>
      <c r="M714" s="1161"/>
      <c r="N714" s="517"/>
      <c r="O714" s="1161"/>
      <c r="P714" s="517"/>
      <c r="Q714" s="1161"/>
      <c r="R714" s="517" t="s">
        <v>114</v>
      </c>
      <c r="S714" s="519">
        <f>I714*G714*E714</f>
        <v>0.4</v>
      </c>
      <c r="T714" s="972">
        <f>ROUNDDOWN(S714,2)</f>
        <v>0.4</v>
      </c>
      <c r="U714" s="987" t="s">
        <v>3</v>
      </c>
      <c r="V714" s="43"/>
    </row>
    <row r="715" spans="2:23" s="1" customFormat="1" x14ac:dyDescent="0.3">
      <c r="B715" s="325"/>
      <c r="C715" s="17"/>
      <c r="D715" s="1031" t="e">
        <f>RAB!#REF!</f>
        <v>#REF!</v>
      </c>
      <c r="E715" s="1161">
        <v>4</v>
      </c>
      <c r="F715" s="517" t="s">
        <v>185</v>
      </c>
      <c r="G715" s="1161">
        <v>2</v>
      </c>
      <c r="H715" s="517" t="s">
        <v>185</v>
      </c>
      <c r="I715" s="1161">
        <v>0.2</v>
      </c>
      <c r="J715" s="517"/>
      <c r="K715" s="1161"/>
      <c r="L715" s="517"/>
      <c r="M715" s="1161"/>
      <c r="N715" s="517"/>
      <c r="O715" s="1161"/>
      <c r="P715" s="517"/>
      <c r="Q715" s="1161"/>
      <c r="R715" s="517" t="s">
        <v>114</v>
      </c>
      <c r="S715" s="519">
        <f>I715*G715*E715</f>
        <v>1.6</v>
      </c>
      <c r="T715" s="972">
        <f>ROUNDDOWN(S715,2)</f>
        <v>1.6</v>
      </c>
      <c r="U715" s="987" t="s">
        <v>3</v>
      </c>
      <c r="V715" s="43"/>
    </row>
    <row r="716" spans="2:23" s="1" customFormat="1" x14ac:dyDescent="0.3">
      <c r="B716" s="325"/>
      <c r="C716" s="17"/>
      <c r="D716" s="991" t="e">
        <f>RAB!#REF!</f>
        <v>#REF!</v>
      </c>
      <c r="E716" s="1161"/>
      <c r="F716" s="517"/>
      <c r="G716" s="1161"/>
      <c r="H716" s="517"/>
      <c r="I716" s="1161"/>
      <c r="J716" s="517"/>
      <c r="K716" s="1161"/>
      <c r="L716" s="517"/>
      <c r="M716" s="1161"/>
      <c r="N716" s="517"/>
      <c r="O716" s="1161"/>
      <c r="P716" s="517"/>
      <c r="Q716" s="1161"/>
      <c r="R716" s="517"/>
      <c r="S716" s="519">
        <f>SUM(S717:S718)</f>
        <v>135.69285714285718</v>
      </c>
      <c r="T716" s="972">
        <f>ROUNDDOWN(S716,2)</f>
        <v>135.69</v>
      </c>
      <c r="U716" s="987" t="s">
        <v>0</v>
      </c>
      <c r="V716" s="43"/>
    </row>
    <row r="717" spans="2:23" s="1" customFormat="1" x14ac:dyDescent="0.3">
      <c r="B717" s="325"/>
      <c r="C717" s="17"/>
      <c r="D717" s="994" t="s">
        <v>840</v>
      </c>
      <c r="E717" s="1161">
        <f>E713</f>
        <v>4</v>
      </c>
      <c r="F717" s="517" t="s">
        <v>185</v>
      </c>
      <c r="G717" s="1161"/>
      <c r="H717" s="517"/>
      <c r="I717" s="1161"/>
      <c r="J717" s="517"/>
      <c r="K717" s="1161">
        <v>2</v>
      </c>
      <c r="L717" s="517" t="s">
        <v>185</v>
      </c>
      <c r="M717" s="1161">
        <v>14</v>
      </c>
      <c r="N717" s="517" t="s">
        <v>185</v>
      </c>
      <c r="O717" s="1161">
        <v>7850</v>
      </c>
      <c r="P717" s="517" t="s">
        <v>185</v>
      </c>
      <c r="Q717" s="1161">
        <f>22/7*0.005*0.005</f>
        <v>7.857142857142858E-5</v>
      </c>
      <c r="R717" s="517" t="s">
        <v>114</v>
      </c>
      <c r="S717" s="519">
        <f>Q717*O717*M717*K717*E717</f>
        <v>69.080000000000013</v>
      </c>
      <c r="T717" s="134"/>
      <c r="U717" s="2"/>
      <c r="V717" s="43"/>
      <c r="W717" s="37">
        <f>E718/0.15</f>
        <v>13.333333333333334</v>
      </c>
    </row>
    <row r="718" spans="2:23" s="1" customFormat="1" x14ac:dyDescent="0.3">
      <c r="B718" s="325"/>
      <c r="C718" s="17"/>
      <c r="D718" s="994" t="s">
        <v>252</v>
      </c>
      <c r="E718" s="1161">
        <f>G713</f>
        <v>2</v>
      </c>
      <c r="F718" s="517" t="s">
        <v>185</v>
      </c>
      <c r="G718" s="1161"/>
      <c r="H718" s="517"/>
      <c r="I718" s="1161"/>
      <c r="J718" s="517"/>
      <c r="K718" s="1161">
        <v>2</v>
      </c>
      <c r="L718" s="517" t="s">
        <v>185</v>
      </c>
      <c r="M718" s="1161">
        <v>27</v>
      </c>
      <c r="N718" s="517" t="s">
        <v>185</v>
      </c>
      <c r="O718" s="1161">
        <f>O717</f>
        <v>7850</v>
      </c>
      <c r="P718" s="517" t="s">
        <v>185</v>
      </c>
      <c r="Q718" s="1161">
        <f>Q717</f>
        <v>7.857142857142858E-5</v>
      </c>
      <c r="R718" s="517" t="s">
        <v>114</v>
      </c>
      <c r="S718" s="519">
        <f>Q718*O718*M718*K718*E718</f>
        <v>66.612857142857152</v>
      </c>
      <c r="T718" s="134"/>
      <c r="U718" s="2"/>
      <c r="V718" s="43"/>
      <c r="W718" s="37">
        <f>E717/0.15</f>
        <v>26.666666666666668</v>
      </c>
    </row>
    <row r="719" spans="2:23" s="1" customFormat="1" x14ac:dyDescent="0.3">
      <c r="B719" s="325"/>
      <c r="C719" s="17"/>
      <c r="D719" s="991" t="e">
        <f>RAB!#REF!</f>
        <v>#REF!</v>
      </c>
      <c r="E719" s="1161"/>
      <c r="F719" s="517"/>
      <c r="G719" s="1161"/>
      <c r="H719" s="517"/>
      <c r="I719" s="1161"/>
      <c r="J719" s="517"/>
      <c r="K719" s="1161">
        <v>2</v>
      </c>
      <c r="L719" s="517"/>
      <c r="M719" s="1161"/>
      <c r="N719" s="517"/>
      <c r="O719" s="1161"/>
      <c r="P719" s="517"/>
      <c r="Q719" s="1161"/>
      <c r="R719" s="588" t="s">
        <v>114</v>
      </c>
      <c r="S719" s="986">
        <f>K719</f>
        <v>2</v>
      </c>
      <c r="T719" s="972">
        <f>ROUNDDOWN(S719,2)</f>
        <v>2</v>
      </c>
      <c r="U719" s="987" t="s">
        <v>9</v>
      </c>
      <c r="V719" s="43"/>
    </row>
    <row r="720" spans="2:23" s="1" customFormat="1" x14ac:dyDescent="0.3">
      <c r="B720" s="325"/>
      <c r="C720" s="17"/>
      <c r="D720" s="991" t="e">
        <f>RAB!#REF!</f>
        <v>#REF!</v>
      </c>
      <c r="E720" s="619"/>
      <c r="F720" s="526"/>
      <c r="G720" s="619"/>
      <c r="H720" s="526"/>
      <c r="I720" s="619"/>
      <c r="J720" s="526"/>
      <c r="K720" s="619"/>
      <c r="L720" s="526"/>
      <c r="M720" s="619"/>
      <c r="N720" s="526"/>
      <c r="O720" s="619"/>
      <c r="P720" s="526"/>
      <c r="Q720" s="619"/>
      <c r="R720" s="526"/>
      <c r="S720" s="620">
        <f>S713-6</f>
        <v>7.6</v>
      </c>
      <c r="T720" s="972">
        <f>ROUNDDOWN(S720,2)</f>
        <v>7.6</v>
      </c>
      <c r="U720" s="987" t="s">
        <v>3</v>
      </c>
      <c r="V720" s="43"/>
    </row>
    <row r="721" spans="2:23" x14ac:dyDescent="0.3">
      <c r="B721" s="473"/>
      <c r="C721" s="465"/>
      <c r="D721" s="475"/>
      <c r="E721" s="503"/>
      <c r="F721" s="694"/>
      <c r="G721" s="503"/>
      <c r="H721" s="694"/>
      <c r="I721" s="503"/>
      <c r="J721" s="694"/>
      <c r="K721" s="503"/>
      <c r="L721" s="694"/>
      <c r="M721" s="503"/>
      <c r="N721" s="694"/>
      <c r="O721" s="503"/>
      <c r="P721" s="694"/>
      <c r="Q721" s="503"/>
      <c r="R721" s="694"/>
      <c r="S721" s="550"/>
    </row>
    <row r="722" spans="2:23" x14ac:dyDescent="0.3">
      <c r="B722" s="473"/>
      <c r="C722" s="465"/>
      <c r="D722" s="658"/>
      <c r="E722" s="974"/>
      <c r="F722" s="975"/>
      <c r="G722" s="974"/>
      <c r="H722" s="975"/>
      <c r="I722" s="974"/>
      <c r="J722" s="975"/>
      <c r="K722" s="974"/>
      <c r="L722" s="975"/>
      <c r="M722" s="974"/>
      <c r="N722" s="975"/>
      <c r="O722" s="974"/>
      <c r="P722" s="975"/>
      <c r="Q722" s="974"/>
      <c r="R722" s="975"/>
      <c r="S722" s="976"/>
      <c r="W722" s="351">
        <f>2*22/7*1.5*0.8*0.8</f>
        <v>6.0342857142857156</v>
      </c>
    </row>
    <row r="723" spans="2:23" s="1002" customFormat="1" ht="17.25" thickBot="1" x14ac:dyDescent="0.25">
      <c r="B723" s="996" t="str">
        <f>RAB!B154</f>
        <v>IX</v>
      </c>
      <c r="C723" s="112" t="str">
        <f>RAB!C154</f>
        <v>PEKERJAAN ELEKTRIKAL</v>
      </c>
      <c r="D723" s="997"/>
      <c r="E723" s="998"/>
      <c r="F723" s="999"/>
      <c r="G723" s="998"/>
      <c r="H723" s="999"/>
      <c r="I723" s="998"/>
      <c r="J723" s="999"/>
      <c r="K723" s="998"/>
      <c r="L723" s="999"/>
      <c r="M723" s="998"/>
      <c r="N723" s="999"/>
      <c r="O723" s="998"/>
      <c r="P723" s="999"/>
      <c r="Q723" s="998"/>
      <c r="R723" s="999"/>
      <c r="S723" s="1000"/>
      <c r="T723" s="1001"/>
      <c r="U723" s="973"/>
      <c r="V723" s="1157"/>
    </row>
    <row r="724" spans="2:23" s="1" customFormat="1" x14ac:dyDescent="0.3">
      <c r="B724" s="325"/>
      <c r="C724" s="17"/>
      <c r="D724" s="8" t="s">
        <v>95</v>
      </c>
      <c r="E724" s="154" t="s">
        <v>150</v>
      </c>
      <c r="F724" s="493"/>
      <c r="G724" s="154" t="s">
        <v>151</v>
      </c>
      <c r="H724" s="493"/>
      <c r="I724" s="154" t="s">
        <v>152</v>
      </c>
      <c r="J724" s="493"/>
      <c r="K724" s="154" t="s">
        <v>153</v>
      </c>
      <c r="L724" s="494"/>
      <c r="M724" s="163" t="s">
        <v>32</v>
      </c>
      <c r="N724" s="494"/>
      <c r="O724" s="201" t="s">
        <v>163</v>
      </c>
      <c r="P724" s="494"/>
      <c r="Q724" s="202" t="s">
        <v>151</v>
      </c>
      <c r="R724" s="494"/>
      <c r="S724" s="226" t="s">
        <v>143</v>
      </c>
      <c r="T724" s="66"/>
      <c r="U724" s="2"/>
      <c r="V724" s="43"/>
    </row>
    <row r="725" spans="2:23" s="1" customFormat="1" x14ac:dyDescent="0.3">
      <c r="B725" s="325"/>
      <c r="C725" s="17"/>
      <c r="D725" s="1005" t="str">
        <f>RAB!C155</f>
        <v>Pekerjaan Jaringan Distribusi dan KWH Meter</v>
      </c>
      <c r="E725" s="331"/>
      <c r="F725" s="575"/>
      <c r="G725" s="331"/>
      <c r="H725" s="575"/>
      <c r="I725" s="331"/>
      <c r="J725" s="575"/>
      <c r="K725" s="331"/>
      <c r="L725" s="575"/>
      <c r="M725" s="331"/>
      <c r="N725" s="575"/>
      <c r="O725" s="331"/>
      <c r="P725" s="575"/>
      <c r="Q725" s="331"/>
      <c r="R725" s="575"/>
      <c r="S725" s="577"/>
      <c r="T725" s="66"/>
      <c r="U725" s="2"/>
      <c r="V725" s="43"/>
    </row>
    <row r="726" spans="2:23" s="1" customFormat="1" x14ac:dyDescent="0.3">
      <c r="B726" s="325"/>
      <c r="C726" s="17"/>
      <c r="D726" s="1003" t="str">
        <f>RAB!D156</f>
        <v>* Biaya penyambungan baru 41500 VA ; 3 Ph</v>
      </c>
      <c r="E726" s="1161"/>
      <c r="F726" s="517"/>
      <c r="G726" s="1161"/>
      <c r="H726" s="517"/>
      <c r="I726" s="1161"/>
      <c r="J726" s="517"/>
      <c r="K726" s="1161">
        <v>53000</v>
      </c>
      <c r="L726" s="517"/>
      <c r="M726" s="1161"/>
      <c r="N726" s="517"/>
      <c r="O726" s="1161"/>
      <c r="P726" s="517"/>
      <c r="Q726" s="1161"/>
      <c r="R726" s="588" t="s">
        <v>114</v>
      </c>
      <c r="S726" s="986">
        <f>K726</f>
        <v>53000</v>
      </c>
      <c r="T726" s="972">
        <f>ROUNDDOWN(S726,2)</f>
        <v>53000</v>
      </c>
      <c r="U726" s="987" t="s">
        <v>841</v>
      </c>
      <c r="V726" s="43"/>
    </row>
    <row r="727" spans="2:23" s="1" customFormat="1" x14ac:dyDescent="0.3">
      <c r="B727" s="325"/>
      <c r="C727" s="17"/>
      <c r="D727" s="1003" t="str">
        <f>RAB!D157</f>
        <v>* Uang jaminan listrik ( UJL ) 41500 VA</v>
      </c>
      <c r="E727" s="619"/>
      <c r="F727" s="517"/>
      <c r="G727" s="1161"/>
      <c r="H727" s="517"/>
      <c r="I727" s="1161"/>
      <c r="J727" s="517"/>
      <c r="K727" s="1161">
        <v>53000</v>
      </c>
      <c r="L727" s="517"/>
      <c r="M727" s="1161"/>
      <c r="N727" s="517"/>
      <c r="O727" s="1161"/>
      <c r="P727" s="517"/>
      <c r="Q727" s="1161"/>
      <c r="R727" s="588" t="s">
        <v>114</v>
      </c>
      <c r="S727" s="986">
        <f>K727</f>
        <v>53000</v>
      </c>
      <c r="T727" s="972">
        <f>ROUNDDOWN(S727,2)</f>
        <v>53000</v>
      </c>
      <c r="U727" s="987" t="s">
        <v>841</v>
      </c>
      <c r="V727" s="43"/>
    </row>
    <row r="728" spans="2:23" s="1" customFormat="1" x14ac:dyDescent="0.3">
      <c r="B728" s="325"/>
      <c r="C728" s="17"/>
      <c r="D728" s="1003" t="str">
        <f>RAB!D158</f>
        <v>* Sertifikat Laik Operasi</v>
      </c>
      <c r="E728" s="619"/>
      <c r="F728" s="517"/>
      <c r="G728" s="1161"/>
      <c r="H728" s="517"/>
      <c r="I728" s="1161"/>
      <c r="J728" s="517"/>
      <c r="K728" s="1161">
        <v>1</v>
      </c>
      <c r="L728" s="517"/>
      <c r="M728" s="1161"/>
      <c r="N728" s="517"/>
      <c r="O728" s="1161"/>
      <c r="P728" s="517"/>
      <c r="Q728" s="1161"/>
      <c r="R728" s="588" t="s">
        <v>114</v>
      </c>
      <c r="S728" s="986">
        <f>K728</f>
        <v>1</v>
      </c>
      <c r="T728" s="972">
        <f>ROUNDDOWN(S728,2)</f>
        <v>1</v>
      </c>
      <c r="U728" s="987" t="s">
        <v>1</v>
      </c>
      <c r="V728" s="43"/>
    </row>
    <row r="729" spans="2:23" s="1" customFormat="1" x14ac:dyDescent="0.3">
      <c r="B729" s="325"/>
      <c r="C729" s="17"/>
      <c r="D729" s="1003" t="str">
        <f>RAB!D159</f>
        <v>* Biaya Administrasi</v>
      </c>
      <c r="E729" s="619"/>
      <c r="F729" s="517"/>
      <c r="G729" s="1161"/>
      <c r="H729" s="517"/>
      <c r="I729" s="1161"/>
      <c r="J729" s="517"/>
      <c r="K729" s="1161">
        <v>1</v>
      </c>
      <c r="L729" s="517"/>
      <c r="M729" s="1161"/>
      <c r="N729" s="517"/>
      <c r="O729" s="1161"/>
      <c r="P729" s="517"/>
      <c r="Q729" s="1161"/>
      <c r="R729" s="588" t="s">
        <v>114</v>
      </c>
      <c r="S729" s="986">
        <f>K729</f>
        <v>1</v>
      </c>
      <c r="T729" s="972">
        <f>ROUNDDOWN(S729,2)</f>
        <v>1</v>
      </c>
      <c r="U729" s="987" t="s">
        <v>1</v>
      </c>
      <c r="V729" s="43"/>
    </row>
    <row r="730" spans="2:23" s="1" customFormat="1" x14ac:dyDescent="0.3">
      <c r="B730" s="325"/>
      <c r="C730" s="17"/>
      <c r="D730" s="1004"/>
      <c r="E730" s="619"/>
      <c r="F730" s="517"/>
      <c r="G730" s="1161"/>
      <c r="H730" s="517"/>
      <c r="I730" s="1161"/>
      <c r="J730" s="517"/>
      <c r="K730" s="1161"/>
      <c r="L730" s="517"/>
      <c r="M730" s="1161"/>
      <c r="N730" s="517"/>
      <c r="O730" s="1161"/>
      <c r="P730" s="517"/>
      <c r="Q730" s="1161"/>
      <c r="R730" s="526"/>
      <c r="S730" s="620"/>
      <c r="T730" s="66"/>
      <c r="U730" s="2"/>
      <c r="V730" s="43"/>
    </row>
    <row r="731" spans="2:23" s="1" customFormat="1" x14ac:dyDescent="0.3">
      <c r="B731" s="325"/>
      <c r="C731" s="17"/>
      <c r="D731" s="1007" t="str">
        <f>RAB!C160</f>
        <v>PANEL</v>
      </c>
      <c r="E731" s="619"/>
      <c r="F731" s="517"/>
      <c r="G731" s="1161"/>
      <c r="H731" s="517"/>
      <c r="I731" s="1161"/>
      <c r="J731" s="517"/>
      <c r="K731" s="1161"/>
      <c r="L731" s="517"/>
      <c r="M731" s="1161"/>
      <c r="N731" s="517"/>
      <c r="O731" s="1161"/>
      <c r="P731" s="517"/>
      <c r="Q731" s="1161"/>
      <c r="R731" s="526"/>
      <c r="S731" s="620"/>
      <c r="T731" s="66"/>
      <c r="U731" s="2"/>
      <c r="V731" s="43"/>
    </row>
    <row r="732" spans="2:23" s="1" customFormat="1" x14ac:dyDescent="0.3">
      <c r="B732" s="325"/>
      <c r="C732" s="17"/>
      <c r="D732" s="1004" t="str">
        <f>RAB!C161</f>
        <v>- Main distribution panel ( MDP ) c/w Interlock COS</v>
      </c>
      <c r="E732" s="619"/>
      <c r="F732" s="517"/>
      <c r="G732" s="1161"/>
      <c r="H732" s="517"/>
      <c r="I732" s="1161"/>
      <c r="J732" s="517"/>
      <c r="K732" s="1161">
        <v>1</v>
      </c>
      <c r="L732" s="517"/>
      <c r="M732" s="1161"/>
      <c r="N732" s="517"/>
      <c r="O732" s="1161"/>
      <c r="P732" s="517"/>
      <c r="Q732" s="1161"/>
      <c r="R732" s="588" t="s">
        <v>114</v>
      </c>
      <c r="S732" s="986">
        <f>K732</f>
        <v>1</v>
      </c>
      <c r="T732" s="972">
        <f>ROUNDDOWN(S732,2)</f>
        <v>1</v>
      </c>
      <c r="U732" s="987" t="s">
        <v>32</v>
      </c>
      <c r="V732" s="43"/>
    </row>
    <row r="733" spans="2:23" s="1" customFormat="1" x14ac:dyDescent="0.3">
      <c r="B733" s="325"/>
      <c r="C733" s="17"/>
      <c r="D733" s="1004" t="str">
        <f>RAB!C162</f>
        <v>- Sub Distribution Panel ( SDP ) Lantai 1</v>
      </c>
      <c r="E733" s="619"/>
      <c r="F733" s="517"/>
      <c r="G733" s="1161"/>
      <c r="H733" s="517"/>
      <c r="I733" s="1161"/>
      <c r="J733" s="517"/>
      <c r="K733" s="1161">
        <v>1</v>
      </c>
      <c r="L733" s="517"/>
      <c r="M733" s="1161"/>
      <c r="N733" s="517"/>
      <c r="O733" s="1161"/>
      <c r="P733" s="517"/>
      <c r="Q733" s="1161"/>
      <c r="R733" s="588" t="s">
        <v>114</v>
      </c>
      <c r="S733" s="986">
        <f>K733</f>
        <v>1</v>
      </c>
      <c r="T733" s="972">
        <f>ROUNDDOWN(S733,2)</f>
        <v>1</v>
      </c>
      <c r="U733" s="987" t="s">
        <v>32</v>
      </c>
      <c r="V733" s="43"/>
    </row>
    <row r="734" spans="2:23" s="1" customFormat="1" x14ac:dyDescent="0.3">
      <c r="B734" s="325"/>
      <c r="C734" s="17"/>
      <c r="D734" s="1026" t="e">
        <f>RAB!#REF!</f>
        <v>#REF!</v>
      </c>
      <c r="E734" s="619"/>
      <c r="F734" s="517"/>
      <c r="G734" s="1161"/>
      <c r="H734" s="517"/>
      <c r="I734" s="1161"/>
      <c r="J734" s="517"/>
      <c r="K734" s="1161">
        <v>1</v>
      </c>
      <c r="L734" s="517"/>
      <c r="M734" s="1161"/>
      <c r="N734" s="517"/>
      <c r="O734" s="1161"/>
      <c r="P734" s="517"/>
      <c r="Q734" s="1161"/>
      <c r="R734" s="588" t="s">
        <v>114</v>
      </c>
      <c r="S734" s="986">
        <f>K734</f>
        <v>1</v>
      </c>
      <c r="T734" s="972">
        <f>ROUNDDOWN(S734,2)</f>
        <v>1</v>
      </c>
      <c r="U734" s="987" t="s">
        <v>32</v>
      </c>
      <c r="V734" s="43"/>
    </row>
    <row r="735" spans="2:23" s="1" customFormat="1" x14ac:dyDescent="0.3">
      <c r="B735" s="325"/>
      <c r="C735" s="17"/>
      <c r="D735" s="1004"/>
      <c r="E735" s="619"/>
      <c r="F735" s="517"/>
      <c r="G735" s="1161"/>
      <c r="H735" s="517"/>
      <c r="I735" s="1161"/>
      <c r="J735" s="517"/>
      <c r="K735" s="1161"/>
      <c r="L735" s="517"/>
      <c r="M735" s="1161"/>
      <c r="N735" s="517"/>
      <c r="O735" s="1161"/>
      <c r="P735" s="517"/>
      <c r="Q735" s="1161"/>
      <c r="R735" s="526"/>
      <c r="S735" s="620"/>
      <c r="T735" s="66"/>
      <c r="U735" s="2"/>
      <c r="V735" s="43"/>
    </row>
    <row r="736" spans="2:23" s="1" customFormat="1" x14ac:dyDescent="0.3">
      <c r="B736" s="325"/>
      <c r="C736" s="17"/>
      <c r="D736" s="1007" t="str">
        <f>RAB!C163</f>
        <v>KABEL</v>
      </c>
      <c r="E736" s="619"/>
      <c r="F736" s="517"/>
      <c r="G736" s="1161"/>
      <c r="H736" s="517"/>
      <c r="I736" s="1161"/>
      <c r="J736" s="517"/>
      <c r="K736" s="1161"/>
      <c r="L736" s="517"/>
      <c r="M736" s="1161"/>
      <c r="N736" s="517"/>
      <c r="O736" s="1161"/>
      <c r="P736" s="517"/>
      <c r="Q736" s="1161"/>
      <c r="R736" s="526"/>
      <c r="S736" s="620"/>
      <c r="T736" s="66"/>
      <c r="U736" s="2"/>
      <c r="V736" s="43"/>
    </row>
    <row r="737" spans="2:22" s="1" customFormat="1" x14ac:dyDescent="0.3">
      <c r="B737" s="325"/>
      <c r="C737" s="17"/>
      <c r="D737" s="1004" t="str">
        <f>RAB!C164</f>
        <v>Kabel dari Box APP PLN ke MDP NYY 4 x 35 mm</v>
      </c>
      <c r="E737" s="619"/>
      <c r="F737" s="517"/>
      <c r="G737" s="1161"/>
      <c r="H737" s="517"/>
      <c r="I737" s="1161"/>
      <c r="J737" s="517"/>
      <c r="K737" s="1161">
        <v>20</v>
      </c>
      <c r="L737" s="517"/>
      <c r="M737" s="1161"/>
      <c r="N737" s="517"/>
      <c r="O737" s="1161"/>
      <c r="P737" s="517"/>
      <c r="Q737" s="1161"/>
      <c r="R737" s="588" t="s">
        <v>114</v>
      </c>
      <c r="S737" s="986">
        <f>K737</f>
        <v>20</v>
      </c>
      <c r="T737" s="972">
        <f>ROUNDDOWN(S737,2)</f>
        <v>20</v>
      </c>
      <c r="U737" s="987" t="s">
        <v>27</v>
      </c>
      <c r="V737" s="43"/>
    </row>
    <row r="738" spans="2:22" s="1" customFormat="1" ht="27" x14ac:dyDescent="0.3">
      <c r="B738" s="325"/>
      <c r="C738" s="17"/>
      <c r="D738" s="1026" t="str">
        <f>RAB!C165</f>
        <v>Kabel dari MDP ke SDP lantai 1  NYY 4 x 10 mm + BC 10 mm.</v>
      </c>
      <c r="E738" s="619"/>
      <c r="F738" s="517"/>
      <c r="G738" s="1161"/>
      <c r="H738" s="517"/>
      <c r="I738" s="1161"/>
      <c r="J738" s="517"/>
      <c r="K738" s="1161">
        <v>6</v>
      </c>
      <c r="L738" s="517"/>
      <c r="M738" s="1161"/>
      <c r="N738" s="517"/>
      <c r="O738" s="1161"/>
      <c r="P738" s="517"/>
      <c r="Q738" s="1161"/>
      <c r="R738" s="588" t="s">
        <v>114</v>
      </c>
      <c r="S738" s="986">
        <f>K738</f>
        <v>6</v>
      </c>
      <c r="T738" s="972">
        <f>ROUNDDOWN(S738,2)</f>
        <v>6</v>
      </c>
      <c r="U738" s="987" t="s">
        <v>27</v>
      </c>
      <c r="V738" s="43"/>
    </row>
    <row r="739" spans="2:22" s="1" customFormat="1" x14ac:dyDescent="0.3">
      <c r="B739" s="325"/>
      <c r="C739" s="17"/>
      <c r="D739" s="1026" t="e">
        <f>RAB!#REF!</f>
        <v>#REF!</v>
      </c>
      <c r="E739" s="619"/>
      <c r="F739" s="517"/>
      <c r="G739" s="1161"/>
      <c r="H739" s="517"/>
      <c r="I739" s="1161"/>
      <c r="J739" s="517"/>
      <c r="K739" s="1161">
        <v>8</v>
      </c>
      <c r="L739" s="517"/>
      <c r="M739" s="1161"/>
      <c r="N739" s="517"/>
      <c r="O739" s="1161"/>
      <c r="P739" s="517"/>
      <c r="Q739" s="1161"/>
      <c r="R739" s="588" t="s">
        <v>114</v>
      </c>
      <c r="S739" s="986">
        <f>K739</f>
        <v>8</v>
      </c>
      <c r="T739" s="972">
        <f>ROUNDDOWN(S739,2)</f>
        <v>8</v>
      </c>
      <c r="U739" s="987" t="s">
        <v>27</v>
      </c>
      <c r="V739" s="43"/>
    </row>
    <row r="740" spans="2:22" s="1" customFormat="1" x14ac:dyDescent="0.3">
      <c r="B740" s="325"/>
      <c r="C740" s="17"/>
      <c r="D740" s="1026" t="e">
        <f>RAB!#REF!</f>
        <v>#REF!</v>
      </c>
      <c r="E740" s="619"/>
      <c r="F740" s="517"/>
      <c r="G740" s="1161"/>
      <c r="H740" s="517"/>
      <c r="I740" s="1161"/>
      <c r="J740" s="517"/>
      <c r="K740" s="1161">
        <v>6</v>
      </c>
      <c r="L740" s="517"/>
      <c r="M740" s="1161"/>
      <c r="N740" s="517"/>
      <c r="O740" s="1161"/>
      <c r="P740" s="517"/>
      <c r="Q740" s="1161"/>
      <c r="R740" s="588" t="s">
        <v>114</v>
      </c>
      <c r="S740" s="986">
        <f>K740</f>
        <v>6</v>
      </c>
      <c r="T740" s="972">
        <f>ROUNDDOWN(S740,2)</f>
        <v>6</v>
      </c>
      <c r="U740" s="987" t="s">
        <v>27</v>
      </c>
      <c r="V740" s="43"/>
    </row>
    <row r="741" spans="2:22" s="1" customFormat="1" x14ac:dyDescent="0.3">
      <c r="B741" s="325"/>
      <c r="C741" s="17"/>
      <c r="D741" s="1004"/>
      <c r="E741" s="619"/>
      <c r="F741" s="517"/>
      <c r="G741" s="1161"/>
      <c r="H741" s="517"/>
      <c r="I741" s="1161"/>
      <c r="J741" s="517"/>
      <c r="K741" s="1161"/>
      <c r="L741" s="517"/>
      <c r="M741" s="1161"/>
      <c r="N741" s="517"/>
      <c r="O741" s="1161"/>
      <c r="P741" s="517"/>
      <c r="Q741" s="1161"/>
      <c r="R741" s="526"/>
      <c r="S741" s="620"/>
      <c r="T741" s="66"/>
      <c r="U741" s="2"/>
      <c r="V741" s="43"/>
    </row>
    <row r="742" spans="2:22" s="1" customFormat="1" x14ac:dyDescent="0.3">
      <c r="B742" s="325"/>
      <c r="C742" s="17"/>
      <c r="D742" s="1004" t="str">
        <f>RAB!C166</f>
        <v>PEKERJAAN GROUNDING SYSTEM ARUS KUAT</v>
      </c>
      <c r="E742" s="619"/>
      <c r="F742" s="517"/>
      <c r="G742" s="1161"/>
      <c r="H742" s="517"/>
      <c r="I742" s="1161"/>
      <c r="J742" s="517"/>
      <c r="K742" s="1161"/>
      <c r="L742" s="517"/>
      <c r="M742" s="1161"/>
      <c r="N742" s="517"/>
      <c r="O742" s="1161"/>
      <c r="P742" s="517"/>
      <c r="Q742" s="1161"/>
      <c r="R742" s="526"/>
      <c r="S742" s="620"/>
      <c r="T742" s="66"/>
      <c r="U742" s="2"/>
      <c r="V742" s="43"/>
    </row>
    <row r="743" spans="2:22" s="1" customFormat="1" ht="27" x14ac:dyDescent="0.3">
      <c r="B743" s="325"/>
      <c r="C743" s="17"/>
      <c r="D743" s="1026" t="str">
        <f>RAB!C167</f>
        <v>Penarikan kabel grounding BC 35 mm dari MDP ke box grounding</v>
      </c>
      <c r="E743" s="619"/>
      <c r="F743" s="517"/>
      <c r="G743" s="1161"/>
      <c r="H743" s="517"/>
      <c r="I743" s="1161"/>
      <c r="J743" s="517"/>
      <c r="K743" s="1161">
        <v>8</v>
      </c>
      <c r="L743" s="517"/>
      <c r="M743" s="1161"/>
      <c r="N743" s="517"/>
      <c r="O743" s="1161"/>
      <c r="P743" s="517"/>
      <c r="Q743" s="1161"/>
      <c r="R743" s="588" t="s">
        <v>114</v>
      </c>
      <c r="S743" s="986">
        <f>K743</f>
        <v>8</v>
      </c>
      <c r="T743" s="972">
        <f>ROUNDDOWN(S743,2)</f>
        <v>8</v>
      </c>
      <c r="U743" s="987" t="s">
        <v>27</v>
      </c>
      <c r="V743" s="43"/>
    </row>
    <row r="744" spans="2:22" s="1" customFormat="1" x14ac:dyDescent="0.3">
      <c r="B744" s="325"/>
      <c r="C744" s="17"/>
      <c r="D744" s="1004" t="str">
        <f>RAB!C168</f>
        <v>Grounding system max  5 ohm</v>
      </c>
      <c r="E744" s="1161"/>
      <c r="F744" s="517"/>
      <c r="G744" s="1161"/>
      <c r="H744" s="517"/>
      <c r="I744" s="1161"/>
      <c r="J744" s="517"/>
      <c r="K744" s="1161">
        <v>1</v>
      </c>
      <c r="L744" s="517"/>
      <c r="M744" s="1161"/>
      <c r="N744" s="517"/>
      <c r="O744" s="1161"/>
      <c r="P744" s="517"/>
      <c r="Q744" s="1161"/>
      <c r="R744" s="518" t="s">
        <v>114</v>
      </c>
      <c r="S744" s="986">
        <f>K744</f>
        <v>1</v>
      </c>
      <c r="T744" s="972">
        <f>ROUNDDOWN(S744,2)</f>
        <v>1</v>
      </c>
      <c r="U744" s="987" t="s">
        <v>115</v>
      </c>
      <c r="V744" s="43"/>
    </row>
    <row r="745" spans="2:22" s="1" customFormat="1" x14ac:dyDescent="0.3">
      <c r="B745" s="325"/>
      <c r="C745" s="17"/>
      <c r="D745" s="1004"/>
      <c r="E745" s="1161"/>
      <c r="F745" s="517"/>
      <c r="G745" s="1161"/>
      <c r="H745" s="517"/>
      <c r="I745" s="1161"/>
      <c r="J745" s="517"/>
      <c r="K745" s="1161"/>
      <c r="L745" s="517"/>
      <c r="M745" s="1161"/>
      <c r="N745" s="517"/>
      <c r="O745" s="1161"/>
      <c r="P745" s="517"/>
      <c r="Q745" s="1161"/>
      <c r="R745" s="517"/>
      <c r="S745" s="519"/>
      <c r="T745" s="66"/>
      <c r="U745" s="2"/>
      <c r="V745" s="43"/>
    </row>
    <row r="746" spans="2:22" s="1" customFormat="1" x14ac:dyDescent="0.3">
      <c r="B746" s="325"/>
      <c r="C746" s="17"/>
      <c r="D746" s="1007" t="str">
        <f>RAB!C173</f>
        <v>SISTEM PENERANGAN</v>
      </c>
      <c r="E746" s="1161"/>
      <c r="F746" s="517"/>
      <c r="G746" s="1161"/>
      <c r="H746" s="517"/>
      <c r="I746" s="1161"/>
      <c r="J746" s="517"/>
      <c r="K746" s="1161"/>
      <c r="L746" s="517"/>
      <c r="M746" s="1161"/>
      <c r="N746" s="517"/>
      <c r="O746" s="1161"/>
      <c r="P746" s="517"/>
      <c r="Q746" s="1161"/>
      <c r="R746" s="517"/>
      <c r="S746" s="519"/>
      <c r="T746" s="66"/>
      <c r="U746" s="2"/>
      <c r="V746" s="43"/>
    </row>
    <row r="747" spans="2:22" s="1" customFormat="1" x14ac:dyDescent="0.3">
      <c r="B747" s="325"/>
      <c r="C747" s="17"/>
      <c r="D747" s="1004" t="str">
        <f>RAB!C174</f>
        <v xml:space="preserve">Fiting duduk + bola Lampu essential LED 5 watt </v>
      </c>
      <c r="E747" s="1161"/>
      <c r="F747" s="517"/>
      <c r="G747" s="1161"/>
      <c r="H747" s="517"/>
      <c r="I747" s="1161"/>
      <c r="J747" s="517"/>
      <c r="K747" s="1161">
        <v>11</v>
      </c>
      <c r="L747" s="517"/>
      <c r="M747" s="1161"/>
      <c r="N747" s="517"/>
      <c r="O747" s="1161"/>
      <c r="P747" s="517"/>
      <c r="Q747" s="1161"/>
      <c r="R747" s="518" t="s">
        <v>114</v>
      </c>
      <c r="S747" s="986">
        <f t="shared" ref="S747:S754" si="11">K747</f>
        <v>11</v>
      </c>
      <c r="T747" s="972">
        <f t="shared" ref="T747:T754" si="12">ROUNDDOWN(S747,2)</f>
        <v>11</v>
      </c>
      <c r="U747" s="987" t="s">
        <v>9</v>
      </c>
      <c r="V747" s="43"/>
    </row>
    <row r="748" spans="2:22" s="1" customFormat="1" x14ac:dyDescent="0.3">
      <c r="B748" s="325"/>
      <c r="C748" s="17"/>
      <c r="D748" s="1004" t="str">
        <f>RAB!C175</f>
        <v xml:space="preserve">Fiting duduk + bola Lampu essential  LED 15 watt </v>
      </c>
      <c r="E748" s="1161"/>
      <c r="F748" s="517"/>
      <c r="G748" s="1161"/>
      <c r="H748" s="517"/>
      <c r="I748" s="1161"/>
      <c r="J748" s="517"/>
      <c r="K748" s="1161">
        <v>37</v>
      </c>
      <c r="L748" s="517"/>
      <c r="M748" s="1161"/>
      <c r="N748" s="517"/>
      <c r="O748" s="1161"/>
      <c r="P748" s="517"/>
      <c r="Q748" s="1161"/>
      <c r="R748" s="518" t="s">
        <v>114</v>
      </c>
      <c r="S748" s="986">
        <f t="shared" si="11"/>
        <v>37</v>
      </c>
      <c r="T748" s="972">
        <f t="shared" si="12"/>
        <v>37</v>
      </c>
      <c r="U748" s="987" t="s">
        <v>9</v>
      </c>
      <c r="V748" s="43"/>
    </row>
    <row r="749" spans="2:22" s="1" customFormat="1" ht="27" x14ac:dyDescent="0.3">
      <c r="B749" s="325"/>
      <c r="C749" s="17"/>
      <c r="D749" s="1026" t="str">
        <f>RAB!C176</f>
        <v>Fiting duduk + bola Lampu essential AC/DC  LED 15 watt (emergency )</v>
      </c>
      <c r="E749" s="1161"/>
      <c r="F749" s="517"/>
      <c r="G749" s="1161"/>
      <c r="H749" s="517"/>
      <c r="I749" s="1161"/>
      <c r="J749" s="517"/>
      <c r="K749" s="1161">
        <v>16</v>
      </c>
      <c r="L749" s="517"/>
      <c r="M749" s="1161"/>
      <c r="N749" s="517"/>
      <c r="O749" s="1161"/>
      <c r="P749" s="517"/>
      <c r="Q749" s="1161"/>
      <c r="R749" s="518" t="s">
        <v>114</v>
      </c>
      <c r="S749" s="986">
        <f t="shared" si="11"/>
        <v>16</v>
      </c>
      <c r="T749" s="972">
        <f t="shared" si="12"/>
        <v>16</v>
      </c>
      <c r="U749" s="987" t="s">
        <v>9</v>
      </c>
      <c r="V749" s="43"/>
    </row>
    <row r="750" spans="2:22" s="1" customFormat="1" x14ac:dyDescent="0.3">
      <c r="B750" s="325"/>
      <c r="C750" s="17"/>
      <c r="D750" s="1004" t="e">
        <f>RAB!#REF!</f>
        <v>#REF!</v>
      </c>
      <c r="E750" s="1161"/>
      <c r="F750" s="517"/>
      <c r="G750" s="1161"/>
      <c r="H750" s="517"/>
      <c r="I750" s="1161"/>
      <c r="J750" s="517"/>
      <c r="K750" s="1161">
        <v>0</v>
      </c>
      <c r="L750" s="517"/>
      <c r="M750" s="1161"/>
      <c r="N750" s="517"/>
      <c r="O750" s="1161"/>
      <c r="P750" s="517"/>
      <c r="Q750" s="1161"/>
      <c r="R750" s="518" t="s">
        <v>114</v>
      </c>
      <c r="S750" s="986">
        <f t="shared" si="11"/>
        <v>0</v>
      </c>
      <c r="T750" s="972">
        <f t="shared" si="12"/>
        <v>0</v>
      </c>
      <c r="U750" s="987" t="s">
        <v>9</v>
      </c>
      <c r="V750" s="43"/>
    </row>
    <row r="751" spans="2:22" s="1" customFormat="1" x14ac:dyDescent="0.3">
      <c r="B751" s="325"/>
      <c r="C751" s="17"/>
      <c r="D751" s="1004" t="str">
        <f>RAB!C177</f>
        <v xml:space="preserve">Saklar double </v>
      </c>
      <c r="E751" s="1161"/>
      <c r="F751" s="517"/>
      <c r="G751" s="1161"/>
      <c r="H751" s="517"/>
      <c r="I751" s="1161"/>
      <c r="J751" s="517"/>
      <c r="K751" s="1161">
        <v>2</v>
      </c>
      <c r="L751" s="517"/>
      <c r="M751" s="1161"/>
      <c r="N751" s="517"/>
      <c r="O751" s="1161"/>
      <c r="P751" s="517"/>
      <c r="Q751" s="1161"/>
      <c r="R751" s="518" t="s">
        <v>114</v>
      </c>
      <c r="S751" s="986">
        <f t="shared" si="11"/>
        <v>2</v>
      </c>
      <c r="T751" s="972">
        <f t="shared" si="12"/>
        <v>2</v>
      </c>
      <c r="U751" s="987" t="s">
        <v>9</v>
      </c>
      <c r="V751" s="43"/>
    </row>
    <row r="752" spans="2:22" s="32" customFormat="1" x14ac:dyDescent="0.3">
      <c r="B752" s="124"/>
      <c r="C752" s="114"/>
      <c r="D752" s="1004" t="str">
        <f>RAB!C178</f>
        <v>Saklar triple</v>
      </c>
      <c r="E752" s="328"/>
      <c r="F752" s="510"/>
      <c r="G752" s="328"/>
      <c r="H752" s="510"/>
      <c r="I752" s="328"/>
      <c r="J752" s="510"/>
      <c r="K752" s="328">
        <v>10</v>
      </c>
      <c r="L752" s="510"/>
      <c r="M752" s="328"/>
      <c r="N752" s="510"/>
      <c r="O752" s="328"/>
      <c r="P752" s="510"/>
      <c r="Q752" s="328"/>
      <c r="R752" s="518" t="s">
        <v>114</v>
      </c>
      <c r="S752" s="986">
        <f t="shared" si="11"/>
        <v>10</v>
      </c>
      <c r="T752" s="972">
        <f t="shared" si="12"/>
        <v>10</v>
      </c>
      <c r="U752" s="987" t="s">
        <v>9</v>
      </c>
      <c r="V752" s="51"/>
    </row>
    <row r="753" spans="2:22" s="32" customFormat="1" x14ac:dyDescent="0.3">
      <c r="B753" s="124"/>
      <c r="C753" s="114"/>
      <c r="D753" s="1004" t="e">
        <f>RAB!#REF!</f>
        <v>#REF!</v>
      </c>
      <c r="E753" s="328"/>
      <c r="F753" s="510"/>
      <c r="G753" s="328"/>
      <c r="H753" s="510"/>
      <c r="I753" s="328"/>
      <c r="J753" s="510"/>
      <c r="K753" s="328">
        <v>2</v>
      </c>
      <c r="L753" s="510"/>
      <c r="M753" s="328"/>
      <c r="N753" s="510"/>
      <c r="O753" s="328"/>
      <c r="P753" s="510"/>
      <c r="Q753" s="328"/>
      <c r="R753" s="518" t="s">
        <v>114</v>
      </c>
      <c r="S753" s="986">
        <f t="shared" si="11"/>
        <v>2</v>
      </c>
      <c r="T753" s="972">
        <f t="shared" si="12"/>
        <v>2</v>
      </c>
      <c r="U753" s="987" t="s">
        <v>9</v>
      </c>
      <c r="V753" s="51"/>
    </row>
    <row r="754" spans="2:22" s="32" customFormat="1" x14ac:dyDescent="0.3">
      <c r="B754" s="124"/>
      <c r="C754" s="114"/>
      <c r="D754" s="1004" t="e">
        <f>RAB!#REF!</f>
        <v>#REF!</v>
      </c>
      <c r="E754" s="328"/>
      <c r="F754" s="510"/>
      <c r="G754" s="328"/>
      <c r="H754" s="510"/>
      <c r="I754" s="328"/>
      <c r="J754" s="510"/>
      <c r="K754" s="328">
        <v>47</v>
      </c>
      <c r="L754" s="510"/>
      <c r="M754" s="328"/>
      <c r="N754" s="510"/>
      <c r="O754" s="328"/>
      <c r="P754" s="510"/>
      <c r="Q754" s="328"/>
      <c r="R754" s="518" t="s">
        <v>114</v>
      </c>
      <c r="S754" s="986">
        <f t="shared" si="11"/>
        <v>47</v>
      </c>
      <c r="T754" s="972">
        <f t="shared" si="12"/>
        <v>47</v>
      </c>
      <c r="U754" s="987" t="s">
        <v>9</v>
      </c>
      <c r="V754" s="51"/>
    </row>
    <row r="755" spans="2:22" s="32" customFormat="1" ht="9.75" customHeight="1" x14ac:dyDescent="0.3">
      <c r="B755" s="124"/>
      <c r="C755" s="114"/>
      <c r="D755" s="1004"/>
      <c r="E755" s="328"/>
      <c r="F755" s="510"/>
      <c r="G755" s="328"/>
      <c r="H755" s="510"/>
      <c r="I755" s="328"/>
      <c r="J755" s="510"/>
      <c r="K755" s="328"/>
      <c r="L755" s="510"/>
      <c r="M755" s="328"/>
      <c r="N755" s="510"/>
      <c r="O755" s="328"/>
      <c r="P755" s="510"/>
      <c r="Q755" s="328"/>
      <c r="R755" s="510"/>
      <c r="S755" s="596"/>
      <c r="T755" s="53"/>
      <c r="U755" s="50"/>
      <c r="V755" s="51"/>
    </row>
    <row r="756" spans="2:22" s="32" customFormat="1" x14ac:dyDescent="0.3">
      <c r="B756" s="124"/>
      <c r="C756" s="114"/>
      <c r="D756" s="1014" t="str">
        <f>RAB!C179</f>
        <v>INSTALASI KABEL</v>
      </c>
      <c r="E756" s="328"/>
      <c r="F756" s="510"/>
      <c r="G756" s="328"/>
      <c r="H756" s="510"/>
      <c r="I756" s="328"/>
      <c r="J756" s="510"/>
      <c r="K756" s="328"/>
      <c r="L756" s="510"/>
      <c r="M756" s="328"/>
      <c r="N756" s="510"/>
      <c r="O756" s="328"/>
      <c r="P756" s="510"/>
      <c r="Q756" s="328"/>
      <c r="R756" s="510"/>
      <c r="S756" s="596"/>
      <c r="T756" s="53"/>
      <c r="U756" s="50"/>
      <c r="V756" s="51"/>
    </row>
    <row r="757" spans="2:22" s="32" customFormat="1" ht="27.75" x14ac:dyDescent="0.3">
      <c r="B757" s="124"/>
      <c r="C757" s="114"/>
      <c r="D757" s="1015" t="str">
        <f>RAB!C180</f>
        <v xml:space="preserve">Instalasi Penerangan kabel NYM 3 x 1,5 mm dalam pipa counduit high impact </v>
      </c>
      <c r="E757" s="328"/>
      <c r="F757" s="510"/>
      <c r="G757" s="328"/>
      <c r="H757" s="510"/>
      <c r="I757" s="328"/>
      <c r="J757" s="510"/>
      <c r="K757" s="1032">
        <v>48</v>
      </c>
      <c r="L757" s="510"/>
      <c r="M757" s="328"/>
      <c r="N757" s="510"/>
      <c r="O757" s="328"/>
      <c r="P757" s="510"/>
      <c r="Q757" s="328"/>
      <c r="R757" s="518" t="s">
        <v>114</v>
      </c>
      <c r="S757" s="986">
        <f>K757</f>
        <v>48</v>
      </c>
      <c r="T757" s="972">
        <f>ROUNDDOWN(S757,2)</f>
        <v>48</v>
      </c>
      <c r="U757" s="1016" t="s">
        <v>312</v>
      </c>
      <c r="V757" s="133"/>
    </row>
    <row r="758" spans="2:22" s="32" customFormat="1" ht="27.75" x14ac:dyDescent="0.3">
      <c r="B758" s="124"/>
      <c r="C758" s="114"/>
      <c r="D758" s="1015" t="str">
        <f>RAB!C181</f>
        <v>Instalasi saklar kabel NYM 3 x 1,5 mm dalam pipa counduit high impact</v>
      </c>
      <c r="E758" s="328"/>
      <c r="F758" s="510"/>
      <c r="G758" s="328"/>
      <c r="H758" s="510"/>
      <c r="I758" s="328"/>
      <c r="J758" s="510"/>
      <c r="K758" s="1032">
        <v>8</v>
      </c>
      <c r="L758" s="510"/>
      <c r="M758" s="328"/>
      <c r="N758" s="510"/>
      <c r="O758" s="328"/>
      <c r="P758" s="510"/>
      <c r="Q758" s="328"/>
      <c r="R758" s="518" t="s">
        <v>114</v>
      </c>
      <c r="S758" s="986">
        <f>K758</f>
        <v>8</v>
      </c>
      <c r="T758" s="972">
        <f>ROUNDDOWN(S758,2)</f>
        <v>8</v>
      </c>
      <c r="U758" s="1016" t="s">
        <v>312</v>
      </c>
      <c r="V758" s="133"/>
    </row>
    <row r="759" spans="2:22" s="32" customFormat="1" ht="27.75" x14ac:dyDescent="0.3">
      <c r="B759" s="124"/>
      <c r="C759" s="114"/>
      <c r="D759" s="1015" t="str">
        <f>RAB!C182</f>
        <v>Instalasi stopkontak kabel NYM 3  x 2,5 mm dalam pipa counduit</v>
      </c>
      <c r="E759" s="328"/>
      <c r="F759" s="510"/>
      <c r="G759" s="328"/>
      <c r="H759" s="510"/>
      <c r="I759" s="328"/>
      <c r="J759" s="510"/>
      <c r="K759" s="1032">
        <v>4</v>
      </c>
      <c r="L759" s="510"/>
      <c r="M759" s="328"/>
      <c r="N759" s="510"/>
      <c r="O759" s="328"/>
      <c r="P759" s="510"/>
      <c r="Q759" s="328"/>
      <c r="R759" s="518" t="s">
        <v>114</v>
      </c>
      <c r="S759" s="986">
        <f>K759</f>
        <v>4</v>
      </c>
      <c r="T759" s="972">
        <f>ROUNDDOWN(S759,2)</f>
        <v>4</v>
      </c>
      <c r="U759" s="1016" t="s">
        <v>312</v>
      </c>
      <c r="V759" s="133"/>
    </row>
    <row r="760" spans="2:22" s="32" customFormat="1" ht="17.25" thickBot="1" x14ac:dyDescent="0.35">
      <c r="B760" s="124"/>
      <c r="C760" s="114"/>
      <c r="D760" s="1141"/>
      <c r="E760" s="1127"/>
      <c r="F760" s="1142"/>
      <c r="G760" s="1127"/>
      <c r="H760" s="1142"/>
      <c r="I760" s="1127"/>
      <c r="J760" s="1142"/>
      <c r="K760" s="1127"/>
      <c r="L760" s="1142"/>
      <c r="M760" s="1127"/>
      <c r="N760" s="1142"/>
      <c r="O760" s="1127"/>
      <c r="P760" s="1142"/>
      <c r="Q760" s="1127"/>
      <c r="R760" s="1142"/>
      <c r="S760" s="1143"/>
      <c r="T760" s="53"/>
      <c r="U760" s="50"/>
      <c r="V760" s="51"/>
    </row>
    <row r="761" spans="2:22" x14ac:dyDescent="0.3">
      <c r="B761" s="473"/>
      <c r="C761" s="465"/>
      <c r="D761" s="453"/>
      <c r="E761" s="455"/>
      <c r="F761" s="485"/>
      <c r="G761" s="455"/>
      <c r="H761" s="485"/>
      <c r="I761" s="455"/>
      <c r="J761" s="485"/>
      <c r="K761" s="477"/>
      <c r="L761" s="492"/>
      <c r="M761" s="477"/>
      <c r="N761" s="492"/>
      <c r="O761" s="477"/>
      <c r="P761" s="492"/>
      <c r="Q761" s="477"/>
      <c r="R761" s="492"/>
      <c r="S761" s="454"/>
    </row>
    <row r="762" spans="2:22" x14ac:dyDescent="0.3">
      <c r="C762" s="473"/>
    </row>
    <row r="763" spans="2:22" x14ac:dyDescent="0.3">
      <c r="C763" s="473"/>
    </row>
    <row r="764" spans="2:22" x14ac:dyDescent="0.3">
      <c r="C764" s="473"/>
    </row>
    <row r="765" spans="2:22" x14ac:dyDescent="0.3">
      <c r="C765" s="473"/>
    </row>
    <row r="766" spans="2:22" x14ac:dyDescent="0.3">
      <c r="C766" s="473"/>
    </row>
    <row r="767" spans="2:22" x14ac:dyDescent="0.3">
      <c r="C767" s="473"/>
    </row>
    <row r="768" spans="2:22" x14ac:dyDescent="0.3">
      <c r="C768" s="473"/>
    </row>
    <row r="769" spans="3:3" x14ac:dyDescent="0.3">
      <c r="C769" s="473"/>
    </row>
    <row r="770" spans="3:3" x14ac:dyDescent="0.3">
      <c r="C770" s="473"/>
    </row>
    <row r="771" spans="3:3" x14ac:dyDescent="0.3">
      <c r="C771" s="473"/>
    </row>
    <row r="772" spans="3:3" x14ac:dyDescent="0.3">
      <c r="C772" s="473"/>
    </row>
    <row r="773" spans="3:3" x14ac:dyDescent="0.3">
      <c r="C773" s="473"/>
    </row>
    <row r="774" spans="3:3" x14ac:dyDescent="0.3">
      <c r="C774" s="473"/>
    </row>
    <row r="775" spans="3:3" x14ac:dyDescent="0.3">
      <c r="C775" s="473"/>
    </row>
    <row r="776" spans="3:3" x14ac:dyDescent="0.3">
      <c r="C776" s="473"/>
    </row>
    <row r="777" spans="3:3" x14ac:dyDescent="0.3">
      <c r="C777" s="473"/>
    </row>
    <row r="778" spans="3:3" x14ac:dyDescent="0.3">
      <c r="C778" s="473"/>
    </row>
    <row r="779" spans="3:3" x14ac:dyDescent="0.3">
      <c r="C779" s="473"/>
    </row>
    <row r="780" spans="3:3" x14ac:dyDescent="0.3">
      <c r="C780" s="473"/>
    </row>
    <row r="781" spans="3:3" x14ac:dyDescent="0.3">
      <c r="C781" s="473"/>
    </row>
    <row r="782" spans="3:3" x14ac:dyDescent="0.3">
      <c r="C782" s="473"/>
    </row>
    <row r="783" spans="3:3" x14ac:dyDescent="0.3">
      <c r="C783" s="473"/>
    </row>
    <row r="784" spans="3:3" x14ac:dyDescent="0.3">
      <c r="C784" s="473"/>
    </row>
    <row r="785" spans="3:3" x14ac:dyDescent="0.3">
      <c r="C785" s="473"/>
    </row>
    <row r="786" spans="3:3" x14ac:dyDescent="0.3">
      <c r="C786" s="473"/>
    </row>
    <row r="787" spans="3:3" x14ac:dyDescent="0.3">
      <c r="C787" s="473"/>
    </row>
    <row r="788" spans="3:3" x14ac:dyDescent="0.3">
      <c r="C788" s="473"/>
    </row>
    <row r="789" spans="3:3" x14ac:dyDescent="0.3">
      <c r="C789" s="473"/>
    </row>
    <row r="790" spans="3:3" x14ac:dyDescent="0.3">
      <c r="C790" s="473"/>
    </row>
    <row r="791" spans="3:3" x14ac:dyDescent="0.3">
      <c r="C791" s="473"/>
    </row>
  </sheetData>
  <mergeCells count="67">
    <mergeCell ref="D112:I112"/>
    <mergeCell ref="B4:U4"/>
    <mergeCell ref="D13:I13"/>
    <mergeCell ref="D20:I20"/>
    <mergeCell ref="D37:I37"/>
    <mergeCell ref="D45:I45"/>
    <mergeCell ref="D59:I59"/>
    <mergeCell ref="D70:I70"/>
    <mergeCell ref="D77:I77"/>
    <mergeCell ref="D87:I87"/>
    <mergeCell ref="D98:I98"/>
    <mergeCell ref="D105:I105"/>
    <mergeCell ref="D216:I216"/>
    <mergeCell ref="D119:I119"/>
    <mergeCell ref="D125:I125"/>
    <mergeCell ref="D134:I134"/>
    <mergeCell ref="D141:I141"/>
    <mergeCell ref="D147:I147"/>
    <mergeCell ref="D156:I156"/>
    <mergeCell ref="D163:I163"/>
    <mergeCell ref="D169:I169"/>
    <mergeCell ref="D180:I180"/>
    <mergeCell ref="D198:I198"/>
    <mergeCell ref="D205:I205"/>
    <mergeCell ref="D358:I358"/>
    <mergeCell ref="D222:I222"/>
    <mergeCell ref="D229:I229"/>
    <mergeCell ref="D235:I235"/>
    <mergeCell ref="D265:I265"/>
    <mergeCell ref="D273:I273"/>
    <mergeCell ref="D280:I280"/>
    <mergeCell ref="D286:I286"/>
    <mergeCell ref="D303:I303"/>
    <mergeCell ref="D325:I325"/>
    <mergeCell ref="D336:I336"/>
    <mergeCell ref="D344:I344"/>
    <mergeCell ref="D485:I485"/>
    <mergeCell ref="D371:I371"/>
    <mergeCell ref="D379:I379"/>
    <mergeCell ref="D387:I387"/>
    <mergeCell ref="D399:I399"/>
    <mergeCell ref="D411:I411"/>
    <mergeCell ref="D420:I420"/>
    <mergeCell ref="D431:I431"/>
    <mergeCell ref="D441:I441"/>
    <mergeCell ref="D451:I451"/>
    <mergeCell ref="D465:I465"/>
    <mergeCell ref="D479:I479"/>
    <mergeCell ref="D591:I591"/>
    <mergeCell ref="D494:I494"/>
    <mergeCell ref="D501:I501"/>
    <mergeCell ref="D508:I508"/>
    <mergeCell ref="D515:I515"/>
    <mergeCell ref="D536:I536"/>
    <mergeCell ref="D542:I542"/>
    <mergeCell ref="D551:I551"/>
    <mergeCell ref="D558:I558"/>
    <mergeCell ref="D564:I564"/>
    <mergeCell ref="D578:I578"/>
    <mergeCell ref="D585:I585"/>
    <mergeCell ref="D656:I656"/>
    <mergeCell ref="D597:I597"/>
    <mergeCell ref="D615:I615"/>
    <mergeCell ref="D621:I621"/>
    <mergeCell ref="D634:I634"/>
    <mergeCell ref="D640:I640"/>
    <mergeCell ref="D647:I647"/>
  </mergeCells>
  <conditionalFormatting sqref="P259">
    <cfRule type="uniqueValues" dxfId="145" priority="50"/>
  </conditionalFormatting>
  <conditionalFormatting sqref="R259">
    <cfRule type="uniqueValues" dxfId="144" priority="49"/>
  </conditionalFormatting>
  <conditionalFormatting sqref="R277:R278">
    <cfRule type="uniqueValues" dxfId="143" priority="48"/>
  </conditionalFormatting>
  <conditionalFormatting sqref="P248">
    <cfRule type="uniqueValues" dxfId="142" priority="47"/>
  </conditionalFormatting>
  <conditionalFormatting sqref="R248">
    <cfRule type="uniqueValues" dxfId="141" priority="46"/>
  </conditionalFormatting>
  <conditionalFormatting sqref="R260">
    <cfRule type="uniqueValues" dxfId="140" priority="45"/>
  </conditionalFormatting>
  <conditionalFormatting sqref="P260">
    <cfRule type="uniqueValues" dxfId="139" priority="44"/>
  </conditionalFormatting>
  <conditionalFormatting sqref="P250">
    <cfRule type="uniqueValues" dxfId="138" priority="43"/>
  </conditionalFormatting>
  <conditionalFormatting sqref="R212">
    <cfRule type="uniqueValues" dxfId="137" priority="42"/>
  </conditionalFormatting>
  <conditionalFormatting sqref="R220">
    <cfRule type="uniqueValues" dxfId="136" priority="41"/>
  </conditionalFormatting>
  <conditionalFormatting sqref="R226:R227">
    <cfRule type="uniqueValues" dxfId="135" priority="40"/>
  </conditionalFormatting>
  <conditionalFormatting sqref="R233">
    <cfRule type="uniqueValues" dxfId="134" priority="39"/>
  </conditionalFormatting>
  <conditionalFormatting sqref="P233">
    <cfRule type="uniqueValues" dxfId="133" priority="38"/>
  </conditionalFormatting>
  <conditionalFormatting sqref="R197">
    <cfRule type="uniqueValues" dxfId="132" priority="37"/>
  </conditionalFormatting>
  <conditionalFormatting sqref="P202:P203">
    <cfRule type="uniqueValues" dxfId="131" priority="36"/>
  </conditionalFormatting>
  <conditionalFormatting sqref="P398">
    <cfRule type="uniqueValues" dxfId="130" priority="35"/>
  </conditionalFormatting>
  <conditionalFormatting sqref="R403">
    <cfRule type="uniqueValues" dxfId="129" priority="34"/>
  </conditionalFormatting>
  <conditionalFormatting sqref="R415:R417">
    <cfRule type="uniqueValues" dxfId="128" priority="33"/>
  </conditionalFormatting>
  <conditionalFormatting sqref="P415:P416">
    <cfRule type="uniqueValues" dxfId="127" priority="32"/>
  </conditionalFormatting>
  <conditionalFormatting sqref="P417">
    <cfRule type="uniqueValues" dxfId="126" priority="31"/>
  </conditionalFormatting>
  <conditionalFormatting sqref="P294">
    <cfRule type="uniqueValues" dxfId="125" priority="30"/>
  </conditionalFormatting>
  <conditionalFormatting sqref="R298">
    <cfRule type="uniqueValues" dxfId="124" priority="29"/>
  </conditionalFormatting>
  <conditionalFormatting sqref="P298">
    <cfRule type="uniqueValues" dxfId="123" priority="28"/>
  </conditionalFormatting>
  <conditionalFormatting sqref="R450">
    <cfRule type="uniqueValues" dxfId="122" priority="27"/>
  </conditionalFormatting>
  <conditionalFormatting sqref="P291">
    <cfRule type="uniqueValues" dxfId="121" priority="26"/>
  </conditionalFormatting>
  <conditionalFormatting sqref="R291">
    <cfRule type="uniqueValues" dxfId="120" priority="25"/>
  </conditionalFormatting>
  <conditionalFormatting sqref="R294:R296">
    <cfRule type="uniqueValues" dxfId="119" priority="24"/>
  </conditionalFormatting>
  <conditionalFormatting sqref="R418">
    <cfRule type="uniqueValues" dxfId="118" priority="23"/>
  </conditionalFormatting>
  <conditionalFormatting sqref="P418">
    <cfRule type="uniqueValues" dxfId="117" priority="22"/>
  </conditionalFormatting>
  <conditionalFormatting sqref="P239:P240">
    <cfRule type="uniqueValues" dxfId="116" priority="21"/>
  </conditionalFormatting>
  <conditionalFormatting sqref="R353">
    <cfRule type="uniqueValues" dxfId="115" priority="20"/>
  </conditionalFormatting>
  <conditionalFormatting sqref="P353">
    <cfRule type="uniqueValues" dxfId="114" priority="19"/>
  </conditionalFormatting>
  <conditionalFormatting sqref="P349:P352">
    <cfRule type="uniqueValues" dxfId="113" priority="18"/>
  </conditionalFormatting>
  <conditionalFormatting sqref="R349:R352">
    <cfRule type="uniqueValues" dxfId="112" priority="17"/>
  </conditionalFormatting>
  <conditionalFormatting sqref="R362">
    <cfRule type="uniqueValues" dxfId="111" priority="16"/>
  </conditionalFormatting>
  <conditionalFormatting sqref="R383:R385">
    <cfRule type="uniqueValues" dxfId="110" priority="15"/>
  </conditionalFormatting>
  <conditionalFormatting sqref="R226">
    <cfRule type="uniqueValues" dxfId="109" priority="14"/>
  </conditionalFormatting>
  <conditionalFormatting sqref="R227">
    <cfRule type="uniqueValues" dxfId="108" priority="13"/>
  </conditionalFormatting>
  <conditionalFormatting sqref="R284">
    <cfRule type="uniqueValues" dxfId="107" priority="12"/>
  </conditionalFormatting>
  <conditionalFormatting sqref="P292">
    <cfRule type="uniqueValues" dxfId="106" priority="11"/>
  </conditionalFormatting>
  <conditionalFormatting sqref="R292">
    <cfRule type="uniqueValues" dxfId="105" priority="10"/>
  </conditionalFormatting>
  <conditionalFormatting sqref="P293">
    <cfRule type="uniqueValues" dxfId="104" priority="9"/>
  </conditionalFormatting>
  <conditionalFormatting sqref="R293">
    <cfRule type="uniqueValues" dxfId="103" priority="8"/>
  </conditionalFormatting>
  <conditionalFormatting sqref="P295:P297">
    <cfRule type="uniqueValues" dxfId="102" priority="7"/>
  </conditionalFormatting>
  <conditionalFormatting sqref="R295:R297">
    <cfRule type="uniqueValues" dxfId="101" priority="6"/>
  </conditionalFormatting>
  <conditionalFormatting sqref="R340:R342">
    <cfRule type="uniqueValues" dxfId="100" priority="5"/>
  </conditionalFormatting>
  <conditionalFormatting sqref="R299:R300">
    <cfRule type="uniqueValues" dxfId="99" priority="4"/>
  </conditionalFormatting>
  <conditionalFormatting sqref="R366">
    <cfRule type="uniqueValues" dxfId="98" priority="3"/>
  </conditionalFormatting>
  <conditionalFormatting sqref="R369">
    <cfRule type="uniqueValues" dxfId="97" priority="2"/>
  </conditionalFormatting>
  <conditionalFormatting sqref="R365:R369">
    <cfRule type="uniqueValues" dxfId="96" priority="1"/>
  </conditionalFormatting>
  <printOptions horizontalCentered="1"/>
  <pageMargins left="0.5" right="0.5" top="0.5" bottom="0" header="0" footer="0"/>
  <pageSetup paperSize="9" scale="70" orientation="portrait" horizontalDpi="4294967293" r:id="rId1"/>
  <rowBreaks count="14" manualBreakCount="14">
    <brk id="65" min="1" max="20" man="1"/>
    <brk id="126" min="1" max="20" man="1"/>
    <brk id="180" min="1" max="20" man="1"/>
    <brk id="236" min="1" max="20" man="1"/>
    <brk id="281" min="1" max="20" man="1"/>
    <brk id="359" min="1" max="20" man="1"/>
    <brk id="474" min="1" max="20" man="1"/>
    <brk id="558" min="1" max="20" man="1"/>
    <brk id="622" min="1" max="20" man="1"/>
    <brk id="672" min="1" max="20" man="1"/>
    <brk id="735" min="1" max="20" man="1"/>
    <brk id="1540" min="1" max="20" man="1"/>
    <brk id="2519" min="1" max="20" man="1"/>
    <brk id="3269" min="1" max="2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Y791"/>
  <sheetViews>
    <sheetView view="pageBreakPreview" topLeftCell="A708" zoomScale="110" zoomScaleNormal="70" zoomScaleSheetLayoutView="110" workbookViewId="0">
      <selection activeCell="C51" sqref="C51:E52"/>
    </sheetView>
  </sheetViews>
  <sheetFormatPr defaultColWidth="9.28515625" defaultRowHeight="16.5" x14ac:dyDescent="0.3"/>
  <cols>
    <col min="1" max="1" width="1.42578125" style="351" customWidth="1"/>
    <col min="2" max="2" width="3.5703125" style="351" customWidth="1"/>
    <col min="3" max="3" width="4.7109375" style="429" customWidth="1"/>
    <col min="4" max="4" width="29.7109375" style="351" customWidth="1"/>
    <col min="5" max="5" width="7.140625" style="430" customWidth="1"/>
    <col min="6" max="6" width="2.28515625" style="481" customWidth="1"/>
    <col min="7" max="7" width="6.7109375" style="430" customWidth="1"/>
    <col min="8" max="8" width="2.28515625" style="481" customWidth="1"/>
    <col min="9" max="9" width="6.7109375" style="430" customWidth="1"/>
    <col min="10" max="10" width="2.28515625" style="481" customWidth="1"/>
    <col min="11" max="11" width="9.7109375" style="430" customWidth="1"/>
    <col min="12" max="12" width="2.28515625" style="481" customWidth="1"/>
    <col min="13" max="13" width="6.7109375" style="431" customWidth="1"/>
    <col min="14" max="14" width="2.28515625" style="481" customWidth="1"/>
    <col min="15" max="15" width="8.5703125" style="430" customWidth="1"/>
    <col min="16" max="16" width="2.28515625" style="481" customWidth="1"/>
    <col min="17" max="17" width="10.7109375" style="432" customWidth="1"/>
    <col min="18" max="18" width="2.28515625" style="481" customWidth="1"/>
    <col min="19" max="19" width="10.140625" style="433" customWidth="1"/>
    <col min="20" max="20" width="10" style="434" customWidth="1"/>
    <col min="21" max="21" width="4.28515625" style="352" bestFit="1" customWidth="1"/>
    <col min="22" max="22" width="14.85546875" style="673" customWidth="1"/>
    <col min="23" max="23" width="12.5703125" style="351" bestFit="1" customWidth="1"/>
    <col min="24" max="24" width="11.28515625" style="351" customWidth="1"/>
    <col min="25" max="25" width="13.7109375" style="351" bestFit="1" customWidth="1"/>
    <col min="26" max="16384" width="9.28515625" style="351"/>
  </cols>
  <sheetData>
    <row r="1" spans="2:22" s="1" customFormat="1" x14ac:dyDescent="0.3">
      <c r="B1" s="1" t="str">
        <f>RAB!B3</f>
        <v xml:space="preserve">Pekerjaan          </v>
      </c>
      <c r="C1" s="3"/>
      <c r="D1" s="1" t="str">
        <f>RAB!D3</f>
        <v>: Perencanaan Pembangunan Gedung Tahfizul Qur'an-Wahdatul Ulum UIN SU</v>
      </c>
      <c r="E1" s="153"/>
      <c r="F1" s="480"/>
      <c r="G1" s="153"/>
      <c r="H1" s="480"/>
      <c r="I1" s="153"/>
      <c r="J1" s="480"/>
      <c r="K1" s="153"/>
      <c r="L1" s="480"/>
      <c r="M1" s="162"/>
      <c r="N1" s="480"/>
      <c r="O1" s="153"/>
      <c r="P1" s="480"/>
      <c r="Q1" s="200"/>
      <c r="R1" s="480"/>
      <c r="S1" s="224"/>
      <c r="T1" s="66"/>
      <c r="U1" s="2"/>
      <c r="V1" s="43"/>
    </row>
    <row r="2" spans="2:22" s="1" customFormat="1" x14ac:dyDescent="0.3">
      <c r="B2" s="1" t="str">
        <f>RAB!B4</f>
        <v xml:space="preserve">Lokasi                </v>
      </c>
      <c r="C2" s="3"/>
      <c r="D2" s="1" t="str">
        <f>RAB!D4</f>
        <v xml:space="preserve">Kampus UINSU Jl. Sutomo No. 1 </v>
      </c>
      <c r="E2" s="153"/>
      <c r="F2" s="480"/>
      <c r="G2" s="153"/>
      <c r="H2" s="480"/>
      <c r="I2" s="153"/>
      <c r="J2" s="480"/>
      <c r="K2" s="153"/>
      <c r="L2" s="480"/>
      <c r="M2" s="162"/>
      <c r="N2" s="480"/>
      <c r="O2" s="153"/>
      <c r="P2" s="480"/>
      <c r="Q2" s="200"/>
      <c r="R2" s="480"/>
      <c r="S2" s="224"/>
      <c r="T2" s="66"/>
      <c r="U2" s="2"/>
      <c r="V2" s="43"/>
    </row>
    <row r="3" spans="2:22" s="1" customFormat="1" x14ac:dyDescent="0.3">
      <c r="B3" s="1" t="str">
        <f>RAB!B5</f>
        <v xml:space="preserve">Tahun                 </v>
      </c>
      <c r="C3" s="3"/>
      <c r="D3" s="1" t="str">
        <f>RAB!D5</f>
        <v>: 2022</v>
      </c>
      <c r="E3" s="153"/>
      <c r="F3" s="480"/>
      <c r="G3" s="153"/>
      <c r="H3" s="480"/>
      <c r="I3" s="153"/>
      <c r="J3" s="480"/>
      <c r="K3" s="153"/>
      <c r="L3" s="480"/>
      <c r="M3" s="162"/>
      <c r="N3" s="480"/>
      <c r="O3" s="153"/>
      <c r="P3" s="480"/>
      <c r="Q3" s="200"/>
      <c r="R3" s="480"/>
      <c r="S3" s="224"/>
      <c r="T3" s="66"/>
      <c r="U3" s="2"/>
      <c r="V3" s="43"/>
    </row>
    <row r="4" spans="2:22" s="67" customFormat="1" ht="22.15" customHeight="1" x14ac:dyDescent="0.2">
      <c r="B4" s="3098" t="s">
        <v>594</v>
      </c>
      <c r="C4" s="3098"/>
      <c r="D4" s="3098"/>
      <c r="E4" s="3098"/>
      <c r="F4" s="3098"/>
      <c r="G4" s="3098"/>
      <c r="H4" s="3098"/>
      <c r="I4" s="3098"/>
      <c r="J4" s="3098"/>
      <c r="K4" s="3098"/>
      <c r="L4" s="3098"/>
      <c r="M4" s="3098"/>
      <c r="N4" s="3098"/>
      <c r="O4" s="3098"/>
      <c r="P4" s="3098"/>
      <c r="Q4" s="3098"/>
      <c r="R4" s="3098"/>
      <c r="S4" s="3098"/>
      <c r="T4" s="3098"/>
      <c r="U4" s="3098"/>
      <c r="V4" s="672"/>
    </row>
    <row r="5" spans="2:22" s="1" customFormat="1" x14ac:dyDescent="0.3">
      <c r="B5" s="2"/>
      <c r="C5" s="110"/>
      <c r="D5" s="2"/>
      <c r="E5" s="153"/>
      <c r="F5" s="480"/>
      <c r="G5" s="153"/>
      <c r="H5" s="480"/>
      <c r="I5" s="153"/>
      <c r="J5" s="480"/>
      <c r="K5" s="153"/>
      <c r="L5" s="480"/>
      <c r="M5" s="162"/>
      <c r="N5" s="480"/>
      <c r="O5" s="153"/>
      <c r="P5" s="480"/>
      <c r="Q5" s="200"/>
      <c r="R5" s="480"/>
      <c r="S5" s="225"/>
      <c r="T5" s="2" t="s">
        <v>183</v>
      </c>
      <c r="U5" s="2" t="s">
        <v>184</v>
      </c>
      <c r="V5" s="43"/>
    </row>
    <row r="6" spans="2:22" s="1" customFormat="1" x14ac:dyDescent="0.3">
      <c r="B6" s="66" t="str">
        <f>RAB!B291</f>
        <v>D</v>
      </c>
      <c r="C6" s="66" t="str">
        <f>RAB!C291</f>
        <v>BANGUNAN LANTAI - 3</v>
      </c>
      <c r="E6" s="153"/>
      <c r="F6" s="480"/>
      <c r="G6" s="153"/>
      <c r="H6" s="480"/>
      <c r="I6" s="153"/>
      <c r="J6" s="480"/>
      <c r="K6" s="153"/>
      <c r="L6" s="480"/>
      <c r="M6" s="162"/>
      <c r="N6" s="480"/>
      <c r="O6" s="153"/>
      <c r="P6" s="480"/>
      <c r="Q6" s="200"/>
      <c r="R6" s="480"/>
      <c r="S6" s="224"/>
      <c r="T6" s="66"/>
      <c r="U6" s="2"/>
      <c r="V6" s="43"/>
    </row>
    <row r="7" spans="2:22" hidden="1" x14ac:dyDescent="0.3">
      <c r="B7" s="434"/>
      <c r="C7" s="435"/>
    </row>
    <row r="8" spans="2:22" s="1" customFormat="1" hidden="1" x14ac:dyDescent="0.3">
      <c r="B8" s="1">
        <f>RAB!B11</f>
        <v>1</v>
      </c>
      <c r="C8" s="3" t="str">
        <f>RAB!C11</f>
        <v>Pengukuran/Bowplank</v>
      </c>
      <c r="E8" s="153"/>
      <c r="F8" s="480"/>
      <c r="G8" s="153"/>
      <c r="H8" s="480"/>
      <c r="I8" s="153"/>
      <c r="J8" s="480"/>
      <c r="K8" s="153"/>
      <c r="L8" s="480"/>
      <c r="M8" s="162"/>
      <c r="N8" s="480"/>
      <c r="O8" s="153"/>
      <c r="P8" s="480"/>
      <c r="Q8" s="200"/>
      <c r="R8" s="480"/>
      <c r="S8" s="224"/>
      <c r="T8" s="99"/>
      <c r="U8" s="2"/>
      <c r="V8" s="43"/>
    </row>
    <row r="9" spans="2:22" s="1" customFormat="1" hidden="1" x14ac:dyDescent="0.3">
      <c r="C9" s="3"/>
      <c r="D9" s="8" t="s">
        <v>95</v>
      </c>
      <c r="E9" s="154" t="s">
        <v>150</v>
      </c>
      <c r="F9" s="493"/>
      <c r="G9" s="154" t="s">
        <v>151</v>
      </c>
      <c r="H9" s="493"/>
      <c r="I9" s="154" t="s">
        <v>152</v>
      </c>
      <c r="J9" s="493"/>
      <c r="K9" s="154" t="s">
        <v>153</v>
      </c>
      <c r="L9" s="494"/>
      <c r="M9" s="163" t="s">
        <v>32</v>
      </c>
      <c r="N9" s="494"/>
      <c r="O9" s="201" t="s">
        <v>163</v>
      </c>
      <c r="P9" s="494"/>
      <c r="Q9" s="202" t="s">
        <v>151</v>
      </c>
      <c r="R9" s="494"/>
      <c r="S9" s="226" t="s">
        <v>143</v>
      </c>
      <c r="T9" s="99"/>
      <c r="U9" s="2"/>
      <c r="V9" s="43"/>
    </row>
    <row r="10" spans="2:22" s="1" customFormat="1" hidden="1" x14ac:dyDescent="0.3">
      <c r="C10" s="3"/>
      <c r="D10" s="317" t="str">
        <f>RAB!C11</f>
        <v>Pengukuran/Bowplank</v>
      </c>
      <c r="E10" s="152"/>
      <c r="F10" s="495"/>
      <c r="G10" s="152"/>
      <c r="H10" s="496"/>
      <c r="I10" s="152"/>
      <c r="J10" s="495"/>
      <c r="K10" s="152"/>
      <c r="L10" s="496"/>
      <c r="M10" s="173"/>
      <c r="N10" s="496"/>
      <c r="O10" s="152"/>
      <c r="P10" s="495"/>
      <c r="Q10" s="221"/>
      <c r="R10" s="495"/>
      <c r="S10" s="316"/>
      <c r="T10" s="100">
        <f>S13</f>
        <v>138</v>
      </c>
      <c r="U10" s="2" t="s">
        <v>27</v>
      </c>
      <c r="V10" s="43"/>
    </row>
    <row r="11" spans="2:22" s="1" customFormat="1" hidden="1" x14ac:dyDescent="0.3">
      <c r="C11" s="3"/>
      <c r="D11" s="290" t="s">
        <v>286</v>
      </c>
      <c r="E11" s="187">
        <f>36+4</f>
        <v>40</v>
      </c>
      <c r="F11" s="497" t="s">
        <v>185</v>
      </c>
      <c r="G11" s="187"/>
      <c r="H11" s="498"/>
      <c r="I11" s="187"/>
      <c r="J11" s="497"/>
      <c r="K11" s="187">
        <v>2</v>
      </c>
      <c r="L11" s="498"/>
      <c r="M11" s="188"/>
      <c r="N11" s="498"/>
      <c r="O11" s="187"/>
      <c r="P11" s="497"/>
      <c r="Q11" s="218"/>
      <c r="R11" s="497" t="s">
        <v>114</v>
      </c>
      <c r="S11" s="293">
        <f>K11*E11</f>
        <v>80</v>
      </c>
      <c r="T11" s="100"/>
      <c r="U11" s="2"/>
      <c r="V11" s="43"/>
    </row>
    <row r="12" spans="2:22" s="1" customFormat="1" hidden="1" x14ac:dyDescent="0.3">
      <c r="C12" s="3"/>
      <c r="D12" s="290" t="s">
        <v>252</v>
      </c>
      <c r="E12" s="187">
        <f>25.5+3.5</f>
        <v>29</v>
      </c>
      <c r="F12" s="497" t="s">
        <v>185</v>
      </c>
      <c r="G12" s="187"/>
      <c r="H12" s="498"/>
      <c r="I12" s="187"/>
      <c r="J12" s="497"/>
      <c r="K12" s="187">
        <v>2</v>
      </c>
      <c r="L12" s="498"/>
      <c r="M12" s="188"/>
      <c r="N12" s="498"/>
      <c r="O12" s="187"/>
      <c r="P12" s="497"/>
      <c r="Q12" s="218"/>
      <c r="R12" s="497" t="s">
        <v>114</v>
      </c>
      <c r="S12" s="293">
        <f>K12*E12</f>
        <v>58</v>
      </c>
      <c r="T12" s="100"/>
      <c r="U12" s="2"/>
      <c r="V12" s="43"/>
    </row>
    <row r="13" spans="2:22" s="1" customFormat="1" ht="17.25" hidden="1" thickBot="1" x14ac:dyDescent="0.35">
      <c r="C13" s="3"/>
      <c r="D13" s="3099" t="s">
        <v>164</v>
      </c>
      <c r="E13" s="3100"/>
      <c r="F13" s="3100"/>
      <c r="G13" s="3100"/>
      <c r="H13" s="3100"/>
      <c r="I13" s="3100"/>
      <c r="J13" s="499"/>
      <c r="K13" s="174"/>
      <c r="L13" s="500"/>
      <c r="M13" s="175"/>
      <c r="N13" s="500"/>
      <c r="O13" s="178"/>
      <c r="P13" s="500"/>
      <c r="Q13" s="203"/>
      <c r="R13" s="500"/>
      <c r="S13" s="227">
        <f>SUM(S10:S12)</f>
        <v>138</v>
      </c>
      <c r="T13" s="99"/>
      <c r="U13" s="2"/>
      <c r="V13" s="43"/>
    </row>
    <row r="14" spans="2:22" s="1" customFormat="1" hidden="1" x14ac:dyDescent="0.3">
      <c r="C14" s="3"/>
      <c r="D14" s="111"/>
      <c r="E14" s="156"/>
      <c r="F14" s="501"/>
      <c r="G14" s="156"/>
      <c r="H14" s="501"/>
      <c r="I14" s="156"/>
      <c r="J14" s="501"/>
      <c r="K14" s="156"/>
      <c r="L14" s="501"/>
      <c r="M14" s="165"/>
      <c r="N14" s="501"/>
      <c r="O14" s="156"/>
      <c r="P14" s="501"/>
      <c r="Q14" s="204"/>
      <c r="R14" s="501"/>
      <c r="S14" s="228"/>
      <c r="T14" s="99"/>
      <c r="U14" s="2"/>
      <c r="V14" s="43"/>
    </row>
    <row r="15" spans="2:22" s="1" customFormat="1" hidden="1" x14ac:dyDescent="0.3">
      <c r="B15" s="1">
        <f>RAB!B12</f>
        <v>2</v>
      </c>
      <c r="C15" s="3" t="str">
        <f>RAB!C12</f>
        <v>Pagar Pengaman Proyek</v>
      </c>
      <c r="D15" s="111"/>
      <c r="E15" s="156"/>
      <c r="F15" s="501"/>
      <c r="G15" s="156"/>
      <c r="H15" s="501"/>
      <c r="I15" s="156"/>
      <c r="J15" s="501"/>
      <c r="K15" s="156"/>
      <c r="L15" s="501"/>
      <c r="M15" s="165"/>
      <c r="N15" s="501"/>
      <c r="O15" s="156"/>
      <c r="P15" s="501"/>
      <c r="Q15" s="204"/>
      <c r="R15" s="501"/>
      <c r="S15" s="228"/>
      <c r="T15" s="100">
        <f>S20</f>
        <v>158</v>
      </c>
      <c r="U15" s="2" t="s">
        <v>27</v>
      </c>
      <c r="V15" s="43"/>
    </row>
    <row r="16" spans="2:22" s="1" customFormat="1" hidden="1" x14ac:dyDescent="0.3">
      <c r="C16" s="3"/>
      <c r="D16" s="8" t="s">
        <v>95</v>
      </c>
      <c r="E16" s="154" t="s">
        <v>150</v>
      </c>
      <c r="F16" s="493"/>
      <c r="G16" s="154" t="s">
        <v>151</v>
      </c>
      <c r="H16" s="493"/>
      <c r="I16" s="154" t="s">
        <v>152</v>
      </c>
      <c r="J16" s="493"/>
      <c r="K16" s="154" t="s">
        <v>153</v>
      </c>
      <c r="L16" s="494"/>
      <c r="M16" s="163" t="s">
        <v>32</v>
      </c>
      <c r="N16" s="494"/>
      <c r="O16" s="201" t="s">
        <v>163</v>
      </c>
      <c r="P16" s="494"/>
      <c r="Q16" s="202" t="s">
        <v>151</v>
      </c>
      <c r="R16" s="494"/>
      <c r="S16" s="226" t="s">
        <v>143</v>
      </c>
      <c r="T16" s="99"/>
      <c r="U16" s="2"/>
      <c r="V16" s="43"/>
    </row>
    <row r="17" spans="2:23" s="1" customFormat="1" hidden="1" x14ac:dyDescent="0.3">
      <c r="C17" s="3"/>
      <c r="D17" s="315" t="s">
        <v>592</v>
      </c>
      <c r="E17" s="152"/>
      <c r="F17" s="495"/>
      <c r="G17" s="152"/>
      <c r="H17" s="496"/>
      <c r="I17" s="152"/>
      <c r="J17" s="495"/>
      <c r="K17" s="152"/>
      <c r="L17" s="496"/>
      <c r="M17" s="173"/>
      <c r="N17" s="496"/>
      <c r="O17" s="152"/>
      <c r="P17" s="495"/>
      <c r="Q17" s="221"/>
      <c r="R17" s="495"/>
      <c r="S17" s="316"/>
      <c r="V17" s="43"/>
    </row>
    <row r="18" spans="2:23" s="1" customFormat="1" hidden="1" x14ac:dyDescent="0.3">
      <c r="C18" s="3"/>
      <c r="D18" s="290" t="s">
        <v>286</v>
      </c>
      <c r="E18" s="187">
        <v>52</v>
      </c>
      <c r="F18" s="497" t="s">
        <v>185</v>
      </c>
      <c r="G18" s="187"/>
      <c r="H18" s="498"/>
      <c r="I18" s="187"/>
      <c r="J18" s="497"/>
      <c r="K18" s="187">
        <v>2</v>
      </c>
      <c r="L18" s="498"/>
      <c r="M18" s="188"/>
      <c r="N18" s="498"/>
      <c r="O18" s="187"/>
      <c r="P18" s="497"/>
      <c r="Q18" s="218"/>
      <c r="R18" s="497" t="s">
        <v>114</v>
      </c>
      <c r="S18" s="293">
        <f>K18*E18</f>
        <v>104</v>
      </c>
      <c r="T18" s="100"/>
      <c r="U18" s="2"/>
      <c r="V18" s="43"/>
    </row>
    <row r="19" spans="2:23" s="1" customFormat="1" hidden="1" x14ac:dyDescent="0.3">
      <c r="C19" s="3"/>
      <c r="D19" s="290" t="s">
        <v>252</v>
      </c>
      <c r="E19" s="187">
        <v>27</v>
      </c>
      <c r="F19" s="497" t="s">
        <v>185</v>
      </c>
      <c r="G19" s="187"/>
      <c r="H19" s="498"/>
      <c r="I19" s="187"/>
      <c r="J19" s="497"/>
      <c r="K19" s="187">
        <v>2</v>
      </c>
      <c r="L19" s="498"/>
      <c r="M19" s="188"/>
      <c r="N19" s="498"/>
      <c r="O19" s="187"/>
      <c r="P19" s="497"/>
      <c r="Q19" s="218"/>
      <c r="R19" s="497" t="s">
        <v>114</v>
      </c>
      <c r="S19" s="293">
        <f>K19*E19</f>
        <v>54</v>
      </c>
      <c r="T19" s="100"/>
      <c r="U19" s="2"/>
      <c r="V19" s="43"/>
    </row>
    <row r="20" spans="2:23" s="1" customFormat="1" ht="17.25" hidden="1" thickBot="1" x14ac:dyDescent="0.35">
      <c r="C20" s="64"/>
      <c r="D20" s="3099" t="s">
        <v>164</v>
      </c>
      <c r="E20" s="3100"/>
      <c r="F20" s="3100"/>
      <c r="G20" s="3100"/>
      <c r="H20" s="3100"/>
      <c r="I20" s="3100"/>
      <c r="J20" s="499"/>
      <c r="K20" s="174"/>
      <c r="L20" s="500"/>
      <c r="M20" s="175"/>
      <c r="N20" s="500"/>
      <c r="O20" s="178"/>
      <c r="P20" s="500"/>
      <c r="Q20" s="203"/>
      <c r="R20" s="500"/>
      <c r="S20" s="227">
        <f>SUM(S18:S19)</f>
        <v>158</v>
      </c>
      <c r="T20" s="66"/>
      <c r="U20" s="2"/>
      <c r="V20" s="43"/>
    </row>
    <row r="21" spans="2:23" hidden="1" x14ac:dyDescent="0.3">
      <c r="D21" s="437"/>
      <c r="E21" s="438"/>
      <c r="F21" s="482"/>
      <c r="G21" s="438"/>
      <c r="H21" s="482"/>
      <c r="I21" s="438"/>
      <c r="J21" s="482"/>
      <c r="K21" s="438"/>
      <c r="L21" s="482"/>
      <c r="M21" s="439"/>
      <c r="N21" s="482"/>
      <c r="O21" s="438"/>
      <c r="P21" s="482"/>
      <c r="Q21" s="440"/>
      <c r="R21" s="482"/>
      <c r="S21" s="441"/>
      <c r="T21" s="436"/>
    </row>
    <row r="22" spans="2:23" s="1" customFormat="1" hidden="1" x14ac:dyDescent="0.3">
      <c r="B22" s="1">
        <f>RAB!B18</f>
        <v>8</v>
      </c>
      <c r="C22" s="3" t="str">
        <f>RAB!C18</f>
        <v>Biaya SMK 3</v>
      </c>
      <c r="D22" s="111"/>
      <c r="E22" s="156"/>
      <c r="F22" s="501"/>
      <c r="G22" s="156"/>
      <c r="H22" s="501"/>
      <c r="I22" s="156"/>
      <c r="J22" s="501"/>
      <c r="K22" s="156"/>
      <c r="L22" s="501"/>
      <c r="M22" s="165"/>
      <c r="N22" s="501"/>
      <c r="O22" s="156"/>
      <c r="P22" s="501"/>
      <c r="Q22" s="204"/>
      <c r="R22" s="501"/>
      <c r="S22" s="228"/>
      <c r="T22" s="99">
        <v>1</v>
      </c>
      <c r="U22" s="2" t="s">
        <v>1</v>
      </c>
      <c r="V22" s="43"/>
    </row>
    <row r="23" spans="2:23" hidden="1" x14ac:dyDescent="0.3">
      <c r="D23" s="437"/>
      <c r="E23" s="438"/>
      <c r="F23" s="482"/>
      <c r="G23" s="438"/>
      <c r="H23" s="482"/>
      <c r="I23" s="438"/>
      <c r="J23" s="482"/>
      <c r="K23" s="438"/>
      <c r="L23" s="482"/>
      <c r="M23" s="439"/>
      <c r="N23" s="482"/>
      <c r="O23" s="438"/>
      <c r="P23" s="482"/>
      <c r="Q23" s="440"/>
      <c r="R23" s="482"/>
      <c r="S23" s="441"/>
      <c r="T23" s="436"/>
    </row>
    <row r="24" spans="2:23" s="32" customFormat="1" hidden="1" x14ac:dyDescent="0.3">
      <c r="B24" s="50" t="str">
        <f>RAB!B21</f>
        <v>B</v>
      </c>
      <c r="C24" s="119" t="str">
        <f>RAB!C21</f>
        <v>BANGUNAN LANTAI - 1</v>
      </c>
      <c r="E24" s="176"/>
      <c r="F24" s="504"/>
      <c r="G24" s="176"/>
      <c r="H24" s="504"/>
      <c r="I24" s="176"/>
      <c r="J24" s="504"/>
      <c r="K24" s="176"/>
      <c r="L24" s="504"/>
      <c r="M24" s="177"/>
      <c r="N24" s="504"/>
      <c r="O24" s="176"/>
      <c r="P24" s="504"/>
      <c r="Q24" s="205"/>
      <c r="R24" s="504"/>
      <c r="S24" s="229"/>
      <c r="T24" s="53"/>
      <c r="U24" s="50"/>
      <c r="V24" s="51"/>
    </row>
    <row r="25" spans="2:23" s="32" customFormat="1" hidden="1" x14ac:dyDescent="0.3">
      <c r="B25" s="34" t="str">
        <f>RAB!B22</f>
        <v>I</v>
      </c>
      <c r="C25" s="33" t="str">
        <f>RAB!C22</f>
        <v>PEKERJAAN TANAH</v>
      </c>
      <c r="E25" s="176"/>
      <c r="F25" s="504"/>
      <c r="G25" s="176"/>
      <c r="H25" s="504"/>
      <c r="I25" s="176"/>
      <c r="J25" s="504"/>
      <c r="K25" s="176"/>
      <c r="L25" s="504"/>
      <c r="M25" s="177"/>
      <c r="N25" s="504"/>
      <c r="O25" s="176"/>
      <c r="P25" s="504"/>
      <c r="Q25" s="205"/>
      <c r="R25" s="504"/>
      <c r="S25" s="229"/>
      <c r="T25" s="53"/>
      <c r="U25" s="53"/>
      <c r="V25" s="51"/>
    </row>
    <row r="26" spans="2:23" s="32" customFormat="1" hidden="1" x14ac:dyDescent="0.3">
      <c r="B26" s="34" t="e">
        <f>RAB!#REF!</f>
        <v>#REF!</v>
      </c>
      <c r="C26" s="33" t="e">
        <f>RAB!#REF!</f>
        <v>#REF!</v>
      </c>
      <c r="E26" s="176"/>
      <c r="F26" s="504"/>
      <c r="G26" s="176"/>
      <c r="H26" s="504"/>
      <c r="I26" s="176"/>
      <c r="J26" s="504"/>
      <c r="K26" s="176"/>
      <c r="L26" s="504"/>
      <c r="M26" s="177"/>
      <c r="N26" s="504"/>
      <c r="O26" s="176"/>
      <c r="P26" s="504"/>
      <c r="Q26" s="205"/>
      <c r="R26" s="504"/>
      <c r="S26" s="229"/>
      <c r="T26" s="100">
        <v>0</v>
      </c>
      <c r="U26" s="2" t="s">
        <v>3</v>
      </c>
      <c r="V26" s="51"/>
      <c r="W26" s="32">
        <v>1269</v>
      </c>
    </row>
    <row r="27" spans="2:23" s="1" customFormat="1" hidden="1" x14ac:dyDescent="0.3">
      <c r="C27" s="3"/>
      <c r="D27" s="8" t="s">
        <v>95</v>
      </c>
      <c r="E27" s="154" t="s">
        <v>150</v>
      </c>
      <c r="F27" s="493"/>
      <c r="G27" s="154" t="s">
        <v>151</v>
      </c>
      <c r="H27" s="493"/>
      <c r="I27" s="154" t="s">
        <v>152</v>
      </c>
      <c r="J27" s="493"/>
      <c r="K27" s="154" t="s">
        <v>153</v>
      </c>
      <c r="L27" s="494"/>
      <c r="M27" s="163" t="s">
        <v>32</v>
      </c>
      <c r="N27" s="494"/>
      <c r="O27" s="201" t="s">
        <v>163</v>
      </c>
      <c r="P27" s="494"/>
      <c r="Q27" s="202" t="s">
        <v>151</v>
      </c>
      <c r="R27" s="494"/>
      <c r="S27" s="226" t="s">
        <v>143</v>
      </c>
      <c r="T27" s="99"/>
      <c r="U27" s="2"/>
      <c r="V27" s="43"/>
    </row>
    <row r="28" spans="2:23" s="1" customFormat="1" hidden="1" x14ac:dyDescent="0.3">
      <c r="C28" s="3"/>
      <c r="D28" s="315" t="s">
        <v>1299</v>
      </c>
      <c r="E28" s="331"/>
      <c r="F28" s="565"/>
      <c r="G28" s="331"/>
      <c r="H28" s="575"/>
      <c r="I28" s="331"/>
      <c r="J28" s="565"/>
      <c r="K28" s="331"/>
      <c r="L28" s="575"/>
      <c r="M28" s="331"/>
      <c r="N28" s="575"/>
      <c r="O28" s="331"/>
      <c r="P28" s="565"/>
      <c r="Q28" s="331"/>
      <c r="R28" s="565"/>
      <c r="S28" s="1068"/>
      <c r="V28" s="43"/>
    </row>
    <row r="29" spans="2:23" s="1" customFormat="1" hidden="1" x14ac:dyDescent="0.3">
      <c r="C29" s="3"/>
      <c r="D29" s="1140" t="s">
        <v>1300</v>
      </c>
      <c r="E29" s="589">
        <v>20</v>
      </c>
      <c r="F29" s="588"/>
      <c r="G29" s="589"/>
      <c r="H29" s="629"/>
      <c r="I29" s="589"/>
      <c r="J29" s="588"/>
      <c r="K29" s="589"/>
      <c r="L29" s="629"/>
      <c r="M29" s="589"/>
      <c r="N29" s="629"/>
      <c r="O29" s="589"/>
      <c r="P29" s="588"/>
      <c r="Q29" s="589">
        <f>(5.15+8.6)/2</f>
        <v>6.875</v>
      </c>
      <c r="R29" s="588" t="s">
        <v>114</v>
      </c>
      <c r="S29" s="1139">
        <f>Q29*E29</f>
        <v>137.5</v>
      </c>
      <c r="V29" s="43"/>
    </row>
    <row r="30" spans="2:23" s="1" customFormat="1" hidden="1" x14ac:dyDescent="0.3">
      <c r="C30" s="3"/>
      <c r="D30" s="1140" t="s">
        <v>1301</v>
      </c>
      <c r="E30" s="589">
        <v>20</v>
      </c>
      <c r="F30" s="588"/>
      <c r="G30" s="589"/>
      <c r="H30" s="629"/>
      <c r="I30" s="589"/>
      <c r="J30" s="588"/>
      <c r="K30" s="589"/>
      <c r="L30" s="629"/>
      <c r="M30" s="589"/>
      <c r="N30" s="629"/>
      <c r="O30" s="589"/>
      <c r="P30" s="588"/>
      <c r="Q30" s="589">
        <f>(8.6+(5.24+7.03))/2</f>
        <v>10.434999999999999</v>
      </c>
      <c r="R30" s="588" t="s">
        <v>114</v>
      </c>
      <c r="S30" s="1139">
        <f>Q30*E30</f>
        <v>208.7</v>
      </c>
      <c r="V30" s="43"/>
    </row>
    <row r="31" spans="2:23" s="1" customFormat="1" hidden="1" x14ac:dyDescent="0.3">
      <c r="C31" s="3"/>
      <c r="D31" s="1140" t="s">
        <v>1302</v>
      </c>
      <c r="E31" s="589">
        <v>20</v>
      </c>
      <c r="F31" s="588"/>
      <c r="G31" s="589"/>
      <c r="H31" s="629"/>
      <c r="I31" s="589"/>
      <c r="J31" s="588"/>
      <c r="K31" s="589"/>
      <c r="L31" s="629"/>
      <c r="M31" s="589"/>
      <c r="N31" s="629"/>
      <c r="O31" s="589"/>
      <c r="P31" s="588"/>
      <c r="Q31" s="589">
        <f>(18.04+(5.24+7.03))/2</f>
        <v>15.154999999999999</v>
      </c>
      <c r="R31" s="588" t="s">
        <v>114</v>
      </c>
      <c r="S31" s="1139">
        <f>Q31*E31</f>
        <v>303.09999999999997</v>
      </c>
      <c r="V31" s="43"/>
    </row>
    <row r="32" spans="2:23" s="1" customFormat="1" hidden="1" x14ac:dyDescent="0.3">
      <c r="C32" s="3"/>
      <c r="D32" s="315" t="s">
        <v>1303</v>
      </c>
      <c r="E32" s="589"/>
      <c r="F32" s="588"/>
      <c r="G32" s="589"/>
      <c r="H32" s="629"/>
      <c r="I32" s="589"/>
      <c r="J32" s="588"/>
      <c r="K32" s="589"/>
      <c r="L32" s="629"/>
      <c r="M32" s="589"/>
      <c r="N32" s="629"/>
      <c r="O32" s="589"/>
      <c r="P32" s="588"/>
      <c r="Q32" s="589"/>
      <c r="R32" s="588"/>
      <c r="S32" s="1139"/>
      <c r="V32" s="43"/>
    </row>
    <row r="33" spans="2:22" s="1" customFormat="1" hidden="1" x14ac:dyDescent="0.3">
      <c r="C33" s="3"/>
      <c r="D33" s="1140" t="s">
        <v>1300</v>
      </c>
      <c r="E33" s="589">
        <v>20</v>
      </c>
      <c r="F33" s="588"/>
      <c r="G33" s="589"/>
      <c r="H33" s="629"/>
      <c r="I33" s="589"/>
      <c r="J33" s="588"/>
      <c r="K33" s="589"/>
      <c r="L33" s="629"/>
      <c r="M33" s="589"/>
      <c r="N33" s="629"/>
      <c r="O33" s="589"/>
      <c r="P33" s="588"/>
      <c r="Q33" s="589">
        <f>(4.875+3.3)/2</f>
        <v>4.0875000000000004</v>
      </c>
      <c r="R33" s="588" t="s">
        <v>114</v>
      </c>
      <c r="S33" s="1139">
        <f>Q33*E33</f>
        <v>81.75</v>
      </c>
      <c r="V33" s="43"/>
    </row>
    <row r="34" spans="2:22" s="1" customFormat="1" hidden="1" x14ac:dyDescent="0.3">
      <c r="C34" s="3"/>
      <c r="D34" s="1140" t="s">
        <v>1301</v>
      </c>
      <c r="E34" s="589">
        <v>20</v>
      </c>
      <c r="F34" s="588"/>
      <c r="G34" s="589"/>
      <c r="H34" s="629"/>
      <c r="I34" s="589"/>
      <c r="J34" s="588"/>
      <c r="K34" s="589"/>
      <c r="L34" s="629"/>
      <c r="M34" s="589"/>
      <c r="N34" s="629"/>
      <c r="O34" s="589"/>
      <c r="P34" s="588"/>
      <c r="Q34" s="589">
        <f>(2.1+3.3)/2</f>
        <v>2.7</v>
      </c>
      <c r="R34" s="588" t="s">
        <v>114</v>
      </c>
      <c r="S34" s="1139">
        <f>Q34*E34</f>
        <v>54</v>
      </c>
      <c r="V34" s="43"/>
    </row>
    <row r="35" spans="2:22" s="1" customFormat="1" hidden="1" x14ac:dyDescent="0.3">
      <c r="C35" s="3"/>
      <c r="D35" s="1140" t="s">
        <v>1302</v>
      </c>
      <c r="E35" s="589">
        <v>20</v>
      </c>
      <c r="F35" s="588"/>
      <c r="G35" s="589"/>
      <c r="H35" s="629"/>
      <c r="I35" s="589"/>
      <c r="J35" s="588"/>
      <c r="K35" s="589"/>
      <c r="L35" s="629"/>
      <c r="M35" s="589"/>
      <c r="N35" s="629"/>
      <c r="O35" s="589"/>
      <c r="P35" s="588"/>
      <c r="Q35" s="589">
        <f>(13.69+2.1)/2</f>
        <v>7.8949999999999996</v>
      </c>
      <c r="R35" s="588" t="s">
        <v>114</v>
      </c>
      <c r="S35" s="1139">
        <f>Q35*E35</f>
        <v>157.89999999999998</v>
      </c>
      <c r="V35" s="43"/>
    </row>
    <row r="36" spans="2:22" s="1" customFormat="1" hidden="1" x14ac:dyDescent="0.3">
      <c r="C36" s="3"/>
      <c r="D36" s="290"/>
      <c r="E36" s="1161"/>
      <c r="F36" s="518"/>
      <c r="G36" s="1161"/>
      <c r="H36" s="517"/>
      <c r="I36" s="1161"/>
      <c r="J36" s="518"/>
      <c r="K36" s="1161"/>
      <c r="L36" s="517"/>
      <c r="M36" s="1161"/>
      <c r="N36" s="517"/>
      <c r="O36" s="1161"/>
      <c r="P36" s="518"/>
      <c r="Q36" s="1161"/>
      <c r="R36" s="518"/>
      <c r="S36" s="553"/>
      <c r="T36" s="100"/>
      <c r="U36" s="2"/>
      <c r="V36" s="43"/>
    </row>
    <row r="37" spans="2:22" s="1" customFormat="1" ht="17.25" hidden="1" thickBot="1" x14ac:dyDescent="0.35">
      <c r="C37" s="64"/>
      <c r="D37" s="3099" t="s">
        <v>164</v>
      </c>
      <c r="E37" s="3100"/>
      <c r="F37" s="3100"/>
      <c r="G37" s="3100"/>
      <c r="H37" s="3100"/>
      <c r="I37" s="3100"/>
      <c r="J37" s="499"/>
      <c r="K37" s="174"/>
      <c r="L37" s="500"/>
      <c r="M37" s="175"/>
      <c r="N37" s="500"/>
      <c r="O37" s="178"/>
      <c r="P37" s="500"/>
      <c r="Q37" s="203"/>
      <c r="R37" s="500"/>
      <c r="S37" s="227">
        <f>SUM(S28:S36)</f>
        <v>942.94999999999993</v>
      </c>
      <c r="T37" s="66"/>
      <c r="U37" s="2"/>
      <c r="V37" s="43"/>
    </row>
    <row r="38" spans="2:22" hidden="1" x14ac:dyDescent="0.3">
      <c r="D38" s="437"/>
      <c r="E38" s="438"/>
      <c r="F38" s="482"/>
      <c r="G38" s="438"/>
      <c r="H38" s="482"/>
      <c r="I38" s="438"/>
      <c r="J38" s="482"/>
      <c r="K38" s="438"/>
      <c r="L38" s="482"/>
      <c r="M38" s="439"/>
      <c r="N38" s="482"/>
      <c r="O38" s="438"/>
      <c r="P38" s="482"/>
      <c r="Q38" s="440"/>
      <c r="R38" s="482"/>
      <c r="S38" s="441"/>
      <c r="T38" s="436"/>
    </row>
    <row r="39" spans="2:22" s="32" customFormat="1" hidden="1" x14ac:dyDescent="0.3">
      <c r="B39" s="34">
        <f>RAB!B23</f>
        <v>1</v>
      </c>
      <c r="C39" s="33" t="str">
        <f>RAB!C23</f>
        <v xml:space="preserve">Galian Tanah </v>
      </c>
      <c r="E39" s="176"/>
      <c r="F39" s="504"/>
      <c r="G39" s="176"/>
      <c r="H39" s="504"/>
      <c r="I39" s="176"/>
      <c r="J39" s="504"/>
      <c r="K39" s="176"/>
      <c r="L39" s="504"/>
      <c r="M39" s="177"/>
      <c r="N39" s="504"/>
      <c r="O39" s="176"/>
      <c r="P39" s="504"/>
      <c r="Q39" s="205"/>
      <c r="R39" s="504"/>
      <c r="S39" s="229"/>
      <c r="T39" s="100">
        <f>ROUNDDOWN(S45,2)</f>
        <v>70.62</v>
      </c>
      <c r="U39" s="50" t="s">
        <v>3</v>
      </c>
      <c r="V39" s="51"/>
    </row>
    <row r="40" spans="2:22" s="32" customFormat="1" hidden="1" x14ac:dyDescent="0.3">
      <c r="C40" s="33"/>
      <c r="D40" s="52" t="s">
        <v>95</v>
      </c>
      <c r="E40" s="155" t="s">
        <v>150</v>
      </c>
      <c r="F40" s="505"/>
      <c r="G40" s="155" t="s">
        <v>151</v>
      </c>
      <c r="H40" s="505"/>
      <c r="I40" s="155" t="s">
        <v>152</v>
      </c>
      <c r="J40" s="505"/>
      <c r="K40" s="155" t="s">
        <v>153</v>
      </c>
      <c r="L40" s="506"/>
      <c r="M40" s="164" t="s">
        <v>32</v>
      </c>
      <c r="N40" s="506"/>
      <c r="O40" s="206" t="s">
        <v>163</v>
      </c>
      <c r="P40" s="506"/>
      <c r="Q40" s="207" t="s">
        <v>151</v>
      </c>
      <c r="R40" s="506"/>
      <c r="S40" s="230" t="s">
        <v>143</v>
      </c>
      <c r="T40" s="419"/>
      <c r="U40" s="50"/>
      <c r="V40" s="51"/>
    </row>
    <row r="41" spans="2:22" s="32" customFormat="1" hidden="1" x14ac:dyDescent="0.3">
      <c r="C41" s="33"/>
      <c r="D41" s="297" t="s">
        <v>249</v>
      </c>
      <c r="E41" s="217"/>
      <c r="F41" s="507"/>
      <c r="G41" s="217"/>
      <c r="H41" s="507"/>
      <c r="I41" s="217"/>
      <c r="J41" s="507"/>
      <c r="K41" s="217"/>
      <c r="L41" s="508"/>
      <c r="M41" s="217"/>
      <c r="N41" s="508"/>
      <c r="O41" s="217"/>
      <c r="P41" s="508"/>
      <c r="Q41" s="276"/>
      <c r="R41" s="507"/>
      <c r="S41" s="298"/>
      <c r="T41" s="419"/>
      <c r="U41" s="50"/>
      <c r="V41" s="51"/>
    </row>
    <row r="42" spans="2:22" s="32" customFormat="1" hidden="1" x14ac:dyDescent="0.3">
      <c r="C42" s="33"/>
      <c r="D42" s="140" t="s">
        <v>1311</v>
      </c>
      <c r="E42" s="328">
        <v>1.1000000000000001</v>
      </c>
      <c r="F42" s="509" t="s">
        <v>185</v>
      </c>
      <c r="G42" s="328">
        <v>1.1000000000000001</v>
      </c>
      <c r="H42" s="509" t="s">
        <v>185</v>
      </c>
      <c r="I42" s="328">
        <v>0.75</v>
      </c>
      <c r="J42" s="509" t="s">
        <v>185</v>
      </c>
      <c r="K42" s="328">
        <f>14*4</f>
        <v>56</v>
      </c>
      <c r="L42" s="510"/>
      <c r="M42" s="328"/>
      <c r="N42" s="510"/>
      <c r="O42" s="328"/>
      <c r="P42" s="510"/>
      <c r="Q42" s="328"/>
      <c r="R42" s="509" t="s">
        <v>114</v>
      </c>
      <c r="S42" s="511">
        <f>K42*I42*G42*E42</f>
        <v>50.820000000000007</v>
      </c>
      <c r="T42" s="419"/>
      <c r="U42" s="50"/>
      <c r="V42" s="51">
        <f>SUM(S42:S43)</f>
        <v>70.62</v>
      </c>
    </row>
    <row r="43" spans="2:22" s="32" customFormat="1" hidden="1" x14ac:dyDescent="0.3">
      <c r="C43" s="33"/>
      <c r="D43" s="140" t="s">
        <v>1312</v>
      </c>
      <c r="E43" s="328">
        <v>2</v>
      </c>
      <c r="F43" s="509" t="s">
        <v>185</v>
      </c>
      <c r="G43" s="328">
        <v>1.1000000000000001</v>
      </c>
      <c r="H43" s="509" t="s">
        <v>185</v>
      </c>
      <c r="I43" s="328">
        <f>I42</f>
        <v>0.75</v>
      </c>
      <c r="J43" s="509" t="s">
        <v>185</v>
      </c>
      <c r="K43" s="328">
        <f>3*4</f>
        <v>12</v>
      </c>
      <c r="L43" s="510"/>
      <c r="M43" s="328"/>
      <c r="N43" s="510"/>
      <c r="O43" s="328"/>
      <c r="P43" s="510"/>
      <c r="Q43" s="328"/>
      <c r="R43" s="509" t="s">
        <v>114</v>
      </c>
      <c r="S43" s="511">
        <f>K43*I43*G43*E43</f>
        <v>19.8</v>
      </c>
      <c r="T43" s="419"/>
      <c r="U43" s="50"/>
      <c r="V43" s="51"/>
    </row>
    <row r="44" spans="2:22" s="1" customFormat="1" hidden="1" x14ac:dyDescent="0.3">
      <c r="C44" s="64"/>
      <c r="D44" s="313"/>
      <c r="E44" s="330"/>
      <c r="F44" s="512"/>
      <c r="G44" s="330"/>
      <c r="H44" s="512"/>
      <c r="I44" s="330"/>
      <c r="J44" s="512"/>
      <c r="K44" s="330"/>
      <c r="L44" s="512"/>
      <c r="M44" s="330"/>
      <c r="N44" s="512"/>
      <c r="O44" s="330"/>
      <c r="P44" s="512"/>
      <c r="Q44" s="330"/>
      <c r="R44" s="512"/>
      <c r="S44" s="513"/>
      <c r="T44" s="66"/>
      <c r="U44" s="2"/>
      <c r="V44" s="43"/>
    </row>
    <row r="45" spans="2:22" s="1" customFormat="1" ht="17.25" hidden="1" thickBot="1" x14ac:dyDescent="0.35">
      <c r="C45" s="64"/>
      <c r="D45" s="3099" t="s">
        <v>164</v>
      </c>
      <c r="E45" s="3100"/>
      <c r="F45" s="3100"/>
      <c r="G45" s="3100"/>
      <c r="H45" s="3100"/>
      <c r="I45" s="3100"/>
      <c r="J45" s="499"/>
      <c r="K45" s="174"/>
      <c r="L45" s="500"/>
      <c r="M45" s="175"/>
      <c r="N45" s="500"/>
      <c r="O45" s="178"/>
      <c r="P45" s="500"/>
      <c r="Q45" s="203"/>
      <c r="R45" s="500"/>
      <c r="S45" s="227">
        <f>SUM(S42:S43)</f>
        <v>70.62</v>
      </c>
      <c r="T45" s="66"/>
      <c r="U45" s="2"/>
      <c r="V45" s="43"/>
    </row>
    <row r="46" spans="2:22" hidden="1" x14ac:dyDescent="0.3">
      <c r="C46" s="442"/>
      <c r="D46" s="451"/>
      <c r="E46" s="438"/>
      <c r="F46" s="484"/>
      <c r="G46" s="438"/>
      <c r="H46" s="484"/>
      <c r="I46" s="438"/>
      <c r="J46" s="484"/>
      <c r="K46" s="438"/>
      <c r="L46" s="482"/>
      <c r="M46" s="439"/>
      <c r="N46" s="482"/>
      <c r="O46" s="438"/>
      <c r="P46" s="482"/>
      <c r="Q46" s="440"/>
      <c r="R46" s="482"/>
      <c r="S46" s="452"/>
    </row>
    <row r="47" spans="2:22" s="32" customFormat="1" hidden="1" x14ac:dyDescent="0.3">
      <c r="B47" s="34">
        <f>RAB!B24</f>
        <v>2</v>
      </c>
      <c r="C47" s="33" t="str">
        <f>RAB!C24</f>
        <v>Urugan Tanah Kembali Bekas Galian</v>
      </c>
      <c r="E47" s="176"/>
      <c r="F47" s="504"/>
      <c r="G47" s="176"/>
      <c r="H47" s="504"/>
      <c r="I47" s="176"/>
      <c r="J47" s="504"/>
      <c r="K47" s="176"/>
      <c r="L47" s="504"/>
      <c r="M47" s="177"/>
      <c r="N47" s="504"/>
      <c r="O47" s="176"/>
      <c r="P47" s="504"/>
      <c r="Q47" s="205"/>
      <c r="R47" s="504"/>
      <c r="S47" s="229"/>
      <c r="T47" s="100">
        <f>ROUNDDOWN(S59,2)</f>
        <v>17.61</v>
      </c>
      <c r="U47" s="50" t="s">
        <v>3</v>
      </c>
      <c r="V47" s="51"/>
    </row>
    <row r="48" spans="2:22" s="32" customFormat="1" hidden="1" x14ac:dyDescent="0.3">
      <c r="C48" s="33"/>
      <c r="D48" s="52" t="s">
        <v>95</v>
      </c>
      <c r="E48" s="155" t="s">
        <v>150</v>
      </c>
      <c r="F48" s="505"/>
      <c r="G48" s="155" t="s">
        <v>151</v>
      </c>
      <c r="H48" s="505"/>
      <c r="I48" s="155" t="s">
        <v>152</v>
      </c>
      <c r="J48" s="505"/>
      <c r="K48" s="155" t="s">
        <v>153</v>
      </c>
      <c r="L48" s="506"/>
      <c r="M48" s="164" t="s">
        <v>32</v>
      </c>
      <c r="N48" s="506"/>
      <c r="O48" s="206" t="s">
        <v>163</v>
      </c>
      <c r="P48" s="506"/>
      <c r="Q48" s="207" t="s">
        <v>151</v>
      </c>
      <c r="R48" s="506"/>
      <c r="S48" s="230" t="s">
        <v>143</v>
      </c>
      <c r="T48" s="419"/>
      <c r="U48" s="50"/>
      <c r="V48" s="51"/>
    </row>
    <row r="49" spans="2:22" s="32" customFormat="1" hidden="1" x14ac:dyDescent="0.3">
      <c r="C49" s="33"/>
      <c r="D49" s="297" t="s">
        <v>154</v>
      </c>
      <c r="E49" s="217"/>
      <c r="F49" s="507"/>
      <c r="G49" s="217"/>
      <c r="H49" s="507"/>
      <c r="I49" s="217"/>
      <c r="J49" s="507"/>
      <c r="K49" s="217"/>
      <c r="L49" s="508"/>
      <c r="M49" s="217"/>
      <c r="N49" s="508"/>
      <c r="O49" s="217"/>
      <c r="P49" s="508"/>
      <c r="Q49" s="276"/>
      <c r="R49" s="507"/>
      <c r="S49" s="298"/>
      <c r="T49" s="419"/>
      <c r="U49" s="50"/>
      <c r="V49" s="51"/>
    </row>
    <row r="50" spans="2:22" s="32" customFormat="1" hidden="1" x14ac:dyDescent="0.3">
      <c r="C50" s="33"/>
      <c r="D50" s="140" t="str">
        <f>C127</f>
        <v>Pile Cap tipe - PC1</v>
      </c>
      <c r="E50" s="172"/>
      <c r="F50" s="514"/>
      <c r="G50" s="172"/>
      <c r="H50" s="514"/>
      <c r="I50" s="172"/>
      <c r="J50" s="514"/>
      <c r="K50" s="172"/>
      <c r="L50" s="515"/>
      <c r="M50" s="172"/>
      <c r="N50" s="515"/>
      <c r="O50" s="172"/>
      <c r="P50" s="515"/>
      <c r="Q50" s="259"/>
      <c r="R50" s="521" t="s">
        <v>114</v>
      </c>
      <c r="S50" s="260">
        <f>S130</f>
        <v>27.216000000000001</v>
      </c>
      <c r="T50" s="419"/>
      <c r="U50" s="50"/>
      <c r="V50" s="51"/>
    </row>
    <row r="51" spans="2:22" s="32" customFormat="1" hidden="1" x14ac:dyDescent="0.3">
      <c r="C51" s="33"/>
      <c r="D51" s="140" t="str">
        <f>C149</f>
        <v>Pile Cap tipe - PC2</v>
      </c>
      <c r="E51" s="172"/>
      <c r="F51" s="514"/>
      <c r="G51" s="172"/>
      <c r="H51" s="514"/>
      <c r="I51" s="172"/>
      <c r="J51" s="514"/>
      <c r="K51" s="172"/>
      <c r="L51" s="515"/>
      <c r="M51" s="172"/>
      <c r="N51" s="515"/>
      <c r="O51" s="172"/>
      <c r="P51" s="515"/>
      <c r="Q51" s="259"/>
      <c r="R51" s="521" t="s">
        <v>114</v>
      </c>
      <c r="S51" s="260">
        <f>S152</f>
        <v>11.664</v>
      </c>
      <c r="T51" s="419"/>
      <c r="U51" s="50"/>
      <c r="V51" s="51"/>
    </row>
    <row r="52" spans="2:22" s="1" customFormat="1" hidden="1" x14ac:dyDescent="0.3">
      <c r="C52" s="64"/>
      <c r="D52" s="311" t="s">
        <v>726</v>
      </c>
      <c r="E52" s="172"/>
      <c r="F52" s="514"/>
      <c r="G52" s="172"/>
      <c r="H52" s="521"/>
      <c r="I52" s="187"/>
      <c r="J52" s="521"/>
      <c r="K52" s="187"/>
      <c r="L52" s="498"/>
      <c r="M52" s="188"/>
      <c r="N52" s="498"/>
      <c r="O52" s="187"/>
      <c r="P52" s="498"/>
      <c r="Q52" s="218"/>
      <c r="R52" s="521" t="s">
        <v>114</v>
      </c>
      <c r="S52" s="293">
        <f>SUM(S64:S68)</f>
        <v>14.124000000000002</v>
      </c>
      <c r="T52" s="66"/>
      <c r="U52" s="2"/>
      <c r="V52" s="43"/>
    </row>
    <row r="53" spans="2:22" hidden="1" x14ac:dyDescent="0.3">
      <c r="C53" s="442"/>
      <c r="D53" s="311" t="s">
        <v>725</v>
      </c>
      <c r="E53" s="187"/>
      <c r="F53" s="521"/>
      <c r="G53" s="187"/>
      <c r="H53" s="521"/>
      <c r="I53" s="187"/>
      <c r="J53" s="521"/>
      <c r="K53" s="187"/>
      <c r="L53" s="498"/>
      <c r="M53" s="188"/>
      <c r="N53" s="498"/>
      <c r="O53" s="187"/>
      <c r="P53" s="498"/>
      <c r="Q53" s="218"/>
      <c r="R53" s="521"/>
      <c r="S53" s="244"/>
    </row>
    <row r="54" spans="2:22" hidden="1" x14ac:dyDescent="0.3">
      <c r="C54" s="442"/>
      <c r="D54" s="290" t="s">
        <v>186</v>
      </c>
      <c r="E54" s="187"/>
      <c r="F54" s="521"/>
      <c r="G54" s="187"/>
      <c r="H54" s="521"/>
      <c r="I54" s="187"/>
      <c r="J54" s="521"/>
      <c r="K54" s="187"/>
      <c r="L54" s="522"/>
      <c r="M54" s="187"/>
      <c r="N54" s="522"/>
      <c r="O54" s="187"/>
      <c r="P54" s="521"/>
      <c r="Q54" s="218"/>
      <c r="R54" s="522"/>
      <c r="S54" s="293">
        <f>SUM(S50:S53)</f>
        <v>53.004000000000005</v>
      </c>
    </row>
    <row r="55" spans="2:22" hidden="1" x14ac:dyDescent="0.3">
      <c r="C55" s="442"/>
      <c r="D55" s="261" t="s">
        <v>170</v>
      </c>
      <c r="E55" s="187"/>
      <c r="F55" s="521"/>
      <c r="G55" s="187"/>
      <c r="H55" s="521"/>
      <c r="I55" s="187"/>
      <c r="J55" s="521"/>
      <c r="K55" s="527">
        <f>S45</f>
        <v>70.62</v>
      </c>
      <c r="L55" s="522"/>
      <c r="M55" s="187"/>
      <c r="N55" s="522"/>
      <c r="O55" s="187"/>
      <c r="P55" s="521"/>
      <c r="Q55" s="218"/>
      <c r="R55" s="521" t="s">
        <v>114</v>
      </c>
      <c r="S55" s="293">
        <f>K55</f>
        <v>70.62</v>
      </c>
    </row>
    <row r="56" spans="2:22" hidden="1" x14ac:dyDescent="0.3">
      <c r="C56" s="442"/>
      <c r="D56" s="261" t="s">
        <v>187</v>
      </c>
      <c r="E56" s="187"/>
      <c r="F56" s="521"/>
      <c r="G56" s="187"/>
      <c r="H56" s="521"/>
      <c r="I56" s="187"/>
      <c r="J56" s="521"/>
      <c r="K56" s="187"/>
      <c r="L56" s="522"/>
      <c r="M56" s="187"/>
      <c r="N56" s="522"/>
      <c r="O56" s="187"/>
      <c r="P56" s="521"/>
      <c r="Q56" s="218"/>
      <c r="R56" s="521" t="s">
        <v>149</v>
      </c>
      <c r="S56" s="293">
        <f>S54</f>
        <v>53.004000000000005</v>
      </c>
    </row>
    <row r="57" spans="2:22" hidden="1" x14ac:dyDescent="0.3">
      <c r="C57" s="442"/>
      <c r="D57" s="261" t="s">
        <v>188</v>
      </c>
      <c r="E57" s="187"/>
      <c r="F57" s="521"/>
      <c r="G57" s="187"/>
      <c r="H57" s="521"/>
      <c r="I57" s="187"/>
      <c r="J57" s="521"/>
      <c r="K57" s="187"/>
      <c r="L57" s="522"/>
      <c r="M57" s="187"/>
      <c r="N57" s="522"/>
      <c r="O57" s="187"/>
      <c r="P57" s="521"/>
      <c r="Q57" s="218"/>
      <c r="R57" s="521" t="s">
        <v>114</v>
      </c>
      <c r="S57" s="293">
        <f>S55-S56</f>
        <v>17.616</v>
      </c>
    </row>
    <row r="58" spans="2:22" hidden="1" x14ac:dyDescent="0.3">
      <c r="C58" s="442"/>
      <c r="D58" s="313"/>
      <c r="E58" s="160"/>
      <c r="F58" s="523"/>
      <c r="G58" s="160"/>
      <c r="H58" s="523"/>
      <c r="I58" s="160"/>
      <c r="J58" s="523"/>
      <c r="K58" s="160"/>
      <c r="L58" s="523"/>
      <c r="M58" s="195"/>
      <c r="N58" s="523"/>
      <c r="O58" s="160"/>
      <c r="P58" s="523"/>
      <c r="Q58" s="220"/>
      <c r="R58" s="523"/>
      <c r="S58" s="314"/>
    </row>
    <row r="59" spans="2:22" ht="17.25" hidden="1" thickBot="1" x14ac:dyDescent="0.35">
      <c r="C59" s="442"/>
      <c r="D59" s="3099" t="s">
        <v>164</v>
      </c>
      <c r="E59" s="3100"/>
      <c r="F59" s="3100"/>
      <c r="G59" s="3100"/>
      <c r="H59" s="3100"/>
      <c r="I59" s="3100"/>
      <c r="J59" s="499"/>
      <c r="K59" s="174"/>
      <c r="L59" s="500"/>
      <c r="M59" s="175"/>
      <c r="N59" s="500"/>
      <c r="O59" s="178"/>
      <c r="P59" s="500"/>
      <c r="Q59" s="203"/>
      <c r="R59" s="500"/>
      <c r="S59" s="227">
        <f>S57</f>
        <v>17.616</v>
      </c>
    </row>
    <row r="60" spans="2:22" hidden="1" x14ac:dyDescent="0.3">
      <c r="C60" s="442"/>
      <c r="D60" s="451"/>
      <c r="E60" s="438"/>
      <c r="F60" s="482"/>
      <c r="G60" s="438"/>
      <c r="H60" s="482"/>
      <c r="I60" s="438"/>
      <c r="J60" s="482"/>
      <c r="K60" s="438"/>
      <c r="L60" s="482"/>
      <c r="M60" s="439"/>
      <c r="N60" s="482"/>
      <c r="O60" s="438"/>
      <c r="P60" s="482"/>
      <c r="Q60" s="440"/>
      <c r="R60" s="482"/>
      <c r="S60" s="437"/>
    </row>
    <row r="61" spans="2:22" s="1" customFormat="1" hidden="1" x14ac:dyDescent="0.3">
      <c r="B61" s="1">
        <f>RAB!B25</f>
        <v>3</v>
      </c>
      <c r="C61" s="3" t="str">
        <f>RAB!C25</f>
        <v xml:space="preserve">Urugan Pasir di bawah Pondasi </v>
      </c>
      <c r="E61" s="153"/>
      <c r="F61" s="480"/>
      <c r="G61" s="153"/>
      <c r="H61" s="480"/>
      <c r="I61" s="153"/>
      <c r="J61" s="480"/>
      <c r="K61" s="153"/>
      <c r="L61" s="480"/>
      <c r="M61" s="162"/>
      <c r="N61" s="480"/>
      <c r="O61" s="153"/>
      <c r="P61" s="480"/>
      <c r="Q61" s="200"/>
      <c r="R61" s="480"/>
      <c r="S61" s="224"/>
      <c r="T61" s="100">
        <f>ROUNDDOWN(S70,2)</f>
        <v>14.12</v>
      </c>
      <c r="U61" s="2" t="s">
        <v>3</v>
      </c>
      <c r="V61" s="43"/>
    </row>
    <row r="62" spans="2:22" s="1" customFormat="1" hidden="1" x14ac:dyDescent="0.3">
      <c r="C62" s="64"/>
      <c r="D62" s="8" t="s">
        <v>95</v>
      </c>
      <c r="E62" s="154" t="s">
        <v>150</v>
      </c>
      <c r="F62" s="493"/>
      <c r="G62" s="154" t="s">
        <v>151</v>
      </c>
      <c r="H62" s="493"/>
      <c r="I62" s="154" t="s">
        <v>152</v>
      </c>
      <c r="J62" s="493"/>
      <c r="K62" s="154" t="s">
        <v>153</v>
      </c>
      <c r="L62" s="494"/>
      <c r="M62" s="163" t="s">
        <v>32</v>
      </c>
      <c r="N62" s="494"/>
      <c r="O62" s="201" t="s">
        <v>163</v>
      </c>
      <c r="P62" s="494"/>
      <c r="Q62" s="202" t="s">
        <v>151</v>
      </c>
      <c r="R62" s="494"/>
      <c r="S62" s="226" t="s">
        <v>143</v>
      </c>
      <c r="T62" s="66"/>
      <c r="U62" s="2"/>
      <c r="V62" s="43"/>
    </row>
    <row r="63" spans="2:22" s="1" customFormat="1" hidden="1" x14ac:dyDescent="0.3">
      <c r="C63" s="64"/>
      <c r="D63" s="310" t="s">
        <v>250</v>
      </c>
      <c r="E63" s="152"/>
      <c r="F63" s="516"/>
      <c r="G63" s="152"/>
      <c r="H63" s="516"/>
      <c r="I63" s="152"/>
      <c r="J63" s="516"/>
      <c r="K63" s="152"/>
      <c r="L63" s="496"/>
      <c r="M63" s="173"/>
      <c r="N63" s="496"/>
      <c r="O63" s="152"/>
      <c r="P63" s="496"/>
      <c r="Q63" s="221"/>
      <c r="R63" s="516"/>
      <c r="S63" s="248"/>
      <c r="T63" s="66"/>
      <c r="U63" s="2"/>
      <c r="V63" s="43"/>
    </row>
    <row r="64" spans="2:22" s="1" customFormat="1" hidden="1" x14ac:dyDescent="0.3">
      <c r="C64" s="64"/>
      <c r="D64" s="311" t="str">
        <f>C127</f>
        <v>Pile Cap tipe - PC1</v>
      </c>
      <c r="E64" s="1161">
        <f t="shared" ref="E64:G65" si="0">E42</f>
        <v>1.1000000000000001</v>
      </c>
      <c r="F64" s="517" t="str">
        <f t="shared" si="0"/>
        <v>x</v>
      </c>
      <c r="G64" s="1161">
        <f t="shared" si="0"/>
        <v>1.1000000000000001</v>
      </c>
      <c r="H64" s="517" t="s">
        <v>185</v>
      </c>
      <c r="I64" s="1161">
        <v>0.05</v>
      </c>
      <c r="J64" s="517" t="s">
        <v>185</v>
      </c>
      <c r="K64" s="1161">
        <f>K130</f>
        <v>56</v>
      </c>
      <c r="L64" s="517"/>
      <c r="M64" s="1161"/>
      <c r="N64" s="517"/>
      <c r="O64" s="1161"/>
      <c r="P64" s="517"/>
      <c r="Q64" s="1161"/>
      <c r="R64" s="518" t="s">
        <v>114</v>
      </c>
      <c r="S64" s="519">
        <f>E64*G64*I64*K64</f>
        <v>3.3880000000000008</v>
      </c>
      <c r="T64" s="66"/>
      <c r="U64" s="2"/>
      <c r="V64" s="43"/>
    </row>
    <row r="65" spans="2:22" s="1" customFormat="1" hidden="1" x14ac:dyDescent="0.3">
      <c r="C65" s="64"/>
      <c r="D65" s="311" t="str">
        <f>C149</f>
        <v>Pile Cap tipe - PC2</v>
      </c>
      <c r="E65" s="1161">
        <f t="shared" si="0"/>
        <v>2</v>
      </c>
      <c r="F65" s="517" t="str">
        <f t="shared" si="0"/>
        <v>x</v>
      </c>
      <c r="G65" s="1161">
        <f t="shared" si="0"/>
        <v>1.1000000000000001</v>
      </c>
      <c r="H65" s="517" t="s">
        <v>185</v>
      </c>
      <c r="I65" s="1161">
        <f>I64</f>
        <v>0.05</v>
      </c>
      <c r="J65" s="517" t="s">
        <v>185</v>
      </c>
      <c r="K65" s="1161">
        <f>K152</f>
        <v>12</v>
      </c>
      <c r="L65" s="517"/>
      <c r="M65" s="1161"/>
      <c r="N65" s="517"/>
      <c r="O65" s="1161"/>
      <c r="P65" s="517"/>
      <c r="Q65" s="1161"/>
      <c r="R65" s="518" t="s">
        <v>114</v>
      </c>
      <c r="S65" s="519">
        <f>E65*G65*I65*K65</f>
        <v>1.3200000000000003</v>
      </c>
      <c r="T65" s="66"/>
      <c r="U65" s="2"/>
      <c r="V65" s="43"/>
    </row>
    <row r="66" spans="2:22" s="1" customFormat="1" hidden="1" x14ac:dyDescent="0.3">
      <c r="C66" s="64"/>
      <c r="D66" s="281" t="s">
        <v>725</v>
      </c>
      <c r="E66" s="520"/>
      <c r="F66" s="521"/>
      <c r="G66" s="187"/>
      <c r="H66" s="521"/>
      <c r="I66" s="187"/>
      <c r="J66" s="521"/>
      <c r="K66" s="187"/>
      <c r="L66" s="522"/>
      <c r="M66" s="187"/>
      <c r="N66" s="522"/>
      <c r="O66" s="187"/>
      <c r="P66" s="521"/>
      <c r="Q66" s="218"/>
      <c r="R66" s="521"/>
      <c r="S66" s="244"/>
      <c r="T66" s="66"/>
      <c r="U66" s="2"/>
      <c r="V66" s="43"/>
    </row>
    <row r="67" spans="2:22" s="1" customFormat="1" hidden="1" x14ac:dyDescent="0.3">
      <c r="C67" s="64"/>
      <c r="D67" s="278" t="str">
        <f t="shared" ref="D67:H68" si="1">D64</f>
        <v>Pile Cap tipe - PC1</v>
      </c>
      <c r="E67" s="520">
        <f t="shared" si="1"/>
        <v>1.1000000000000001</v>
      </c>
      <c r="F67" s="525" t="str">
        <f t="shared" si="1"/>
        <v>x</v>
      </c>
      <c r="G67" s="520">
        <f t="shared" si="1"/>
        <v>1.1000000000000001</v>
      </c>
      <c r="H67" s="525" t="str">
        <f t="shared" si="1"/>
        <v>x</v>
      </c>
      <c r="I67" s="187">
        <v>0.1</v>
      </c>
      <c r="J67" s="525" t="str">
        <f>J64</f>
        <v>x</v>
      </c>
      <c r="K67" s="520">
        <f>K64</f>
        <v>56</v>
      </c>
      <c r="L67" s="522"/>
      <c r="M67" s="187"/>
      <c r="N67" s="522"/>
      <c r="O67" s="187"/>
      <c r="P67" s="521"/>
      <c r="Q67" s="218"/>
      <c r="R67" s="518" t="s">
        <v>114</v>
      </c>
      <c r="S67" s="519">
        <f>E67*G67*I67*K67</f>
        <v>6.7760000000000016</v>
      </c>
      <c r="T67" s="66"/>
      <c r="U67" s="2"/>
      <c r="V67" s="43"/>
    </row>
    <row r="68" spans="2:22" s="1" customFormat="1" hidden="1" x14ac:dyDescent="0.3">
      <c r="C68" s="64"/>
      <c r="D68" s="278" t="str">
        <f t="shared" si="1"/>
        <v>Pile Cap tipe - PC2</v>
      </c>
      <c r="E68" s="520">
        <f t="shared" si="1"/>
        <v>2</v>
      </c>
      <c r="F68" s="525" t="str">
        <f t="shared" si="1"/>
        <v>x</v>
      </c>
      <c r="G68" s="520">
        <f t="shared" si="1"/>
        <v>1.1000000000000001</v>
      </c>
      <c r="H68" s="525" t="str">
        <f t="shared" si="1"/>
        <v>x</v>
      </c>
      <c r="I68" s="187">
        <v>0.1</v>
      </c>
      <c r="J68" s="525" t="str">
        <f>J65</f>
        <v>x</v>
      </c>
      <c r="K68" s="520">
        <f>K65</f>
        <v>12</v>
      </c>
      <c r="L68" s="522"/>
      <c r="M68" s="187"/>
      <c r="N68" s="522"/>
      <c r="O68" s="187"/>
      <c r="P68" s="521"/>
      <c r="Q68" s="218"/>
      <c r="R68" s="518" t="s">
        <v>114</v>
      </c>
      <c r="S68" s="519">
        <f>E68*G68*I68*K68</f>
        <v>2.6400000000000006</v>
      </c>
      <c r="T68" s="66"/>
      <c r="U68" s="2"/>
      <c r="V68" s="43"/>
    </row>
    <row r="69" spans="2:22" s="1" customFormat="1" hidden="1" x14ac:dyDescent="0.3">
      <c r="C69" s="64"/>
      <c r="D69" s="312"/>
      <c r="E69" s="160"/>
      <c r="F69" s="523"/>
      <c r="G69" s="220"/>
      <c r="H69" s="523"/>
      <c r="I69" s="160"/>
      <c r="J69" s="523"/>
      <c r="K69" s="160"/>
      <c r="L69" s="523"/>
      <c r="M69" s="195"/>
      <c r="N69" s="523"/>
      <c r="O69" s="160"/>
      <c r="P69" s="523"/>
      <c r="Q69" s="220"/>
      <c r="R69" s="523"/>
      <c r="S69" s="251"/>
      <c r="T69" s="66"/>
      <c r="U69" s="2"/>
      <c r="V69" s="43"/>
    </row>
    <row r="70" spans="2:22" s="1" customFormat="1" ht="17.25" hidden="1" thickBot="1" x14ac:dyDescent="0.35">
      <c r="C70" s="64"/>
      <c r="D70" s="3093" t="s">
        <v>164</v>
      </c>
      <c r="E70" s="3094"/>
      <c r="F70" s="3094"/>
      <c r="G70" s="3094"/>
      <c r="H70" s="3094"/>
      <c r="I70" s="3095"/>
      <c r="J70" s="524"/>
      <c r="K70" s="178"/>
      <c r="L70" s="500"/>
      <c r="M70" s="175"/>
      <c r="N70" s="500"/>
      <c r="O70" s="178"/>
      <c r="P70" s="500"/>
      <c r="Q70" s="203"/>
      <c r="R70" s="500"/>
      <c r="S70" s="231">
        <f>SUM(S63:S69)</f>
        <v>14.124000000000002</v>
      </c>
      <c r="T70" s="66"/>
      <c r="U70" s="2"/>
      <c r="V70" s="43"/>
    </row>
    <row r="71" spans="2:22" hidden="1" x14ac:dyDescent="0.3">
      <c r="C71" s="442"/>
      <c r="D71" s="453"/>
      <c r="E71" s="438"/>
      <c r="F71" s="482"/>
      <c r="G71" s="438"/>
      <c r="H71" s="482"/>
      <c r="I71" s="438"/>
      <c r="J71" s="482"/>
      <c r="K71" s="438"/>
      <c r="L71" s="482"/>
      <c r="M71" s="439"/>
      <c r="N71" s="482"/>
      <c r="O71" s="438"/>
      <c r="P71" s="482"/>
      <c r="Q71" s="440"/>
      <c r="R71" s="482"/>
      <c r="S71" s="454"/>
    </row>
    <row r="72" spans="2:22" s="1" customFormat="1" hidden="1" x14ac:dyDescent="0.3">
      <c r="B72" s="1">
        <f>[60]RAB!B22</f>
        <v>4</v>
      </c>
      <c r="C72" s="3" t="str">
        <f>[60]RAB!C22</f>
        <v>Urugan Tanah Peninggian Lantai dan Pemadatan</v>
      </c>
      <c r="E72" s="153"/>
      <c r="F72" s="480"/>
      <c r="G72" s="153"/>
      <c r="H72" s="480"/>
      <c r="I72" s="153"/>
      <c r="J72" s="480"/>
      <c r="K72" s="153"/>
      <c r="L72" s="480"/>
      <c r="M72" s="162"/>
      <c r="N72" s="480"/>
      <c r="O72" s="153"/>
      <c r="P72" s="480"/>
      <c r="Q72" s="200"/>
      <c r="R72" s="480"/>
      <c r="S72" s="224"/>
      <c r="T72" s="18">
        <f>ROUNDDOWN(S77,2)</f>
        <v>53</v>
      </c>
      <c r="U72" s="2" t="s">
        <v>3</v>
      </c>
      <c r="V72" s="43"/>
    </row>
    <row r="73" spans="2:22" s="1" customFormat="1" hidden="1" x14ac:dyDescent="0.3">
      <c r="C73" s="3"/>
      <c r="D73" s="1" t="str">
        <f>[60]RAB!C23</f>
        <v>- Urugan Tanah Bekas Galian</v>
      </c>
      <c r="E73" s="153"/>
      <c r="F73" s="480"/>
      <c r="G73" s="153"/>
      <c r="H73" s="480"/>
      <c r="I73" s="153"/>
      <c r="J73" s="480"/>
      <c r="K73" s="153"/>
      <c r="L73" s="480"/>
      <c r="M73" s="162"/>
      <c r="N73" s="480"/>
      <c r="O73" s="153"/>
      <c r="P73" s="480"/>
      <c r="Q73" s="200"/>
      <c r="R73" s="480"/>
      <c r="S73" s="224"/>
      <c r="T73" s="18"/>
      <c r="U73" s="2"/>
      <c r="V73" s="43"/>
    </row>
    <row r="74" spans="2:22" s="1" customFormat="1" hidden="1" x14ac:dyDescent="0.3">
      <c r="C74" s="64"/>
      <c r="D74" s="8" t="s">
        <v>95</v>
      </c>
      <c r="E74" s="154" t="s">
        <v>150</v>
      </c>
      <c r="F74" s="493"/>
      <c r="G74" s="154" t="s">
        <v>151</v>
      </c>
      <c r="H74" s="493"/>
      <c r="I74" s="154" t="s">
        <v>152</v>
      </c>
      <c r="J74" s="493"/>
      <c r="K74" s="154" t="s">
        <v>153</v>
      </c>
      <c r="L74" s="494"/>
      <c r="M74" s="163" t="s">
        <v>32</v>
      </c>
      <c r="N74" s="494"/>
      <c r="O74" s="201" t="s">
        <v>163</v>
      </c>
      <c r="P74" s="494"/>
      <c r="Q74" s="202" t="s">
        <v>151</v>
      </c>
      <c r="R74" s="494"/>
      <c r="S74" s="226" t="s">
        <v>143</v>
      </c>
      <c r="T74" s="66"/>
      <c r="U74" s="2"/>
      <c r="V74" s="43"/>
    </row>
    <row r="75" spans="2:22" s="1" customFormat="1" hidden="1" x14ac:dyDescent="0.3">
      <c r="C75" s="64"/>
      <c r="D75" s="308" t="s">
        <v>189</v>
      </c>
      <c r="E75" s="152"/>
      <c r="F75" s="496"/>
      <c r="G75" s="152"/>
      <c r="H75" s="496"/>
      <c r="I75" s="152"/>
      <c r="J75" s="496"/>
      <c r="K75" s="152"/>
      <c r="L75" s="496"/>
      <c r="M75" s="173"/>
      <c r="N75" s="496"/>
      <c r="O75" s="152"/>
      <c r="P75" s="496"/>
      <c r="Q75" s="221"/>
      <c r="R75" s="496" t="s">
        <v>114</v>
      </c>
      <c r="S75" s="248">
        <f>S56</f>
        <v>53.004000000000005</v>
      </c>
      <c r="T75" s="66"/>
      <c r="U75" s="2"/>
      <c r="V75" s="43"/>
    </row>
    <row r="76" spans="2:22" s="1" customFormat="1" hidden="1" x14ac:dyDescent="0.3">
      <c r="C76" s="64"/>
      <c r="D76" s="309"/>
      <c r="E76" s="160"/>
      <c r="F76" s="523"/>
      <c r="G76" s="160"/>
      <c r="H76" s="523"/>
      <c r="I76" s="160"/>
      <c r="J76" s="523"/>
      <c r="K76" s="160"/>
      <c r="L76" s="523"/>
      <c r="M76" s="195"/>
      <c r="N76" s="523"/>
      <c r="O76" s="160"/>
      <c r="P76" s="523"/>
      <c r="Q76" s="220"/>
      <c r="R76" s="523"/>
      <c r="S76" s="251"/>
      <c r="T76" s="66"/>
      <c r="U76" s="2"/>
      <c r="V76" s="43"/>
    </row>
    <row r="77" spans="2:22" s="1" customFormat="1" ht="17.25" hidden="1" thickBot="1" x14ac:dyDescent="0.35">
      <c r="C77" s="64"/>
      <c r="D77" s="3093" t="s">
        <v>164</v>
      </c>
      <c r="E77" s="3094"/>
      <c r="F77" s="3094"/>
      <c r="G77" s="3094"/>
      <c r="H77" s="3094"/>
      <c r="I77" s="3095"/>
      <c r="J77" s="524"/>
      <c r="K77" s="178"/>
      <c r="L77" s="500"/>
      <c r="M77" s="175"/>
      <c r="N77" s="500"/>
      <c r="O77" s="178"/>
      <c r="P77" s="500"/>
      <c r="Q77" s="203"/>
      <c r="R77" s="500"/>
      <c r="S77" s="231">
        <f>SUM(S75:S75)</f>
        <v>53.004000000000005</v>
      </c>
      <c r="T77" s="66"/>
      <c r="U77" s="2"/>
      <c r="V77" s="43"/>
    </row>
    <row r="78" spans="2:22" hidden="1" x14ac:dyDescent="0.3">
      <c r="C78" s="442"/>
      <c r="D78" s="453"/>
      <c r="E78" s="438"/>
      <c r="F78" s="485"/>
      <c r="G78" s="438"/>
      <c r="H78" s="485"/>
      <c r="I78" s="438"/>
      <c r="J78" s="485"/>
      <c r="K78" s="438"/>
      <c r="L78" s="482"/>
      <c r="M78" s="439"/>
      <c r="N78" s="482"/>
      <c r="O78" s="438"/>
      <c r="P78" s="482"/>
      <c r="Q78" s="440"/>
      <c r="R78" s="482"/>
      <c r="S78" s="454"/>
    </row>
    <row r="79" spans="2:22" s="1" customFormat="1" hidden="1" x14ac:dyDescent="0.3">
      <c r="C79" s="3"/>
      <c r="D79" s="1" t="str">
        <f>[60]RAB!C24</f>
        <v>- Urugan Tanah Didatangkan</v>
      </c>
      <c r="E79" s="153"/>
      <c r="F79" s="480"/>
      <c r="G79" s="153"/>
      <c r="H79" s="480"/>
      <c r="I79" s="153"/>
      <c r="J79" s="480"/>
      <c r="K79" s="153"/>
      <c r="L79" s="480"/>
      <c r="M79" s="162"/>
      <c r="N79" s="480"/>
      <c r="O79" s="153"/>
      <c r="P79" s="480"/>
      <c r="Q79" s="200"/>
      <c r="R79" s="480"/>
      <c r="S79" s="224"/>
      <c r="T79" s="18">
        <f>ROUNDDOWN(S87,2)</f>
        <v>180.27</v>
      </c>
      <c r="U79" s="2" t="s">
        <v>3</v>
      </c>
      <c r="V79" s="43"/>
    </row>
    <row r="80" spans="2:22" s="1" customFormat="1" hidden="1" x14ac:dyDescent="0.3">
      <c r="C80" s="64"/>
      <c r="D80" s="8" t="s">
        <v>95</v>
      </c>
      <c r="E80" s="154" t="s">
        <v>150</v>
      </c>
      <c r="F80" s="493"/>
      <c r="G80" s="154" t="s">
        <v>151</v>
      </c>
      <c r="H80" s="493"/>
      <c r="I80" s="154" t="s">
        <v>152</v>
      </c>
      <c r="J80" s="493"/>
      <c r="K80" s="154" t="s">
        <v>153</v>
      </c>
      <c r="L80" s="494"/>
      <c r="M80" s="163" t="s">
        <v>32</v>
      </c>
      <c r="N80" s="494"/>
      <c r="O80" s="201" t="s">
        <v>163</v>
      </c>
      <c r="P80" s="494"/>
      <c r="Q80" s="202" t="s">
        <v>151</v>
      </c>
      <c r="R80" s="494"/>
      <c r="S80" s="226" t="s">
        <v>143</v>
      </c>
      <c r="T80" s="66"/>
      <c r="U80" s="2"/>
      <c r="V80" s="43"/>
    </row>
    <row r="81" spans="2:24" s="1" customFormat="1" hidden="1" x14ac:dyDescent="0.3">
      <c r="C81" s="64"/>
      <c r="D81" s="308" t="s">
        <v>583</v>
      </c>
      <c r="E81" s="152">
        <v>29.52</v>
      </c>
      <c r="F81" s="496"/>
      <c r="G81" s="152"/>
      <c r="H81" s="496" t="s">
        <v>1318</v>
      </c>
      <c r="I81" s="152">
        <v>0.4</v>
      </c>
      <c r="J81" s="496" t="s">
        <v>1318</v>
      </c>
      <c r="K81" s="152">
        <v>18</v>
      </c>
      <c r="L81" s="496"/>
      <c r="M81" s="173"/>
      <c r="N81" s="496"/>
      <c r="O81" s="152"/>
      <c r="P81" s="496"/>
      <c r="Q81" s="533">
        <f>E81*I81*K81</f>
        <v>212.54399999999998</v>
      </c>
      <c r="R81" s="496" t="s">
        <v>114</v>
      </c>
      <c r="S81" s="248">
        <f>Q81</f>
        <v>212.54399999999998</v>
      </c>
      <c r="T81" s="66"/>
      <c r="U81" s="2"/>
      <c r="V81" s="43"/>
    </row>
    <row r="82" spans="2:24" s="1" customFormat="1" hidden="1" x14ac:dyDescent="0.3">
      <c r="C82" s="64"/>
      <c r="D82" s="1146"/>
      <c r="E82" s="187">
        <v>14.4</v>
      </c>
      <c r="F82" s="498"/>
      <c r="G82" s="187"/>
      <c r="H82" s="498" t="s">
        <v>1318</v>
      </c>
      <c r="I82" s="187">
        <v>0.4</v>
      </c>
      <c r="J82" s="498" t="s">
        <v>1318</v>
      </c>
      <c r="K82" s="187">
        <v>9</v>
      </c>
      <c r="L82" s="498"/>
      <c r="M82" s="188"/>
      <c r="N82" s="498"/>
      <c r="O82" s="187"/>
      <c r="P82" s="498"/>
      <c r="Q82" s="1147">
        <f>E82*I82*K82</f>
        <v>51.84</v>
      </c>
      <c r="R82" s="498" t="s">
        <v>114</v>
      </c>
      <c r="S82" s="244">
        <f>I82*Q82</f>
        <v>20.736000000000004</v>
      </c>
      <c r="T82" s="66"/>
      <c r="U82" s="2"/>
      <c r="V82" s="43"/>
    </row>
    <row r="83" spans="2:24" s="1" customFormat="1" hidden="1" x14ac:dyDescent="0.3">
      <c r="C83" s="64"/>
      <c r="D83" s="1146"/>
      <c r="E83" s="187"/>
      <c r="F83" s="498"/>
      <c r="G83" s="187"/>
      <c r="H83" s="498"/>
      <c r="I83" s="187"/>
      <c r="J83" s="498"/>
      <c r="K83" s="187"/>
      <c r="L83" s="498"/>
      <c r="M83" s="188"/>
      <c r="N83" s="498"/>
      <c r="O83" s="187"/>
      <c r="P83" s="498"/>
      <c r="Q83" s="1147"/>
      <c r="R83" s="498"/>
      <c r="S83" s="1148">
        <f>SUM(S81:S82)</f>
        <v>233.27999999999997</v>
      </c>
      <c r="T83" s="66"/>
      <c r="U83" s="2"/>
      <c r="V83" s="43"/>
    </row>
    <row r="84" spans="2:24" s="1" customFormat="1" hidden="1" x14ac:dyDescent="0.3">
      <c r="C84" s="64"/>
      <c r="D84" s="139" t="s">
        <v>248</v>
      </c>
      <c r="E84" s="187"/>
      <c r="F84" s="521"/>
      <c r="G84" s="187"/>
      <c r="H84" s="521"/>
      <c r="I84" s="187"/>
      <c r="J84" s="521"/>
      <c r="K84" s="187"/>
      <c r="L84" s="498"/>
      <c r="M84" s="188"/>
      <c r="N84" s="498"/>
      <c r="O84" s="187"/>
      <c r="P84" s="498"/>
      <c r="Q84" s="218"/>
      <c r="R84" s="522" t="s">
        <v>149</v>
      </c>
      <c r="S84" s="293">
        <f>S77</f>
        <v>53.004000000000005</v>
      </c>
      <c r="T84" s="66"/>
      <c r="U84" s="2"/>
      <c r="V84" s="43"/>
    </row>
    <row r="85" spans="2:24" s="1" customFormat="1" hidden="1" x14ac:dyDescent="0.3">
      <c r="C85" s="64"/>
      <c r="D85" s="147" t="s">
        <v>190</v>
      </c>
      <c r="E85" s="187"/>
      <c r="F85" s="521"/>
      <c r="G85" s="187"/>
      <c r="H85" s="521"/>
      <c r="I85" s="187"/>
      <c r="J85" s="521"/>
      <c r="K85" s="187"/>
      <c r="L85" s="498"/>
      <c r="M85" s="188"/>
      <c r="N85" s="498"/>
      <c r="O85" s="187"/>
      <c r="P85" s="498"/>
      <c r="Q85" s="218"/>
      <c r="R85" s="521" t="s">
        <v>114</v>
      </c>
      <c r="S85" s="293">
        <f>S83-S84</f>
        <v>180.27599999999995</v>
      </c>
      <c r="T85" s="66"/>
      <c r="U85" s="2"/>
      <c r="V85" s="43"/>
    </row>
    <row r="86" spans="2:24" s="1" customFormat="1" hidden="1" x14ac:dyDescent="0.3">
      <c r="C86" s="64"/>
      <c r="D86" s="309"/>
      <c r="E86" s="160"/>
      <c r="F86" s="523"/>
      <c r="G86" s="160"/>
      <c r="H86" s="523"/>
      <c r="I86" s="160"/>
      <c r="J86" s="523"/>
      <c r="K86" s="160"/>
      <c r="L86" s="523"/>
      <c r="M86" s="195"/>
      <c r="N86" s="523"/>
      <c r="O86" s="160"/>
      <c r="P86" s="523"/>
      <c r="Q86" s="220"/>
      <c r="R86" s="523"/>
      <c r="S86" s="251"/>
      <c r="T86" s="66"/>
      <c r="U86" s="2"/>
      <c r="V86" s="43"/>
    </row>
    <row r="87" spans="2:24" s="1" customFormat="1" ht="17.25" hidden="1" thickBot="1" x14ac:dyDescent="0.35">
      <c r="C87" s="64"/>
      <c r="D87" s="3093" t="s">
        <v>164</v>
      </c>
      <c r="E87" s="3094"/>
      <c r="F87" s="3094"/>
      <c r="G87" s="3094"/>
      <c r="H87" s="3094"/>
      <c r="I87" s="3095"/>
      <c r="J87" s="524"/>
      <c r="K87" s="178"/>
      <c r="L87" s="500"/>
      <c r="M87" s="175"/>
      <c r="N87" s="500"/>
      <c r="O87" s="178"/>
      <c r="P87" s="500"/>
      <c r="Q87" s="203"/>
      <c r="R87" s="500"/>
      <c r="S87" s="231">
        <f>S85</f>
        <v>180.27599999999995</v>
      </c>
      <c r="T87" s="66"/>
      <c r="U87" s="2"/>
      <c r="V87" s="43"/>
    </row>
    <row r="88" spans="2:24" hidden="1" x14ac:dyDescent="0.3">
      <c r="C88" s="442"/>
      <c r="D88" s="453"/>
      <c r="E88" s="438"/>
      <c r="F88" s="485"/>
      <c r="G88" s="438"/>
      <c r="H88" s="485"/>
      <c r="I88" s="438"/>
      <c r="J88" s="485"/>
      <c r="K88" s="438"/>
      <c r="L88" s="482"/>
      <c r="M88" s="439"/>
      <c r="N88" s="482"/>
      <c r="O88" s="438"/>
      <c r="P88" s="482"/>
      <c r="Q88" s="440"/>
      <c r="R88" s="482"/>
      <c r="S88" s="454"/>
    </row>
    <row r="89" spans="2:24" s="32" customFormat="1" hidden="1" x14ac:dyDescent="0.3">
      <c r="B89" s="53" t="str">
        <f>RAB!B31</f>
        <v>II</v>
      </c>
      <c r="C89" s="119" t="str">
        <f>RAB!C31</f>
        <v>PEKERJAAN STRUKTUR</v>
      </c>
      <c r="E89" s="176"/>
      <c r="F89" s="504"/>
      <c r="G89" s="176"/>
      <c r="H89" s="504"/>
      <c r="I89" s="176"/>
      <c r="J89" s="504"/>
      <c r="K89" s="176"/>
      <c r="L89" s="504"/>
      <c r="M89" s="177"/>
      <c r="N89" s="504"/>
      <c r="O89" s="176"/>
      <c r="P89" s="504"/>
      <c r="Q89" s="205"/>
      <c r="R89" s="504"/>
      <c r="S89" s="229"/>
      <c r="T89" s="54"/>
      <c r="U89" s="50"/>
      <c r="V89" s="51"/>
    </row>
    <row r="90" spans="2:24" s="32" customFormat="1" hidden="1" x14ac:dyDescent="0.3">
      <c r="B90" s="32">
        <f>RAB!B32</f>
        <v>1</v>
      </c>
      <c r="C90" s="33" t="str">
        <f>RAB!C32</f>
        <v>Pekerjaan Tiang Pancang</v>
      </c>
      <c r="E90" s="176"/>
      <c r="F90" s="504"/>
      <c r="G90" s="176"/>
      <c r="H90" s="504"/>
      <c r="I90" s="176"/>
      <c r="J90" s="504"/>
      <c r="K90" s="176"/>
      <c r="L90" s="504"/>
      <c r="M90" s="177"/>
      <c r="N90" s="504"/>
      <c r="O90" s="176"/>
      <c r="P90" s="504"/>
      <c r="Q90" s="205"/>
      <c r="R90" s="504"/>
      <c r="S90" s="229"/>
      <c r="T90" s="54"/>
      <c r="U90" s="50"/>
      <c r="V90" s="51"/>
    </row>
    <row r="91" spans="2:24" s="32" customFormat="1" hidden="1" x14ac:dyDescent="0.3">
      <c r="C91" s="33" t="str">
        <f>RAB!C33</f>
        <v>-</v>
      </c>
      <c r="D91" s="32" t="str">
        <f>RAB!D33</f>
        <v>Mobilisasi dan Demobilisasi Alat Pemancang</v>
      </c>
      <c r="E91" s="176"/>
      <c r="F91" s="504"/>
      <c r="G91" s="176"/>
      <c r="H91" s="504"/>
      <c r="I91" s="176"/>
      <c r="J91" s="504"/>
      <c r="K91" s="176"/>
      <c r="L91" s="504"/>
      <c r="M91" s="177"/>
      <c r="N91" s="504"/>
      <c r="O91" s="176"/>
      <c r="P91" s="504"/>
      <c r="Q91" s="205"/>
      <c r="R91" s="504"/>
      <c r="S91" s="229"/>
      <c r="T91" s="54">
        <v>1</v>
      </c>
      <c r="U91" s="50" t="s">
        <v>1</v>
      </c>
      <c r="V91" s="51"/>
    </row>
    <row r="92" spans="2:24" s="32" customFormat="1" hidden="1" x14ac:dyDescent="0.3">
      <c r="C92" s="33"/>
      <c r="E92" s="176"/>
      <c r="F92" s="504"/>
      <c r="G92" s="176"/>
      <c r="H92" s="504"/>
      <c r="I92" s="176"/>
      <c r="J92" s="504"/>
      <c r="K92" s="176"/>
      <c r="L92" s="504"/>
      <c r="M92" s="177"/>
      <c r="N92" s="504"/>
      <c r="O92" s="176"/>
      <c r="P92" s="504"/>
      <c r="Q92" s="205"/>
      <c r="R92" s="504"/>
      <c r="S92" s="229"/>
      <c r="T92" s="54"/>
      <c r="U92" s="50"/>
      <c r="V92" s="51"/>
    </row>
    <row r="93" spans="2:24" s="32" customFormat="1" hidden="1" x14ac:dyDescent="0.3">
      <c r="C93" s="33" t="str">
        <f>RAB!C34</f>
        <v>-</v>
      </c>
      <c r="D93" s="33" t="str">
        <f>RAB!D34</f>
        <v>Pengadaan Spun Pile Ø 30  Cm K-600</v>
      </c>
      <c r="E93" s="176"/>
      <c r="F93" s="504"/>
      <c r="G93" s="176"/>
      <c r="H93" s="504"/>
      <c r="I93" s="176"/>
      <c r="J93" s="504"/>
      <c r="K93" s="176"/>
      <c r="L93" s="504"/>
      <c r="M93" s="177"/>
      <c r="N93" s="504"/>
      <c r="O93" s="176"/>
      <c r="P93" s="504"/>
      <c r="Q93" s="205"/>
      <c r="R93" s="504"/>
      <c r="S93" s="229"/>
      <c r="T93" s="54">
        <f>ROUNDDOWN(S98,2)</f>
        <v>1600</v>
      </c>
      <c r="U93" s="50" t="s">
        <v>27</v>
      </c>
      <c r="V93" s="51"/>
    </row>
    <row r="94" spans="2:24" s="32" customFormat="1" hidden="1" x14ac:dyDescent="0.3">
      <c r="C94" s="33"/>
      <c r="D94" s="52" t="s">
        <v>95</v>
      </c>
      <c r="E94" s="155" t="s">
        <v>150</v>
      </c>
      <c r="F94" s="505"/>
      <c r="G94" s="155" t="s">
        <v>151</v>
      </c>
      <c r="H94" s="505"/>
      <c r="I94" s="155" t="s">
        <v>152</v>
      </c>
      <c r="J94" s="505"/>
      <c r="K94" s="155" t="s">
        <v>153</v>
      </c>
      <c r="L94" s="506"/>
      <c r="M94" s="164" t="s">
        <v>32</v>
      </c>
      <c r="N94" s="506"/>
      <c r="O94" s="206" t="s">
        <v>163</v>
      </c>
      <c r="P94" s="506"/>
      <c r="Q94" s="207" t="s">
        <v>151</v>
      </c>
      <c r="R94" s="506"/>
      <c r="S94" s="230" t="s">
        <v>143</v>
      </c>
      <c r="T94" s="419"/>
      <c r="U94" s="50"/>
      <c r="V94" s="51"/>
    </row>
    <row r="95" spans="2:24" s="32" customFormat="1" hidden="1" x14ac:dyDescent="0.3">
      <c r="C95" s="33"/>
      <c r="D95" s="140" t="str">
        <f>D102</f>
        <v>Pile Cap tipe - PC1</v>
      </c>
      <c r="E95" s="172">
        <v>20</v>
      </c>
      <c r="F95" s="514" t="s">
        <v>185</v>
      </c>
      <c r="G95" s="172"/>
      <c r="H95" s="514"/>
      <c r="I95" s="172"/>
      <c r="J95" s="514"/>
      <c r="K95" s="172">
        <f>K102</f>
        <v>1</v>
      </c>
      <c r="L95" s="514" t="s">
        <v>185</v>
      </c>
      <c r="M95" s="534">
        <f>K42</f>
        <v>56</v>
      </c>
      <c r="N95" s="515"/>
      <c r="O95" s="172"/>
      <c r="P95" s="535"/>
      <c r="Q95" s="535"/>
      <c r="R95" s="515" t="s">
        <v>114</v>
      </c>
      <c r="S95" s="536">
        <f>M95*K95*E95</f>
        <v>1120</v>
      </c>
      <c r="T95" s="419"/>
      <c r="U95" s="50"/>
      <c r="V95" s="1154"/>
      <c r="W95" s="635"/>
      <c r="X95" s="55"/>
    </row>
    <row r="96" spans="2:24" s="32" customFormat="1" hidden="1" x14ac:dyDescent="0.3">
      <c r="C96" s="33"/>
      <c r="D96" s="140" t="str">
        <f>D103</f>
        <v>Pile Cap tipe - PC2</v>
      </c>
      <c r="E96" s="172">
        <v>20</v>
      </c>
      <c r="F96" s="514" t="s">
        <v>185</v>
      </c>
      <c r="G96" s="172"/>
      <c r="H96" s="514"/>
      <c r="I96" s="172"/>
      <c r="J96" s="514"/>
      <c r="K96" s="172">
        <f>K103</f>
        <v>2</v>
      </c>
      <c r="L96" s="514" t="s">
        <v>185</v>
      </c>
      <c r="M96" s="534">
        <f>K43</f>
        <v>12</v>
      </c>
      <c r="N96" s="515"/>
      <c r="O96" s="172"/>
      <c r="P96" s="537"/>
      <c r="Q96" s="537"/>
      <c r="R96" s="515" t="s">
        <v>114</v>
      </c>
      <c r="S96" s="538">
        <f>M96*K96*E96</f>
        <v>480</v>
      </c>
      <c r="T96" s="419"/>
      <c r="U96" s="50"/>
      <c r="V96" s="1154"/>
      <c r="W96" s="635"/>
      <c r="X96" s="55"/>
    </row>
    <row r="97" spans="3:24" s="32" customFormat="1" ht="17.25" hidden="1" thickBot="1" x14ac:dyDescent="0.35">
      <c r="C97" s="33"/>
      <c r="D97" s="306"/>
      <c r="E97" s="223"/>
      <c r="F97" s="539"/>
      <c r="G97" s="223"/>
      <c r="H97" s="539"/>
      <c r="I97" s="223"/>
      <c r="J97" s="539"/>
      <c r="K97" s="223"/>
      <c r="L97" s="539"/>
      <c r="M97" s="223"/>
      <c r="N97" s="539"/>
      <c r="O97" s="223"/>
      <c r="P97" s="540"/>
      <c r="Q97" s="541"/>
      <c r="R97" s="539"/>
      <c r="S97" s="307"/>
      <c r="T97" s="419"/>
      <c r="U97" s="50"/>
      <c r="V97" s="1155"/>
      <c r="W97" s="55"/>
      <c r="X97" s="55"/>
    </row>
    <row r="98" spans="3:24" s="32" customFormat="1" ht="17.25" hidden="1" thickBot="1" x14ac:dyDescent="0.35">
      <c r="C98" s="33"/>
      <c r="D98" s="3101" t="s">
        <v>164</v>
      </c>
      <c r="E98" s="3102"/>
      <c r="F98" s="3102"/>
      <c r="G98" s="3102"/>
      <c r="H98" s="3102"/>
      <c r="I98" s="3102"/>
      <c r="J98" s="531"/>
      <c r="K98" s="179"/>
      <c r="L98" s="532"/>
      <c r="M98" s="180"/>
      <c r="N98" s="532"/>
      <c r="O98" s="183"/>
      <c r="P98" s="532"/>
      <c r="Q98" s="210"/>
      <c r="R98" s="532"/>
      <c r="S98" s="233">
        <f>SUM(S95:S97)</f>
        <v>1600</v>
      </c>
      <c r="T98" s="53"/>
      <c r="U98" s="50"/>
      <c r="V98" s="51"/>
    </row>
    <row r="99" spans="3:24" s="444" customFormat="1" hidden="1" x14ac:dyDescent="0.3">
      <c r="C99" s="450"/>
      <c r="E99" s="445"/>
      <c r="F99" s="483"/>
      <c r="G99" s="445"/>
      <c r="H99" s="483"/>
      <c r="I99" s="445"/>
      <c r="J99" s="483"/>
      <c r="K99" s="445"/>
      <c r="L99" s="483"/>
      <c r="M99" s="446"/>
      <c r="N99" s="483"/>
      <c r="O99" s="445"/>
      <c r="P99" s="483"/>
      <c r="Q99" s="447"/>
      <c r="R99" s="483"/>
      <c r="S99" s="448"/>
      <c r="T99" s="456"/>
      <c r="U99" s="443"/>
      <c r="V99" s="674"/>
    </row>
    <row r="100" spans="3:24" s="32" customFormat="1" hidden="1" x14ac:dyDescent="0.3">
      <c r="C100" s="33" t="str">
        <f>RAB!C35</f>
        <v>-</v>
      </c>
      <c r="D100" s="32" t="str">
        <f>RAB!D35</f>
        <v>Pemancangan Spun Pile Ø 30 Cm K-600 dengan Hydraulic Jacking System kap. 120 Ton</v>
      </c>
      <c r="E100" s="176"/>
      <c r="F100" s="504"/>
      <c r="G100" s="176"/>
      <c r="H100" s="504"/>
      <c r="I100" s="176"/>
      <c r="J100" s="504"/>
      <c r="K100" s="176"/>
      <c r="L100" s="504"/>
      <c r="M100" s="177"/>
      <c r="N100" s="504"/>
      <c r="O100" s="176"/>
      <c r="P100" s="504"/>
      <c r="Q100" s="205"/>
      <c r="R100" s="504"/>
      <c r="S100" s="229"/>
      <c r="T100" s="54">
        <f>ROUNDDOWN(S105,2)</f>
        <v>1600</v>
      </c>
      <c r="U100" s="50" t="s">
        <v>27</v>
      </c>
      <c r="V100" s="51"/>
    </row>
    <row r="101" spans="3:24" s="32" customFormat="1" hidden="1" x14ac:dyDescent="0.3">
      <c r="C101" s="33"/>
      <c r="D101" s="52" t="s">
        <v>95</v>
      </c>
      <c r="E101" s="155" t="s">
        <v>150</v>
      </c>
      <c r="F101" s="505"/>
      <c r="G101" s="155" t="s">
        <v>151</v>
      </c>
      <c r="H101" s="505"/>
      <c r="I101" s="155" t="s">
        <v>152</v>
      </c>
      <c r="J101" s="505"/>
      <c r="K101" s="155" t="s">
        <v>153</v>
      </c>
      <c r="L101" s="506"/>
      <c r="M101" s="164" t="s">
        <v>32</v>
      </c>
      <c r="N101" s="506"/>
      <c r="O101" s="206" t="s">
        <v>163</v>
      </c>
      <c r="P101" s="506"/>
      <c r="Q101" s="207" t="s">
        <v>151</v>
      </c>
      <c r="R101" s="506"/>
      <c r="S101" s="230" t="s">
        <v>143</v>
      </c>
      <c r="T101" s="419"/>
      <c r="U101" s="50"/>
      <c r="V101" s="51"/>
    </row>
    <row r="102" spans="3:24" s="32" customFormat="1" hidden="1" x14ac:dyDescent="0.3">
      <c r="C102" s="33"/>
      <c r="D102" s="303" t="str">
        <f>C127</f>
        <v>Pile Cap tipe - PC1</v>
      </c>
      <c r="E102" s="217">
        <f>E95</f>
        <v>20</v>
      </c>
      <c r="F102" s="507" t="s">
        <v>185</v>
      </c>
      <c r="G102" s="217"/>
      <c r="H102" s="507"/>
      <c r="I102" s="217"/>
      <c r="J102" s="507"/>
      <c r="K102" s="217">
        <v>1</v>
      </c>
      <c r="L102" s="508"/>
      <c r="M102" s="354">
        <f>M95</f>
        <v>56</v>
      </c>
      <c r="N102" s="508"/>
      <c r="O102" s="217"/>
      <c r="P102" s="508"/>
      <c r="Q102" s="276"/>
      <c r="R102" s="507" t="s">
        <v>114</v>
      </c>
      <c r="S102" s="298">
        <f>M102*K102*E102</f>
        <v>1120</v>
      </c>
      <c r="T102" s="419"/>
      <c r="U102" s="50"/>
      <c r="V102" s="1154"/>
      <c r="W102" s="55"/>
      <c r="X102" s="55"/>
    </row>
    <row r="103" spans="3:24" s="32" customFormat="1" hidden="1" x14ac:dyDescent="0.3">
      <c r="C103" s="33"/>
      <c r="D103" s="140" t="str">
        <f>C149</f>
        <v>Pile Cap tipe - PC2</v>
      </c>
      <c r="E103" s="172">
        <f>E96</f>
        <v>20</v>
      </c>
      <c r="F103" s="514" t="s">
        <v>185</v>
      </c>
      <c r="G103" s="172"/>
      <c r="H103" s="514"/>
      <c r="I103" s="172"/>
      <c r="J103" s="514"/>
      <c r="K103" s="172">
        <v>2</v>
      </c>
      <c r="L103" s="515"/>
      <c r="M103" s="534">
        <f>M96</f>
        <v>12</v>
      </c>
      <c r="N103" s="515"/>
      <c r="O103" s="172"/>
      <c r="P103" s="515"/>
      <c r="Q103" s="259"/>
      <c r="R103" s="514"/>
      <c r="S103" s="260">
        <f>E103*K103*M103</f>
        <v>480</v>
      </c>
      <c r="T103" s="419"/>
      <c r="U103" s="50"/>
      <c r="V103" s="1154"/>
      <c r="W103" s="55"/>
      <c r="X103" s="55"/>
    </row>
    <row r="104" spans="3:24" s="32" customFormat="1" hidden="1" x14ac:dyDescent="0.3">
      <c r="C104" s="33"/>
      <c r="D104" s="304"/>
      <c r="E104" s="199"/>
      <c r="F104" s="530"/>
      <c r="G104" s="199"/>
      <c r="H104" s="530"/>
      <c r="I104" s="199"/>
      <c r="J104" s="530"/>
      <c r="K104" s="199"/>
      <c r="L104" s="530"/>
      <c r="M104" s="199"/>
      <c r="N104" s="530"/>
      <c r="O104" s="199"/>
      <c r="P104" s="530"/>
      <c r="Q104" s="283"/>
      <c r="R104" s="530"/>
      <c r="S104" s="305"/>
      <c r="T104" s="419"/>
      <c r="U104" s="50"/>
      <c r="V104" s="1155"/>
      <c r="W104" s="55"/>
      <c r="X104" s="55"/>
    </row>
    <row r="105" spans="3:24" s="32" customFormat="1" ht="17.25" hidden="1" thickBot="1" x14ac:dyDescent="0.35">
      <c r="C105" s="33"/>
      <c r="D105" s="3101" t="s">
        <v>164</v>
      </c>
      <c r="E105" s="3102"/>
      <c r="F105" s="3102"/>
      <c r="G105" s="3102"/>
      <c r="H105" s="3102"/>
      <c r="I105" s="3102"/>
      <c r="J105" s="531"/>
      <c r="K105" s="179"/>
      <c r="L105" s="532"/>
      <c r="M105" s="180"/>
      <c r="N105" s="532"/>
      <c r="O105" s="183"/>
      <c r="P105" s="532"/>
      <c r="Q105" s="210"/>
      <c r="R105" s="532"/>
      <c r="S105" s="233">
        <f>SUM(S102:S104)</f>
        <v>1600</v>
      </c>
      <c r="T105" s="53"/>
      <c r="U105" s="50"/>
      <c r="V105" s="51"/>
    </row>
    <row r="106" spans="3:24" s="32" customFormat="1" hidden="1" x14ac:dyDescent="0.3">
      <c r="C106" s="33"/>
      <c r="D106" s="121"/>
      <c r="E106" s="181"/>
      <c r="F106" s="528"/>
      <c r="G106" s="181"/>
      <c r="H106" s="528"/>
      <c r="I106" s="181"/>
      <c r="J106" s="528"/>
      <c r="K106" s="181"/>
      <c r="L106" s="529"/>
      <c r="M106" s="182"/>
      <c r="N106" s="529"/>
      <c r="O106" s="181"/>
      <c r="P106" s="529"/>
      <c r="Q106" s="211"/>
      <c r="R106" s="529"/>
      <c r="S106" s="234"/>
      <c r="T106" s="53"/>
      <c r="U106" s="50"/>
      <c r="V106" s="51"/>
    </row>
    <row r="107" spans="3:24" s="32" customFormat="1" hidden="1" x14ac:dyDescent="0.3">
      <c r="C107" s="33" t="str">
        <f>RAB!C36</f>
        <v>-</v>
      </c>
      <c r="D107" s="32" t="str">
        <f>RAB!D36</f>
        <v>Penyambungan Tiang Pancang</v>
      </c>
      <c r="E107" s="176"/>
      <c r="F107" s="504"/>
      <c r="G107" s="176"/>
      <c r="H107" s="504"/>
      <c r="I107" s="176"/>
      <c r="J107" s="504"/>
      <c r="K107" s="176"/>
      <c r="L107" s="504"/>
      <c r="M107" s="177"/>
      <c r="N107" s="504"/>
      <c r="O107" s="176"/>
      <c r="P107" s="504"/>
      <c r="Q107" s="205"/>
      <c r="R107" s="504"/>
      <c r="S107" s="229"/>
      <c r="T107" s="54">
        <f>ROUNDDOWN(S112,2)</f>
        <v>80</v>
      </c>
      <c r="U107" s="50" t="s">
        <v>287</v>
      </c>
      <c r="V107" s="51"/>
    </row>
    <row r="108" spans="3:24" s="32" customFormat="1" hidden="1" x14ac:dyDescent="0.3">
      <c r="C108" s="33"/>
      <c r="D108" s="52" t="s">
        <v>95</v>
      </c>
      <c r="E108" s="155" t="s">
        <v>150</v>
      </c>
      <c r="F108" s="505"/>
      <c r="G108" s="155" t="s">
        <v>151</v>
      </c>
      <c r="H108" s="505"/>
      <c r="I108" s="155" t="s">
        <v>152</v>
      </c>
      <c r="J108" s="505"/>
      <c r="K108" s="155" t="s">
        <v>153</v>
      </c>
      <c r="L108" s="506"/>
      <c r="M108" s="164" t="s">
        <v>32</v>
      </c>
      <c r="N108" s="506"/>
      <c r="O108" s="206" t="s">
        <v>163</v>
      </c>
      <c r="P108" s="506"/>
      <c r="Q108" s="207" t="s">
        <v>151</v>
      </c>
      <c r="R108" s="506"/>
      <c r="S108" s="230" t="s">
        <v>143</v>
      </c>
      <c r="T108" s="419"/>
      <c r="U108" s="50"/>
      <c r="V108" s="51"/>
    </row>
    <row r="109" spans="3:24" s="32" customFormat="1" hidden="1" x14ac:dyDescent="0.3">
      <c r="C109" s="33"/>
      <c r="D109" s="303" t="str">
        <f>D102</f>
        <v>Pile Cap tipe - PC1</v>
      </c>
      <c r="E109" s="217"/>
      <c r="F109" s="507"/>
      <c r="G109" s="217"/>
      <c r="H109" s="507"/>
      <c r="I109" s="217"/>
      <c r="J109" s="507"/>
      <c r="K109" s="217">
        <f>K102</f>
        <v>1</v>
      </c>
      <c r="L109" s="508" t="s">
        <v>185</v>
      </c>
      <c r="M109" s="217">
        <f>M102</f>
        <v>56</v>
      </c>
      <c r="N109" s="508" t="s">
        <v>185</v>
      </c>
      <c r="O109" s="217">
        <v>1</v>
      </c>
      <c r="P109" s="508"/>
      <c r="Q109" s="276"/>
      <c r="R109" s="507" t="s">
        <v>114</v>
      </c>
      <c r="S109" s="298">
        <f>O109*M109*K109</f>
        <v>56</v>
      </c>
      <c r="T109" s="419"/>
      <c r="U109" s="50"/>
      <c r="V109" s="51"/>
    </row>
    <row r="110" spans="3:24" s="32" customFormat="1" hidden="1" x14ac:dyDescent="0.3">
      <c r="C110" s="33"/>
      <c r="D110" s="140" t="str">
        <f>D103</f>
        <v>Pile Cap tipe - PC2</v>
      </c>
      <c r="E110" s="172"/>
      <c r="F110" s="514"/>
      <c r="G110" s="172"/>
      <c r="H110" s="514"/>
      <c r="I110" s="172"/>
      <c r="J110" s="514"/>
      <c r="K110" s="172">
        <f>K103</f>
        <v>2</v>
      </c>
      <c r="L110" s="515" t="s">
        <v>185</v>
      </c>
      <c r="M110" s="172">
        <f>M103</f>
        <v>12</v>
      </c>
      <c r="N110" s="515" t="s">
        <v>185</v>
      </c>
      <c r="O110" s="172">
        <v>1</v>
      </c>
      <c r="P110" s="515"/>
      <c r="Q110" s="259"/>
      <c r="R110" s="514" t="s">
        <v>114</v>
      </c>
      <c r="S110" s="260">
        <f>O110*M110*K110</f>
        <v>24</v>
      </c>
      <c r="T110" s="419"/>
      <c r="U110" s="50"/>
      <c r="V110" s="51"/>
    </row>
    <row r="111" spans="3:24" s="32" customFormat="1" hidden="1" x14ac:dyDescent="0.3">
      <c r="C111" s="33"/>
      <c r="D111" s="304"/>
      <c r="E111" s="199"/>
      <c r="F111" s="530"/>
      <c r="G111" s="199"/>
      <c r="H111" s="530"/>
      <c r="I111" s="199"/>
      <c r="J111" s="530"/>
      <c r="K111" s="199"/>
      <c r="L111" s="530"/>
      <c r="M111" s="199"/>
      <c r="N111" s="530"/>
      <c r="O111" s="199"/>
      <c r="P111" s="530"/>
      <c r="Q111" s="283"/>
      <c r="R111" s="530"/>
      <c r="S111" s="305"/>
      <c r="T111" s="419"/>
      <c r="U111" s="50"/>
      <c r="V111" s="51"/>
    </row>
    <row r="112" spans="3:24" s="32" customFormat="1" ht="17.25" hidden="1" thickBot="1" x14ac:dyDescent="0.35">
      <c r="C112" s="33"/>
      <c r="D112" s="3101" t="s">
        <v>164</v>
      </c>
      <c r="E112" s="3101"/>
      <c r="F112" s="3101"/>
      <c r="G112" s="3101"/>
      <c r="H112" s="3101"/>
      <c r="I112" s="3101"/>
      <c r="J112" s="531"/>
      <c r="K112" s="179"/>
      <c r="L112" s="532"/>
      <c r="M112" s="180"/>
      <c r="N112" s="532"/>
      <c r="O112" s="183"/>
      <c r="P112" s="532"/>
      <c r="Q112" s="210"/>
      <c r="R112" s="532"/>
      <c r="S112" s="233">
        <f>SUM(S109:S111)</f>
        <v>80</v>
      </c>
      <c r="T112" s="53"/>
      <c r="U112" s="50"/>
      <c r="V112" s="51"/>
    </row>
    <row r="113" spans="2:22" s="444" customFormat="1" hidden="1" x14ac:dyDescent="0.3">
      <c r="C113" s="450"/>
      <c r="E113" s="445"/>
      <c r="F113" s="483"/>
      <c r="G113" s="445"/>
      <c r="H113" s="483"/>
      <c r="I113" s="445"/>
      <c r="J113" s="483"/>
      <c r="K113" s="445"/>
      <c r="L113" s="483"/>
      <c r="M113" s="446"/>
      <c r="N113" s="483"/>
      <c r="O113" s="445"/>
      <c r="P113" s="483"/>
      <c r="Q113" s="447"/>
      <c r="R113" s="483"/>
      <c r="S113" s="448"/>
      <c r="T113" s="456"/>
      <c r="U113" s="443"/>
      <c r="V113" s="674"/>
    </row>
    <row r="114" spans="2:22" s="32" customFormat="1" hidden="1" x14ac:dyDescent="0.3">
      <c r="C114" s="33" t="str">
        <f>RAB!C37</f>
        <v>-</v>
      </c>
      <c r="D114" s="32" t="str">
        <f>RAB!D37</f>
        <v>Memecah Kepala Tiang Pancang</v>
      </c>
      <c r="E114" s="176"/>
      <c r="F114" s="504"/>
      <c r="G114" s="176"/>
      <c r="H114" s="504"/>
      <c r="I114" s="176"/>
      <c r="J114" s="504"/>
      <c r="K114" s="176"/>
      <c r="L114" s="504"/>
      <c r="M114" s="177"/>
      <c r="N114" s="504"/>
      <c r="O114" s="176"/>
      <c r="P114" s="504"/>
      <c r="Q114" s="205"/>
      <c r="R114" s="504"/>
      <c r="S114" s="229"/>
      <c r="T114" s="54">
        <f>ROUNDDOWN(S119,2)</f>
        <v>80</v>
      </c>
      <c r="U114" s="50" t="s">
        <v>9</v>
      </c>
      <c r="V114" s="51"/>
    </row>
    <row r="115" spans="2:22" s="32" customFormat="1" hidden="1" x14ac:dyDescent="0.3">
      <c r="C115" s="33"/>
      <c r="D115" s="52" t="s">
        <v>95</v>
      </c>
      <c r="E115" s="155" t="s">
        <v>150</v>
      </c>
      <c r="F115" s="505"/>
      <c r="G115" s="155" t="s">
        <v>151</v>
      </c>
      <c r="H115" s="505"/>
      <c r="I115" s="155" t="s">
        <v>152</v>
      </c>
      <c r="J115" s="505"/>
      <c r="K115" s="155" t="s">
        <v>153</v>
      </c>
      <c r="L115" s="506"/>
      <c r="M115" s="164" t="s">
        <v>32</v>
      </c>
      <c r="N115" s="506"/>
      <c r="O115" s="206" t="s">
        <v>163</v>
      </c>
      <c r="P115" s="506"/>
      <c r="Q115" s="207" t="s">
        <v>151</v>
      </c>
      <c r="R115" s="506"/>
      <c r="S115" s="230" t="s">
        <v>143</v>
      </c>
      <c r="T115" s="419"/>
      <c r="U115" s="50"/>
      <c r="V115" s="51"/>
    </row>
    <row r="116" spans="2:22" s="32" customFormat="1" hidden="1" x14ac:dyDescent="0.3">
      <c r="C116" s="33"/>
      <c r="D116" s="303" t="str">
        <f>D109</f>
        <v>Pile Cap tipe - PC1</v>
      </c>
      <c r="E116" s="217"/>
      <c r="F116" s="507"/>
      <c r="G116" s="217"/>
      <c r="H116" s="507"/>
      <c r="I116" s="217"/>
      <c r="J116" s="507"/>
      <c r="K116" s="217">
        <f>K109</f>
        <v>1</v>
      </c>
      <c r="L116" s="508" t="s">
        <v>185</v>
      </c>
      <c r="M116" s="217">
        <f>M109</f>
        <v>56</v>
      </c>
      <c r="N116" s="508"/>
      <c r="O116" s="217"/>
      <c r="P116" s="508"/>
      <c r="Q116" s="276"/>
      <c r="R116" s="507" t="s">
        <v>114</v>
      </c>
      <c r="S116" s="298">
        <f>M116*K116</f>
        <v>56</v>
      </c>
      <c r="T116" s="419"/>
      <c r="U116" s="50"/>
      <c r="V116" s="51"/>
    </row>
    <row r="117" spans="2:22" s="32" customFormat="1" hidden="1" x14ac:dyDescent="0.3">
      <c r="C117" s="33"/>
      <c r="D117" s="140" t="str">
        <f>D110</f>
        <v>Pile Cap tipe - PC2</v>
      </c>
      <c r="E117" s="172"/>
      <c r="F117" s="514"/>
      <c r="G117" s="172"/>
      <c r="H117" s="514"/>
      <c r="I117" s="172"/>
      <c r="J117" s="514"/>
      <c r="K117" s="172">
        <f>K110</f>
        <v>2</v>
      </c>
      <c r="L117" s="515"/>
      <c r="M117" s="172">
        <f>M110</f>
        <v>12</v>
      </c>
      <c r="N117" s="515"/>
      <c r="O117" s="172"/>
      <c r="P117" s="515"/>
      <c r="Q117" s="259"/>
      <c r="R117" s="514" t="s">
        <v>114</v>
      </c>
      <c r="S117" s="260">
        <f>M117*K117</f>
        <v>24</v>
      </c>
      <c r="T117" s="419"/>
      <c r="U117" s="50"/>
      <c r="V117" s="51"/>
    </row>
    <row r="118" spans="2:22" s="32" customFormat="1" hidden="1" x14ac:dyDescent="0.3">
      <c r="C118" s="33"/>
      <c r="D118" s="304"/>
      <c r="E118" s="199"/>
      <c r="F118" s="530"/>
      <c r="G118" s="199"/>
      <c r="H118" s="530"/>
      <c r="I118" s="199"/>
      <c r="J118" s="530"/>
      <c r="K118" s="199"/>
      <c r="L118" s="530"/>
      <c r="M118" s="199"/>
      <c r="N118" s="530"/>
      <c r="O118" s="199"/>
      <c r="P118" s="530"/>
      <c r="Q118" s="283"/>
      <c r="R118" s="530"/>
      <c r="S118" s="305"/>
      <c r="T118" s="419"/>
      <c r="U118" s="50"/>
      <c r="V118" s="51"/>
    </row>
    <row r="119" spans="2:22" s="32" customFormat="1" ht="17.25" hidden="1" thickBot="1" x14ac:dyDescent="0.35">
      <c r="C119" s="33"/>
      <c r="D119" s="3101" t="s">
        <v>164</v>
      </c>
      <c r="E119" s="3102"/>
      <c r="F119" s="3102"/>
      <c r="G119" s="3102"/>
      <c r="H119" s="3102"/>
      <c r="I119" s="3102"/>
      <c r="J119" s="531"/>
      <c r="K119" s="179"/>
      <c r="L119" s="532"/>
      <c r="M119" s="180"/>
      <c r="N119" s="532"/>
      <c r="O119" s="183"/>
      <c r="P119" s="532"/>
      <c r="Q119" s="210"/>
      <c r="R119" s="532"/>
      <c r="S119" s="233">
        <f>SUM(S116:S118)</f>
        <v>80</v>
      </c>
      <c r="T119" s="53"/>
      <c r="U119" s="50"/>
      <c r="V119" s="51"/>
    </row>
    <row r="120" spans="2:22" s="444" customFormat="1" hidden="1" x14ac:dyDescent="0.3">
      <c r="C120" s="450"/>
      <c r="D120" s="457"/>
      <c r="E120" s="457"/>
      <c r="F120" s="457"/>
      <c r="G120" s="457"/>
      <c r="H120" s="457"/>
      <c r="I120" s="457"/>
      <c r="J120" s="486"/>
      <c r="K120" s="458"/>
      <c r="L120" s="487"/>
      <c r="M120" s="459"/>
      <c r="N120" s="487"/>
      <c r="O120" s="458"/>
      <c r="P120" s="487"/>
      <c r="Q120" s="460"/>
      <c r="R120" s="487"/>
      <c r="S120" s="461"/>
      <c r="T120" s="449"/>
      <c r="U120" s="443"/>
      <c r="V120" s="674"/>
    </row>
    <row r="121" spans="2:22" s="32" customFormat="1" hidden="1" x14ac:dyDescent="0.3">
      <c r="B121" s="32" t="e">
        <f>RAB!#REF!</f>
        <v>#REF!</v>
      </c>
      <c r="C121" s="33" t="e">
        <f>RAB!#REF!</f>
        <v>#REF!</v>
      </c>
      <c r="D121" s="121"/>
      <c r="E121" s="181"/>
      <c r="F121" s="528"/>
      <c r="G121" s="181"/>
      <c r="H121" s="528"/>
      <c r="I121" s="181"/>
      <c r="J121" s="528"/>
      <c r="K121" s="181"/>
      <c r="L121" s="529"/>
      <c r="M121" s="182"/>
      <c r="N121" s="529"/>
      <c r="O121" s="181"/>
      <c r="P121" s="529"/>
      <c r="Q121" s="211"/>
      <c r="R121" s="529"/>
      <c r="S121" s="234"/>
      <c r="T121" s="54">
        <v>0</v>
      </c>
      <c r="U121" s="50" t="s">
        <v>3</v>
      </c>
      <c r="V121" s="51"/>
    </row>
    <row r="122" spans="2:22" s="32" customFormat="1" hidden="1" x14ac:dyDescent="0.3">
      <c r="C122" s="33"/>
      <c r="D122" s="52" t="s">
        <v>95</v>
      </c>
      <c r="E122" s="155" t="s">
        <v>150</v>
      </c>
      <c r="F122" s="505"/>
      <c r="G122" s="155" t="s">
        <v>151</v>
      </c>
      <c r="H122" s="505"/>
      <c r="I122" s="155" t="s">
        <v>152</v>
      </c>
      <c r="J122" s="505"/>
      <c r="K122" s="155" t="s">
        <v>153</v>
      </c>
      <c r="L122" s="506"/>
      <c r="M122" s="164" t="s">
        <v>32</v>
      </c>
      <c r="N122" s="506"/>
      <c r="O122" s="206" t="s">
        <v>163</v>
      </c>
      <c r="P122" s="506"/>
      <c r="Q122" s="207" t="s">
        <v>151</v>
      </c>
      <c r="R122" s="506"/>
      <c r="S122" s="230" t="s">
        <v>143</v>
      </c>
      <c r="T122" s="419"/>
      <c r="U122" s="50"/>
      <c r="V122" s="51"/>
    </row>
    <row r="123" spans="2:22" s="32" customFormat="1" hidden="1" x14ac:dyDescent="0.3">
      <c r="C123" s="33"/>
      <c r="D123" s="303" t="s">
        <v>729</v>
      </c>
      <c r="E123" s="354" t="e">
        <f>#REF!+#REF!</f>
        <v>#REF!</v>
      </c>
      <c r="F123" s="508" t="s">
        <v>185</v>
      </c>
      <c r="G123" s="217">
        <v>0.45</v>
      </c>
      <c r="H123" s="508" t="s">
        <v>185</v>
      </c>
      <c r="I123" s="217">
        <v>0.55000000000000004</v>
      </c>
      <c r="J123" s="508" t="s">
        <v>185</v>
      </c>
      <c r="K123" s="217"/>
      <c r="L123" s="508"/>
      <c r="M123" s="217"/>
      <c r="N123" s="508"/>
      <c r="O123" s="217">
        <v>0.5</v>
      </c>
      <c r="P123" s="508"/>
      <c r="Q123" s="276"/>
      <c r="R123" s="507" t="s">
        <v>114</v>
      </c>
      <c r="S123" s="298" t="e">
        <f>O123*I123*G123*E123</f>
        <v>#REF!</v>
      </c>
      <c r="T123" s="419"/>
      <c r="U123" s="50"/>
      <c r="V123" s="51"/>
    </row>
    <row r="124" spans="2:22" s="32" customFormat="1" hidden="1" x14ac:dyDescent="0.3">
      <c r="C124" s="33"/>
      <c r="D124" s="304"/>
      <c r="E124" s="199"/>
      <c r="F124" s="530"/>
      <c r="G124" s="199"/>
      <c r="H124" s="530"/>
      <c r="I124" s="199"/>
      <c r="J124" s="530"/>
      <c r="K124" s="199"/>
      <c r="L124" s="530"/>
      <c r="M124" s="199"/>
      <c r="N124" s="530"/>
      <c r="O124" s="199"/>
      <c r="P124" s="530"/>
      <c r="Q124" s="283"/>
      <c r="R124" s="530"/>
      <c r="S124" s="305"/>
      <c r="T124" s="419"/>
      <c r="U124" s="50"/>
      <c r="V124" s="51"/>
    </row>
    <row r="125" spans="2:22" s="32" customFormat="1" ht="17.25" hidden="1" thickBot="1" x14ac:dyDescent="0.35">
      <c r="C125" s="33"/>
      <c r="D125" s="3101" t="s">
        <v>164</v>
      </c>
      <c r="E125" s="3102"/>
      <c r="F125" s="3102"/>
      <c r="G125" s="3102"/>
      <c r="H125" s="3102"/>
      <c r="I125" s="3102"/>
      <c r="J125" s="531"/>
      <c r="K125" s="179"/>
      <c r="L125" s="532"/>
      <c r="M125" s="180"/>
      <c r="N125" s="532"/>
      <c r="O125" s="183"/>
      <c r="P125" s="532"/>
      <c r="Q125" s="210"/>
      <c r="R125" s="532"/>
      <c r="S125" s="233" t="e">
        <f>SUM(S123:S124)</f>
        <v>#REF!</v>
      </c>
      <c r="T125" s="53"/>
      <c r="U125" s="50"/>
      <c r="V125" s="51"/>
    </row>
    <row r="126" spans="2:22" s="444" customFormat="1" hidden="1" x14ac:dyDescent="0.3">
      <c r="C126" s="450"/>
      <c r="D126" s="457"/>
      <c r="E126" s="457"/>
      <c r="F126" s="457"/>
      <c r="G126" s="457"/>
      <c r="H126" s="457"/>
      <c r="I126" s="457"/>
      <c r="J126" s="486"/>
      <c r="K126" s="458"/>
      <c r="L126" s="487"/>
      <c r="M126" s="459"/>
      <c r="N126" s="487"/>
      <c r="O126" s="458"/>
      <c r="P126" s="487"/>
      <c r="Q126" s="460"/>
      <c r="R126" s="487"/>
      <c r="S126" s="461"/>
      <c r="T126" s="449"/>
      <c r="U126" s="443"/>
      <c r="V126" s="674"/>
    </row>
    <row r="127" spans="2:22" s="32" customFormat="1" hidden="1" x14ac:dyDescent="0.3">
      <c r="B127" s="32">
        <f>RAB!B39</f>
        <v>2</v>
      </c>
      <c r="C127" s="33" t="str">
        <f>RAB!C39</f>
        <v>Pile Cap tipe - PC1</v>
      </c>
      <c r="E127" s="176"/>
      <c r="F127" s="504"/>
      <c r="G127" s="176"/>
      <c r="H127" s="504"/>
      <c r="I127" s="176"/>
      <c r="J127" s="504"/>
      <c r="K127" s="176"/>
      <c r="L127" s="504"/>
      <c r="M127" s="177"/>
      <c r="N127" s="504"/>
      <c r="O127" s="176"/>
      <c r="P127" s="504"/>
      <c r="Q127" s="205"/>
      <c r="R127" s="504"/>
      <c r="S127" s="229"/>
      <c r="T127" s="54"/>
      <c r="U127" s="50"/>
      <c r="V127" s="51"/>
    </row>
    <row r="128" spans="2:22" s="32" customFormat="1" hidden="1" x14ac:dyDescent="0.3">
      <c r="C128" s="33" t="str">
        <f>RAB!D40</f>
        <v xml:space="preserve">Beton mutu f'c=26,4 Mpa </v>
      </c>
      <c r="E128" s="176"/>
      <c r="F128" s="504"/>
      <c r="G128" s="176"/>
      <c r="H128" s="504"/>
      <c r="I128" s="176"/>
      <c r="J128" s="504"/>
      <c r="K128" s="176"/>
      <c r="L128" s="504"/>
      <c r="M128" s="177"/>
      <c r="N128" s="504"/>
      <c r="O128" s="176"/>
      <c r="P128" s="504"/>
      <c r="Q128" s="205"/>
      <c r="R128" s="504"/>
      <c r="S128" s="229"/>
      <c r="T128" s="54">
        <f>ROUNDDOWN(S134,2)</f>
        <v>26.67</v>
      </c>
      <c r="U128" s="50" t="s">
        <v>3</v>
      </c>
      <c r="V128" s="51"/>
    </row>
    <row r="129" spans="3:23" s="32" customFormat="1" hidden="1" x14ac:dyDescent="0.3">
      <c r="C129" s="33"/>
      <c r="D129" s="52" t="s">
        <v>95</v>
      </c>
      <c r="E129" s="155" t="s">
        <v>150</v>
      </c>
      <c r="F129" s="505"/>
      <c r="G129" s="155" t="s">
        <v>151</v>
      </c>
      <c r="H129" s="505"/>
      <c r="I129" s="155" t="s">
        <v>152</v>
      </c>
      <c r="J129" s="505"/>
      <c r="K129" s="155" t="s">
        <v>153</v>
      </c>
      <c r="L129" s="506"/>
      <c r="M129" s="164" t="s">
        <v>32</v>
      </c>
      <c r="N129" s="506"/>
      <c r="O129" s="206" t="s">
        <v>163</v>
      </c>
      <c r="P129" s="506"/>
      <c r="Q129" s="207" t="s">
        <v>151</v>
      </c>
      <c r="R129" s="506"/>
      <c r="S129" s="230" t="s">
        <v>143</v>
      </c>
      <c r="T129" s="419"/>
      <c r="U129" s="50"/>
      <c r="V129" s="51"/>
    </row>
    <row r="130" spans="3:23" s="32" customFormat="1" hidden="1" x14ac:dyDescent="0.3">
      <c r="C130" s="33"/>
      <c r="D130" s="297" t="s">
        <v>258</v>
      </c>
      <c r="E130" s="217">
        <v>0.9</v>
      </c>
      <c r="F130" s="508" t="s">
        <v>185</v>
      </c>
      <c r="G130" s="217">
        <v>0.9</v>
      </c>
      <c r="H130" s="508" t="s">
        <v>185</v>
      </c>
      <c r="I130" s="217">
        <v>0.6</v>
      </c>
      <c r="J130" s="507" t="s">
        <v>185</v>
      </c>
      <c r="K130" s="354">
        <f>K42</f>
        <v>56</v>
      </c>
      <c r="L130" s="542"/>
      <c r="M130" s="257"/>
      <c r="N130" s="542"/>
      <c r="O130" s="217"/>
      <c r="P130" s="542"/>
      <c r="Q130" s="276"/>
      <c r="R130" s="507" t="s">
        <v>114</v>
      </c>
      <c r="S130" s="298">
        <f>K130*I130*G130*E130</f>
        <v>27.216000000000001</v>
      </c>
      <c r="T130" s="419"/>
      <c r="U130" s="50"/>
      <c r="V130" s="51"/>
      <c r="W130" s="120">
        <f>S130+S152</f>
        <v>38.880000000000003</v>
      </c>
    </row>
    <row r="131" spans="3:23" s="32" customFormat="1" hidden="1" x14ac:dyDescent="0.3">
      <c r="C131" s="33"/>
      <c r="D131" s="299" t="s">
        <v>244</v>
      </c>
      <c r="E131" s="172"/>
      <c r="F131" s="514"/>
      <c r="G131" s="172"/>
      <c r="H131" s="514"/>
      <c r="I131" s="172"/>
      <c r="J131" s="514"/>
      <c r="K131" s="172"/>
      <c r="L131" s="543"/>
      <c r="M131" s="189"/>
      <c r="N131" s="543"/>
      <c r="O131" s="172"/>
      <c r="P131" s="543"/>
      <c r="Q131" s="259"/>
      <c r="R131" s="514"/>
      <c r="S131" s="260"/>
      <c r="T131" s="419"/>
      <c r="U131" s="50"/>
      <c r="V131" s="51"/>
    </row>
    <row r="132" spans="3:23" s="32" customFormat="1" hidden="1" x14ac:dyDescent="0.3">
      <c r="C132" s="33"/>
      <c r="D132" s="300" t="s">
        <v>254</v>
      </c>
      <c r="E132" s="172"/>
      <c r="F132" s="514"/>
      <c r="G132" s="172"/>
      <c r="H132" s="514"/>
      <c r="I132" s="172"/>
      <c r="J132" s="514"/>
      <c r="K132" s="328">
        <f>S141</f>
        <v>4231.459478400001</v>
      </c>
      <c r="L132" s="544" t="s">
        <v>253</v>
      </c>
      <c r="M132" s="189"/>
      <c r="N132" s="543"/>
      <c r="O132" s="172">
        <f>O139</f>
        <v>7850</v>
      </c>
      <c r="P132" s="543"/>
      <c r="Q132" s="259"/>
      <c r="R132" s="514" t="s">
        <v>149</v>
      </c>
      <c r="S132" s="260">
        <f>K132/O132</f>
        <v>0.53903942400000016</v>
      </c>
      <c r="T132" s="419"/>
      <c r="U132" s="50"/>
      <c r="V132" s="51"/>
    </row>
    <row r="133" spans="3:23" s="32" customFormat="1" hidden="1" x14ac:dyDescent="0.3">
      <c r="C133" s="33"/>
      <c r="D133" s="301"/>
      <c r="E133" s="199"/>
      <c r="F133" s="545"/>
      <c r="G133" s="199"/>
      <c r="H133" s="545"/>
      <c r="I133" s="199"/>
      <c r="J133" s="545"/>
      <c r="K133" s="199"/>
      <c r="L133" s="546"/>
      <c r="M133" s="219"/>
      <c r="N133" s="546"/>
      <c r="O133" s="199"/>
      <c r="P133" s="546"/>
      <c r="Q133" s="283"/>
      <c r="R133" s="545"/>
      <c r="S133" s="302"/>
      <c r="T133" s="419"/>
      <c r="U133" s="50"/>
      <c r="V133" s="51"/>
    </row>
    <row r="134" spans="3:23" s="32" customFormat="1" ht="17.25" hidden="1" thickBot="1" x14ac:dyDescent="0.35">
      <c r="C134" s="33"/>
      <c r="D134" s="3103" t="s">
        <v>164</v>
      </c>
      <c r="E134" s="3104"/>
      <c r="F134" s="3104"/>
      <c r="G134" s="3104"/>
      <c r="H134" s="3104"/>
      <c r="I134" s="3105"/>
      <c r="J134" s="547"/>
      <c r="K134" s="183"/>
      <c r="L134" s="532"/>
      <c r="M134" s="180"/>
      <c r="N134" s="532"/>
      <c r="O134" s="183"/>
      <c r="P134" s="532"/>
      <c r="Q134" s="210"/>
      <c r="R134" s="532"/>
      <c r="S134" s="235">
        <f>S130-S132</f>
        <v>26.676960576000003</v>
      </c>
      <c r="T134" s="419"/>
      <c r="U134" s="50"/>
      <c r="V134" s="51"/>
    </row>
    <row r="135" spans="3:23" s="32" customFormat="1" hidden="1" x14ac:dyDescent="0.3">
      <c r="C135" s="33"/>
      <c r="D135" s="55"/>
      <c r="E135" s="181"/>
      <c r="F135" s="529"/>
      <c r="G135" s="181"/>
      <c r="H135" s="529"/>
      <c r="I135" s="181"/>
      <c r="J135" s="529"/>
      <c r="K135" s="181"/>
      <c r="L135" s="529"/>
      <c r="M135" s="182"/>
      <c r="N135" s="529"/>
      <c r="O135" s="181"/>
      <c r="P135" s="529"/>
      <c r="Q135" s="211"/>
      <c r="R135" s="529"/>
      <c r="S135" s="236"/>
      <c r="T135" s="53"/>
      <c r="U135" s="50"/>
      <c r="V135" s="51"/>
    </row>
    <row r="136" spans="3:23" s="32" customFormat="1" hidden="1" x14ac:dyDescent="0.3">
      <c r="C136" s="33" t="str">
        <f>RAB!D41</f>
        <v>Pembesian Ulir</v>
      </c>
      <c r="E136" s="176"/>
      <c r="F136" s="504"/>
      <c r="G136" s="176"/>
      <c r="H136" s="504"/>
      <c r="I136" s="176"/>
      <c r="J136" s="504"/>
      <c r="K136" s="176"/>
      <c r="L136" s="504"/>
      <c r="M136" s="177"/>
      <c r="N136" s="504"/>
      <c r="O136" s="176"/>
      <c r="P136" s="504"/>
      <c r="Q136" s="205"/>
      <c r="R136" s="504"/>
      <c r="S136" s="229"/>
      <c r="T136" s="54">
        <f>ROUNDDOWN(S141,2)</f>
        <v>4231.45</v>
      </c>
      <c r="U136" s="50" t="s">
        <v>0</v>
      </c>
      <c r="V136" s="51"/>
    </row>
    <row r="137" spans="3:23" s="32" customFormat="1" hidden="1" x14ac:dyDescent="0.3">
      <c r="C137" s="33"/>
      <c r="D137" s="52" t="s">
        <v>95</v>
      </c>
      <c r="E137" s="155" t="s">
        <v>150</v>
      </c>
      <c r="F137" s="505"/>
      <c r="G137" s="155" t="s">
        <v>151</v>
      </c>
      <c r="H137" s="505"/>
      <c r="I137" s="155" t="s">
        <v>152</v>
      </c>
      <c r="J137" s="505"/>
      <c r="K137" s="155" t="s">
        <v>153</v>
      </c>
      <c r="L137" s="505"/>
      <c r="M137" s="166" t="s">
        <v>32</v>
      </c>
      <c r="N137" s="505"/>
      <c r="O137" s="155" t="s">
        <v>163</v>
      </c>
      <c r="P137" s="505"/>
      <c r="Q137" s="212" t="s">
        <v>151</v>
      </c>
      <c r="R137" s="506"/>
      <c r="S137" s="230" t="s">
        <v>143</v>
      </c>
      <c r="T137" s="53"/>
      <c r="U137" s="50"/>
      <c r="V137" s="51"/>
      <c r="W137" s="32">
        <f>0.9/0.19</f>
        <v>4.7368421052631575</v>
      </c>
    </row>
    <row r="138" spans="3:23" s="32" customFormat="1" hidden="1" x14ac:dyDescent="0.3">
      <c r="C138" s="33"/>
      <c r="D138" s="278" t="s">
        <v>613</v>
      </c>
      <c r="E138" s="172">
        <f>(0.8+0.5)*2+2*(6*0.019)</f>
        <v>2.8280000000000003</v>
      </c>
      <c r="F138" s="514" t="s">
        <v>185</v>
      </c>
      <c r="G138" s="172"/>
      <c r="H138" s="543"/>
      <c r="I138" s="172"/>
      <c r="J138" s="543"/>
      <c r="K138" s="172">
        <v>6</v>
      </c>
      <c r="L138" s="514" t="s">
        <v>185</v>
      </c>
      <c r="M138" s="189">
        <f>K130</f>
        <v>56</v>
      </c>
      <c r="N138" s="514" t="s">
        <v>185</v>
      </c>
      <c r="O138" s="172">
        <v>7850</v>
      </c>
      <c r="P138" s="514" t="s">
        <v>185</v>
      </c>
      <c r="Q138" s="280">
        <f>22/7*0.0095*0.0095</f>
        <v>2.8364285714285714E-4</v>
      </c>
      <c r="R138" s="514" t="s">
        <v>114</v>
      </c>
      <c r="S138" s="266">
        <f>Q138*O138*M138*K138*E138</f>
        <v>2115.7297392000005</v>
      </c>
      <c r="T138" s="53"/>
      <c r="U138" s="50"/>
      <c r="V138" s="51"/>
    </row>
    <row r="139" spans="3:23" s="32" customFormat="1" hidden="1" x14ac:dyDescent="0.3">
      <c r="C139" s="33"/>
      <c r="D139" s="278" t="s">
        <v>614</v>
      </c>
      <c r="E139" s="172">
        <f>E138</f>
        <v>2.8280000000000003</v>
      </c>
      <c r="F139" s="514" t="s">
        <v>185</v>
      </c>
      <c r="G139" s="172"/>
      <c r="H139" s="543"/>
      <c r="I139" s="172"/>
      <c r="J139" s="543"/>
      <c r="K139" s="172">
        <v>6</v>
      </c>
      <c r="L139" s="514" t="s">
        <v>185</v>
      </c>
      <c r="M139" s="189">
        <f>M138</f>
        <v>56</v>
      </c>
      <c r="N139" s="514" t="s">
        <v>185</v>
      </c>
      <c r="O139" s="172">
        <v>7850</v>
      </c>
      <c r="P139" s="514" t="s">
        <v>185</v>
      </c>
      <c r="Q139" s="280">
        <f>22/7*0.0095*0.0095</f>
        <v>2.8364285714285714E-4</v>
      </c>
      <c r="R139" s="514" t="s">
        <v>114</v>
      </c>
      <c r="S139" s="266">
        <f>Q139*O139*M139*K139*E139</f>
        <v>2115.7297392000005</v>
      </c>
      <c r="T139" s="53"/>
      <c r="U139" s="50"/>
      <c r="V139" s="51"/>
    </row>
    <row r="140" spans="3:23" s="32" customFormat="1" hidden="1" x14ac:dyDescent="0.3">
      <c r="C140" s="33"/>
      <c r="D140" s="282"/>
      <c r="E140" s="199"/>
      <c r="F140" s="546"/>
      <c r="G140" s="199"/>
      <c r="H140" s="546"/>
      <c r="I140" s="199"/>
      <c r="J140" s="546"/>
      <c r="K140" s="199"/>
      <c r="L140" s="546"/>
      <c r="M140" s="219"/>
      <c r="N140" s="546"/>
      <c r="O140" s="199"/>
      <c r="P140" s="546"/>
      <c r="Q140" s="283"/>
      <c r="R140" s="546"/>
      <c r="S140" s="272"/>
      <c r="T140" s="53"/>
      <c r="U140" s="50"/>
      <c r="V140" s="51"/>
    </row>
    <row r="141" spans="3:23" s="32" customFormat="1" ht="17.25" hidden="1" thickBot="1" x14ac:dyDescent="0.35">
      <c r="C141" s="33"/>
      <c r="D141" s="3103" t="s">
        <v>164</v>
      </c>
      <c r="E141" s="3104"/>
      <c r="F141" s="3104"/>
      <c r="G141" s="3104"/>
      <c r="H141" s="3104"/>
      <c r="I141" s="3105"/>
      <c r="J141" s="548"/>
      <c r="K141" s="183"/>
      <c r="L141" s="532"/>
      <c r="M141" s="180"/>
      <c r="N141" s="532"/>
      <c r="O141" s="183"/>
      <c r="P141" s="532"/>
      <c r="Q141" s="210"/>
      <c r="R141" s="532"/>
      <c r="S141" s="233">
        <f>SUM(S138:S140)</f>
        <v>4231.459478400001</v>
      </c>
      <c r="T141" s="53"/>
      <c r="U141" s="50"/>
      <c r="V141" s="51"/>
    </row>
    <row r="142" spans="3:23" s="32" customFormat="1" hidden="1" x14ac:dyDescent="0.3">
      <c r="C142" s="33"/>
      <c r="D142" s="56"/>
      <c r="E142" s="181"/>
      <c r="F142" s="549"/>
      <c r="G142" s="181"/>
      <c r="H142" s="549"/>
      <c r="I142" s="181"/>
      <c r="J142" s="549"/>
      <c r="K142" s="181"/>
      <c r="L142" s="529"/>
      <c r="M142" s="182"/>
      <c r="N142" s="529"/>
      <c r="O142" s="181"/>
      <c r="P142" s="529"/>
      <c r="Q142" s="211"/>
      <c r="R142" s="529"/>
      <c r="S142" s="234"/>
      <c r="T142" s="53"/>
      <c r="U142" s="50"/>
      <c r="V142" s="51"/>
    </row>
    <row r="143" spans="3:23" s="32" customFormat="1" hidden="1" x14ac:dyDescent="0.3">
      <c r="C143" s="33" t="str">
        <f>RAB!D42</f>
        <v>Bekisting Pondasi</v>
      </c>
      <c r="D143" s="56"/>
      <c r="E143" s="181"/>
      <c r="F143" s="549"/>
      <c r="G143" s="181"/>
      <c r="H143" s="549"/>
      <c r="I143" s="181"/>
      <c r="J143" s="549"/>
      <c r="K143" s="181"/>
      <c r="L143" s="529"/>
      <c r="M143" s="182"/>
      <c r="N143" s="529"/>
      <c r="O143" s="181"/>
      <c r="P143" s="529"/>
      <c r="Q143" s="211"/>
      <c r="R143" s="529"/>
      <c r="S143" s="234"/>
      <c r="T143" s="54">
        <f>ROUNDDOWN(Q147,2)</f>
        <v>120.96</v>
      </c>
      <c r="U143" s="50" t="s">
        <v>2</v>
      </c>
      <c r="V143" s="51"/>
    </row>
    <row r="144" spans="3:23" s="32" customFormat="1" hidden="1" x14ac:dyDescent="0.3">
      <c r="C144" s="33"/>
      <c r="D144" s="52" t="s">
        <v>95</v>
      </c>
      <c r="E144" s="155" t="s">
        <v>150</v>
      </c>
      <c r="F144" s="505"/>
      <c r="G144" s="155" t="s">
        <v>151</v>
      </c>
      <c r="H144" s="505"/>
      <c r="I144" s="155" t="s">
        <v>152</v>
      </c>
      <c r="J144" s="505"/>
      <c r="K144" s="155" t="s">
        <v>153</v>
      </c>
      <c r="L144" s="505"/>
      <c r="M144" s="166" t="s">
        <v>32</v>
      </c>
      <c r="N144" s="505"/>
      <c r="O144" s="155" t="s">
        <v>163</v>
      </c>
      <c r="P144" s="505"/>
      <c r="Q144" s="212" t="s">
        <v>151</v>
      </c>
      <c r="R144" s="506"/>
      <c r="S144" s="230" t="s">
        <v>143</v>
      </c>
      <c r="T144" s="53"/>
      <c r="U144" s="50"/>
      <c r="V144" s="51"/>
    </row>
    <row r="145" spans="2:22" s="32" customFormat="1" hidden="1" x14ac:dyDescent="0.3">
      <c r="C145" s="33"/>
      <c r="D145" s="275" t="s">
        <v>235</v>
      </c>
      <c r="E145" s="217">
        <f>E130*4</f>
        <v>3.6</v>
      </c>
      <c r="F145" s="507"/>
      <c r="G145" s="217"/>
      <c r="H145" s="507" t="s">
        <v>185</v>
      </c>
      <c r="I145" s="217">
        <f>I130</f>
        <v>0.6</v>
      </c>
      <c r="J145" s="507"/>
      <c r="K145" s="217"/>
      <c r="L145" s="507" t="s">
        <v>185</v>
      </c>
      <c r="M145" s="257">
        <f>M139</f>
        <v>56</v>
      </c>
      <c r="N145" s="507"/>
      <c r="O145" s="217"/>
      <c r="P145" s="507" t="s">
        <v>114</v>
      </c>
      <c r="Q145" s="276">
        <f>M145*I145*E145</f>
        <v>120.96000000000001</v>
      </c>
      <c r="R145" s="507"/>
      <c r="S145" s="271"/>
      <c r="T145" s="53"/>
      <c r="U145" s="50"/>
      <c r="V145" s="51"/>
    </row>
    <row r="146" spans="2:22" s="32" customFormat="1" hidden="1" x14ac:dyDescent="0.3">
      <c r="C146" s="33"/>
      <c r="D146" s="282"/>
      <c r="E146" s="199"/>
      <c r="F146" s="546"/>
      <c r="G146" s="199"/>
      <c r="H146" s="546"/>
      <c r="I146" s="199"/>
      <c r="J146" s="546"/>
      <c r="K146" s="199"/>
      <c r="L146" s="546"/>
      <c r="M146" s="219"/>
      <c r="N146" s="546"/>
      <c r="O146" s="199"/>
      <c r="P146" s="546"/>
      <c r="Q146" s="283"/>
      <c r="R146" s="546"/>
      <c r="S146" s="272"/>
      <c r="T146" s="53"/>
      <c r="U146" s="50"/>
      <c r="V146" s="51"/>
    </row>
    <row r="147" spans="2:22" s="32" customFormat="1" ht="17.25" hidden="1" thickBot="1" x14ac:dyDescent="0.35">
      <c r="C147" s="33"/>
      <c r="D147" s="3103" t="s">
        <v>164</v>
      </c>
      <c r="E147" s="3104"/>
      <c r="F147" s="3104"/>
      <c r="G147" s="3104"/>
      <c r="H147" s="3104"/>
      <c r="I147" s="3105"/>
      <c r="J147" s="548"/>
      <c r="K147" s="183"/>
      <c r="L147" s="532"/>
      <c r="M147" s="180"/>
      <c r="N147" s="532"/>
      <c r="O147" s="183"/>
      <c r="P147" s="532"/>
      <c r="Q147" s="210">
        <f>Q145</f>
        <v>120.96000000000001</v>
      </c>
      <c r="R147" s="532"/>
      <c r="S147" s="233"/>
      <c r="T147" s="53"/>
      <c r="U147" s="50"/>
      <c r="V147" s="51"/>
    </row>
    <row r="148" spans="2:22" s="444" customFormat="1" hidden="1" x14ac:dyDescent="0.3">
      <c r="C148" s="450"/>
      <c r="D148" s="462"/>
      <c r="E148" s="463"/>
      <c r="F148" s="488"/>
      <c r="G148" s="463"/>
      <c r="H148" s="488"/>
      <c r="I148" s="463"/>
      <c r="J148" s="488"/>
      <c r="K148" s="458"/>
      <c r="L148" s="487"/>
      <c r="M148" s="459"/>
      <c r="N148" s="487"/>
      <c r="O148" s="458"/>
      <c r="P148" s="487"/>
      <c r="Q148" s="460"/>
      <c r="R148" s="487"/>
      <c r="S148" s="461"/>
      <c r="T148" s="449"/>
      <c r="U148" s="443"/>
      <c r="V148" s="674"/>
    </row>
    <row r="149" spans="2:22" s="32" customFormat="1" hidden="1" x14ac:dyDescent="0.3">
      <c r="B149" s="32">
        <f>RAB!B43</f>
        <v>3</v>
      </c>
      <c r="C149" s="33" t="str">
        <f>RAB!C43</f>
        <v>Pile Cap tipe - PC2</v>
      </c>
      <c r="E149" s="176"/>
      <c r="F149" s="504"/>
      <c r="G149" s="176"/>
      <c r="H149" s="504"/>
      <c r="I149" s="176"/>
      <c r="J149" s="504"/>
      <c r="K149" s="176"/>
      <c r="L149" s="504"/>
      <c r="M149" s="177"/>
      <c r="N149" s="504"/>
      <c r="O149" s="176"/>
      <c r="P149" s="504"/>
      <c r="Q149" s="205"/>
      <c r="R149" s="504"/>
      <c r="S149" s="229"/>
      <c r="T149" s="54"/>
      <c r="U149" s="50"/>
      <c r="V149" s="51"/>
    </row>
    <row r="150" spans="2:22" s="32" customFormat="1" hidden="1" x14ac:dyDescent="0.3">
      <c r="C150" s="33" t="str">
        <f>RAB!D44</f>
        <v xml:space="preserve">Beton mutu f'c=26,4 Mpa </v>
      </c>
      <c r="E150" s="176"/>
      <c r="F150" s="504"/>
      <c r="G150" s="176"/>
      <c r="H150" s="504"/>
      <c r="I150" s="176"/>
      <c r="J150" s="504"/>
      <c r="K150" s="176"/>
      <c r="L150" s="504"/>
      <c r="M150" s="177"/>
      <c r="N150" s="504"/>
      <c r="O150" s="176"/>
      <c r="P150" s="504"/>
      <c r="Q150" s="205"/>
      <c r="R150" s="504"/>
      <c r="S150" s="229"/>
      <c r="T150" s="54">
        <f>ROUNDDOWN(S156,2)</f>
        <v>11.45</v>
      </c>
      <c r="U150" s="50" t="s">
        <v>3</v>
      </c>
      <c r="V150" s="51"/>
    </row>
    <row r="151" spans="2:22" s="32" customFormat="1" hidden="1" x14ac:dyDescent="0.3">
      <c r="C151" s="33"/>
      <c r="D151" s="52" t="s">
        <v>95</v>
      </c>
      <c r="E151" s="155" t="s">
        <v>150</v>
      </c>
      <c r="F151" s="505"/>
      <c r="G151" s="155" t="s">
        <v>151</v>
      </c>
      <c r="H151" s="505"/>
      <c r="I151" s="155" t="s">
        <v>152</v>
      </c>
      <c r="J151" s="505"/>
      <c r="K151" s="155" t="s">
        <v>153</v>
      </c>
      <c r="L151" s="506"/>
      <c r="M151" s="164" t="s">
        <v>32</v>
      </c>
      <c r="N151" s="506"/>
      <c r="O151" s="206" t="s">
        <v>163</v>
      </c>
      <c r="P151" s="506"/>
      <c r="Q151" s="207" t="s">
        <v>151</v>
      </c>
      <c r="R151" s="506"/>
      <c r="S151" s="230" t="s">
        <v>143</v>
      </c>
      <c r="T151" s="419"/>
      <c r="U151" s="50"/>
      <c r="V151" s="51"/>
    </row>
    <row r="152" spans="2:22" s="32" customFormat="1" hidden="1" x14ac:dyDescent="0.3">
      <c r="C152" s="33"/>
      <c r="D152" s="297" t="s">
        <v>708</v>
      </c>
      <c r="E152" s="217">
        <v>1.8</v>
      </c>
      <c r="F152" s="508" t="s">
        <v>185</v>
      </c>
      <c r="G152" s="217">
        <v>0.9</v>
      </c>
      <c r="H152" s="508" t="s">
        <v>185</v>
      </c>
      <c r="I152" s="217">
        <v>0.6</v>
      </c>
      <c r="J152" s="507" t="s">
        <v>185</v>
      </c>
      <c r="K152" s="354">
        <f>K43</f>
        <v>12</v>
      </c>
      <c r="L152" s="542"/>
      <c r="M152" s="257"/>
      <c r="N152" s="542"/>
      <c r="O152" s="217"/>
      <c r="P152" s="542"/>
      <c r="Q152" s="276"/>
      <c r="R152" s="507" t="s">
        <v>114</v>
      </c>
      <c r="S152" s="298">
        <f>K152*I152*G152*E152</f>
        <v>11.664</v>
      </c>
      <c r="T152" s="419"/>
      <c r="U152" s="50"/>
      <c r="V152" s="51"/>
    </row>
    <row r="153" spans="2:22" s="32" customFormat="1" hidden="1" x14ac:dyDescent="0.3">
      <c r="C153" s="33"/>
      <c r="D153" s="299" t="s">
        <v>244</v>
      </c>
      <c r="E153" s="172"/>
      <c r="F153" s="514"/>
      <c r="G153" s="172"/>
      <c r="H153" s="514"/>
      <c r="I153" s="172"/>
      <c r="J153" s="514"/>
      <c r="K153" s="172"/>
      <c r="L153" s="543"/>
      <c r="M153" s="189"/>
      <c r="N153" s="543"/>
      <c r="O153" s="172"/>
      <c r="P153" s="543"/>
      <c r="Q153" s="259"/>
      <c r="R153" s="514"/>
      <c r="S153" s="260"/>
      <c r="T153" s="419"/>
      <c r="U153" s="50"/>
      <c r="V153" s="51"/>
    </row>
    <row r="154" spans="2:22" s="32" customFormat="1" hidden="1" x14ac:dyDescent="0.3">
      <c r="C154" s="33"/>
      <c r="D154" s="300" t="s">
        <v>254</v>
      </c>
      <c r="E154" s="172"/>
      <c r="F154" s="514"/>
      <c r="G154" s="172"/>
      <c r="H154" s="514"/>
      <c r="I154" s="172"/>
      <c r="J154" s="514"/>
      <c r="K154" s="259">
        <f>S163</f>
        <v>1648.6788723428576</v>
      </c>
      <c r="L154" s="544" t="s">
        <v>253</v>
      </c>
      <c r="M154" s="189"/>
      <c r="N154" s="543"/>
      <c r="O154" s="172">
        <f>O160</f>
        <v>7850</v>
      </c>
      <c r="P154" s="543"/>
      <c r="Q154" s="259"/>
      <c r="R154" s="514" t="s">
        <v>149</v>
      </c>
      <c r="S154" s="260">
        <f>K154/O154</f>
        <v>0.21002278628571436</v>
      </c>
      <c r="T154" s="419"/>
      <c r="U154" s="50"/>
      <c r="V154" s="51"/>
    </row>
    <row r="155" spans="2:22" s="32" customFormat="1" hidden="1" x14ac:dyDescent="0.3">
      <c r="C155" s="33"/>
      <c r="D155" s="301"/>
      <c r="E155" s="199"/>
      <c r="F155" s="545"/>
      <c r="G155" s="199"/>
      <c r="H155" s="545"/>
      <c r="I155" s="199"/>
      <c r="J155" s="545"/>
      <c r="K155" s="199"/>
      <c r="L155" s="546"/>
      <c r="M155" s="219"/>
      <c r="N155" s="546"/>
      <c r="O155" s="199"/>
      <c r="P155" s="546"/>
      <c r="Q155" s="283"/>
      <c r="R155" s="545"/>
      <c r="S155" s="302"/>
      <c r="T155" s="419"/>
      <c r="U155" s="50"/>
      <c r="V155" s="51"/>
    </row>
    <row r="156" spans="2:22" s="32" customFormat="1" ht="17.25" hidden="1" thickBot="1" x14ac:dyDescent="0.35">
      <c r="C156" s="33"/>
      <c r="D156" s="3103" t="s">
        <v>164</v>
      </c>
      <c r="E156" s="3104"/>
      <c r="F156" s="3104"/>
      <c r="G156" s="3104"/>
      <c r="H156" s="3104"/>
      <c r="I156" s="3105"/>
      <c r="J156" s="547"/>
      <c r="K156" s="183"/>
      <c r="L156" s="532"/>
      <c r="M156" s="180"/>
      <c r="N156" s="532"/>
      <c r="O156" s="183"/>
      <c r="P156" s="532"/>
      <c r="Q156" s="210"/>
      <c r="R156" s="532"/>
      <c r="S156" s="235">
        <f>S152-S154</f>
        <v>11.453977213714285</v>
      </c>
      <c r="T156" s="419"/>
      <c r="U156" s="50"/>
      <c r="V156" s="51"/>
    </row>
    <row r="157" spans="2:22" s="32" customFormat="1" hidden="1" x14ac:dyDescent="0.3">
      <c r="C157" s="33"/>
      <c r="D157" s="55"/>
      <c r="E157" s="181"/>
      <c r="F157" s="529"/>
      <c r="G157" s="181"/>
      <c r="H157" s="529"/>
      <c r="I157" s="181"/>
      <c r="J157" s="529"/>
      <c r="K157" s="181"/>
      <c r="L157" s="529"/>
      <c r="M157" s="182"/>
      <c r="N157" s="529"/>
      <c r="O157" s="181"/>
      <c r="P157" s="529"/>
      <c r="Q157" s="211"/>
      <c r="R157" s="529"/>
      <c r="S157" s="236"/>
      <c r="T157" s="53"/>
      <c r="U157" s="50"/>
      <c r="V157" s="51"/>
    </row>
    <row r="158" spans="2:22" s="32" customFormat="1" hidden="1" x14ac:dyDescent="0.3">
      <c r="C158" s="33" t="str">
        <f>RAB!D45</f>
        <v>Pembesian Ulir</v>
      </c>
      <c r="E158" s="176"/>
      <c r="F158" s="504"/>
      <c r="G158" s="176"/>
      <c r="H158" s="504"/>
      <c r="I158" s="176"/>
      <c r="J158" s="504"/>
      <c r="K158" s="176"/>
      <c r="L158" s="504"/>
      <c r="M158" s="177"/>
      <c r="N158" s="504"/>
      <c r="O158" s="176"/>
      <c r="P158" s="504"/>
      <c r="Q158" s="205"/>
      <c r="R158" s="504"/>
      <c r="S158" s="229"/>
      <c r="T158" s="54">
        <f>ROUNDDOWN(S163,2)</f>
        <v>1648.67</v>
      </c>
      <c r="U158" s="50" t="s">
        <v>0</v>
      </c>
      <c r="V158" s="51"/>
    </row>
    <row r="159" spans="2:22" s="32" customFormat="1" hidden="1" x14ac:dyDescent="0.3">
      <c r="C159" s="33"/>
      <c r="D159" s="52" t="s">
        <v>95</v>
      </c>
      <c r="E159" s="155" t="s">
        <v>150</v>
      </c>
      <c r="F159" s="505"/>
      <c r="G159" s="155" t="s">
        <v>151</v>
      </c>
      <c r="H159" s="505"/>
      <c r="I159" s="155" t="s">
        <v>152</v>
      </c>
      <c r="J159" s="505"/>
      <c r="K159" s="155" t="s">
        <v>153</v>
      </c>
      <c r="L159" s="505"/>
      <c r="M159" s="166" t="s">
        <v>32</v>
      </c>
      <c r="N159" s="505"/>
      <c r="O159" s="155" t="s">
        <v>163</v>
      </c>
      <c r="P159" s="505"/>
      <c r="Q159" s="212" t="s">
        <v>151</v>
      </c>
      <c r="R159" s="506"/>
      <c r="S159" s="230" t="s">
        <v>143</v>
      </c>
      <c r="T159" s="53"/>
      <c r="U159" s="50"/>
      <c r="V159" s="51"/>
    </row>
    <row r="160" spans="2:22" s="32" customFormat="1" hidden="1" x14ac:dyDescent="0.3">
      <c r="C160" s="33"/>
      <c r="D160" s="278" t="s">
        <v>613</v>
      </c>
      <c r="E160" s="172">
        <f>(1.7+0.5)*2+2*(6*0.019)</f>
        <v>4.6280000000000001</v>
      </c>
      <c r="F160" s="514" t="s">
        <v>185</v>
      </c>
      <c r="G160" s="172"/>
      <c r="H160" s="543"/>
      <c r="I160" s="172"/>
      <c r="J160" s="543"/>
      <c r="K160" s="172">
        <v>6</v>
      </c>
      <c r="L160" s="514" t="s">
        <v>185</v>
      </c>
      <c r="M160" s="189">
        <f>K152</f>
        <v>12</v>
      </c>
      <c r="N160" s="514" t="s">
        <v>185</v>
      </c>
      <c r="O160" s="172">
        <v>7850</v>
      </c>
      <c r="P160" s="514" t="s">
        <v>185</v>
      </c>
      <c r="Q160" s="280">
        <f>22/7*0.0095*0.0095</f>
        <v>2.8364285714285714E-4</v>
      </c>
      <c r="R160" s="514" t="s">
        <v>114</v>
      </c>
      <c r="S160" s="266">
        <f>Q160*O160*M160*K160*E160</f>
        <v>741.93755554285724</v>
      </c>
      <c r="T160" s="53"/>
      <c r="U160" s="50"/>
      <c r="V160" s="51">
        <f>0.8/0.23</f>
        <v>3.4782608695652173</v>
      </c>
    </row>
    <row r="161" spans="2:23" s="32" customFormat="1" hidden="1" x14ac:dyDescent="0.3">
      <c r="C161" s="33"/>
      <c r="D161" s="278" t="s">
        <v>614</v>
      </c>
      <c r="E161" s="172">
        <f>(0.8+0.5)*2+2*(6*0.019)</f>
        <v>2.8280000000000003</v>
      </c>
      <c r="F161" s="514" t="s">
        <v>185</v>
      </c>
      <c r="G161" s="172"/>
      <c r="H161" s="543"/>
      <c r="I161" s="172"/>
      <c r="J161" s="543"/>
      <c r="K161" s="172">
        <v>12</v>
      </c>
      <c r="L161" s="514" t="s">
        <v>185</v>
      </c>
      <c r="M161" s="189">
        <f>M160</f>
        <v>12</v>
      </c>
      <c r="N161" s="514" t="s">
        <v>185</v>
      </c>
      <c r="O161" s="172">
        <v>7850</v>
      </c>
      <c r="P161" s="514" t="s">
        <v>185</v>
      </c>
      <c r="Q161" s="280">
        <f>22/7*0.0095*0.0095</f>
        <v>2.8364285714285714E-4</v>
      </c>
      <c r="R161" s="514" t="s">
        <v>114</v>
      </c>
      <c r="S161" s="266">
        <f>Q161*O161*M161*K161*E161</f>
        <v>906.74131680000028</v>
      </c>
      <c r="T161" s="53"/>
      <c r="U161" s="50"/>
      <c r="V161" s="51">
        <f>1.7/0.23</f>
        <v>7.391304347826086</v>
      </c>
      <c r="W161" s="32">
        <f>1.7/0.15+1</f>
        <v>12.333333333333334</v>
      </c>
    </row>
    <row r="162" spans="2:23" s="32" customFormat="1" hidden="1" x14ac:dyDescent="0.3">
      <c r="C162" s="33"/>
      <c r="D162" s="282"/>
      <c r="E162" s="199"/>
      <c r="F162" s="546"/>
      <c r="G162" s="199"/>
      <c r="H162" s="546"/>
      <c r="I162" s="199"/>
      <c r="J162" s="546"/>
      <c r="K162" s="199"/>
      <c r="L162" s="546"/>
      <c r="M162" s="219"/>
      <c r="N162" s="546"/>
      <c r="O162" s="199"/>
      <c r="P162" s="546"/>
      <c r="Q162" s="283"/>
      <c r="R162" s="546"/>
      <c r="S162" s="272"/>
      <c r="T162" s="53"/>
      <c r="U162" s="50"/>
      <c r="V162" s="51"/>
    </row>
    <row r="163" spans="2:23" s="32" customFormat="1" ht="17.25" hidden="1" thickBot="1" x14ac:dyDescent="0.35">
      <c r="C163" s="33"/>
      <c r="D163" s="3103" t="s">
        <v>164</v>
      </c>
      <c r="E163" s="3104"/>
      <c r="F163" s="3104"/>
      <c r="G163" s="3104"/>
      <c r="H163" s="3104"/>
      <c r="I163" s="3105"/>
      <c r="J163" s="548"/>
      <c r="K163" s="183"/>
      <c r="L163" s="532"/>
      <c r="M163" s="180"/>
      <c r="N163" s="532"/>
      <c r="O163" s="183"/>
      <c r="P163" s="532"/>
      <c r="Q163" s="210"/>
      <c r="R163" s="532"/>
      <c r="S163" s="233">
        <f>SUM(S160:S161)</f>
        <v>1648.6788723428576</v>
      </c>
      <c r="T163" s="53"/>
      <c r="U163" s="50"/>
      <c r="V163" s="51"/>
    </row>
    <row r="164" spans="2:23" s="32" customFormat="1" hidden="1" x14ac:dyDescent="0.3">
      <c r="C164" s="33"/>
      <c r="D164" s="56"/>
      <c r="E164" s="181"/>
      <c r="F164" s="549"/>
      <c r="G164" s="181"/>
      <c r="H164" s="549"/>
      <c r="I164" s="181"/>
      <c r="J164" s="549"/>
      <c r="K164" s="181"/>
      <c r="L164" s="529"/>
      <c r="M164" s="182"/>
      <c r="N164" s="529"/>
      <c r="O164" s="181"/>
      <c r="P164" s="529"/>
      <c r="Q164" s="211"/>
      <c r="R164" s="529"/>
      <c r="S164" s="234"/>
      <c r="T164" s="53"/>
      <c r="U164" s="50"/>
      <c r="V164" s="51"/>
    </row>
    <row r="165" spans="2:23" s="32" customFormat="1" hidden="1" x14ac:dyDescent="0.3">
      <c r="C165" s="33" t="str">
        <f>RAB!D46</f>
        <v>Bekisting Pondasi</v>
      </c>
      <c r="D165" s="56"/>
      <c r="E165" s="181"/>
      <c r="F165" s="549"/>
      <c r="G165" s="181"/>
      <c r="H165" s="549"/>
      <c r="I165" s="181"/>
      <c r="J165" s="549"/>
      <c r="K165" s="181"/>
      <c r="L165" s="529"/>
      <c r="M165" s="182"/>
      <c r="N165" s="529"/>
      <c r="O165" s="181"/>
      <c r="P165" s="529"/>
      <c r="Q165" s="211"/>
      <c r="R165" s="529"/>
      <c r="S165" s="234"/>
      <c r="T165" s="54">
        <f>ROUNDDOWN(Q169,2)</f>
        <v>38.880000000000003</v>
      </c>
      <c r="U165" s="50" t="s">
        <v>2</v>
      </c>
      <c r="V165" s="51"/>
    </row>
    <row r="166" spans="2:23" s="32" customFormat="1" hidden="1" x14ac:dyDescent="0.3">
      <c r="C166" s="33"/>
      <c r="D166" s="52" t="s">
        <v>95</v>
      </c>
      <c r="E166" s="155" t="s">
        <v>150</v>
      </c>
      <c r="F166" s="505"/>
      <c r="G166" s="155" t="s">
        <v>151</v>
      </c>
      <c r="H166" s="505"/>
      <c r="I166" s="155" t="s">
        <v>152</v>
      </c>
      <c r="J166" s="505"/>
      <c r="K166" s="155" t="s">
        <v>153</v>
      </c>
      <c r="L166" s="505"/>
      <c r="M166" s="166" t="s">
        <v>32</v>
      </c>
      <c r="N166" s="505"/>
      <c r="O166" s="155" t="s">
        <v>163</v>
      </c>
      <c r="P166" s="505"/>
      <c r="Q166" s="212" t="s">
        <v>151</v>
      </c>
      <c r="R166" s="506"/>
      <c r="S166" s="230" t="s">
        <v>143</v>
      </c>
      <c r="T166" s="53"/>
      <c r="U166" s="50"/>
      <c r="V166" s="51"/>
    </row>
    <row r="167" spans="2:23" s="32" customFormat="1" hidden="1" x14ac:dyDescent="0.3">
      <c r="C167" s="33"/>
      <c r="D167" s="275" t="s">
        <v>235</v>
      </c>
      <c r="E167" s="217">
        <f>2*(E152+G152)</f>
        <v>5.4</v>
      </c>
      <c r="F167" s="507" t="s">
        <v>185</v>
      </c>
      <c r="G167" s="217"/>
      <c r="H167" s="507"/>
      <c r="I167" s="217">
        <f>I152</f>
        <v>0.6</v>
      </c>
      <c r="J167" s="507" t="s">
        <v>185</v>
      </c>
      <c r="K167" s="217"/>
      <c r="L167" s="507"/>
      <c r="M167" s="257">
        <f>K152</f>
        <v>12</v>
      </c>
      <c r="N167" s="507"/>
      <c r="O167" s="217"/>
      <c r="P167" s="507" t="s">
        <v>114</v>
      </c>
      <c r="Q167" s="276">
        <f>M167*I167*E167</f>
        <v>38.879999999999995</v>
      </c>
      <c r="R167" s="507"/>
      <c r="S167" s="271"/>
      <c r="T167" s="53"/>
      <c r="U167" s="50"/>
      <c r="V167" s="51"/>
    </row>
    <row r="168" spans="2:23" s="32" customFormat="1" hidden="1" x14ac:dyDescent="0.3">
      <c r="C168" s="33"/>
      <c r="D168" s="282"/>
      <c r="E168" s="199"/>
      <c r="F168" s="546"/>
      <c r="G168" s="199"/>
      <c r="H168" s="546"/>
      <c r="I168" s="199"/>
      <c r="J168" s="546"/>
      <c r="K168" s="199"/>
      <c r="L168" s="546"/>
      <c r="M168" s="219"/>
      <c r="N168" s="546"/>
      <c r="O168" s="199"/>
      <c r="P168" s="546"/>
      <c r="Q168" s="283"/>
      <c r="R168" s="546"/>
      <c r="S168" s="272"/>
      <c r="T168" s="53"/>
      <c r="U168" s="50"/>
      <c r="V168" s="51"/>
    </row>
    <row r="169" spans="2:23" s="32" customFormat="1" ht="17.25" hidden="1" thickBot="1" x14ac:dyDescent="0.35">
      <c r="C169" s="33"/>
      <c r="D169" s="3103" t="s">
        <v>164</v>
      </c>
      <c r="E169" s="3104"/>
      <c r="F169" s="3104"/>
      <c r="G169" s="3104"/>
      <c r="H169" s="3104"/>
      <c r="I169" s="3105"/>
      <c r="J169" s="548"/>
      <c r="K169" s="183"/>
      <c r="L169" s="532"/>
      <c r="M169" s="180"/>
      <c r="N169" s="532"/>
      <c r="O169" s="183"/>
      <c r="P169" s="532"/>
      <c r="Q169" s="210">
        <f>Q167</f>
        <v>38.879999999999995</v>
      </c>
      <c r="R169" s="532"/>
      <c r="S169" s="233"/>
      <c r="T169" s="53"/>
      <c r="U169" s="50"/>
      <c r="V169" s="51"/>
    </row>
    <row r="170" spans="2:23" hidden="1" x14ac:dyDescent="0.3">
      <c r="B170" s="464"/>
      <c r="C170" s="465"/>
      <c r="D170" s="453"/>
      <c r="E170" s="455"/>
      <c r="F170" s="485"/>
      <c r="G170" s="455"/>
      <c r="H170" s="485"/>
      <c r="I170" s="455"/>
      <c r="J170" s="485"/>
      <c r="K170" s="438"/>
      <c r="L170" s="482"/>
      <c r="M170" s="439"/>
      <c r="N170" s="482"/>
      <c r="O170" s="438"/>
      <c r="P170" s="482"/>
      <c r="Q170" s="440"/>
      <c r="R170" s="482"/>
      <c r="S170" s="454"/>
    </row>
    <row r="171" spans="2:23" s="1" customFormat="1" hidden="1" x14ac:dyDescent="0.3">
      <c r="B171" s="1149">
        <f>RAB!B47</f>
        <v>4</v>
      </c>
      <c r="C171" s="17" t="str">
        <f>RAB!C47</f>
        <v>Sloof 20x40 Cm (S1)</v>
      </c>
      <c r="D171" s="38"/>
      <c r="E171" s="208"/>
      <c r="F171" s="551"/>
      <c r="G171" s="208"/>
      <c r="H171" s="551"/>
      <c r="I171" s="208"/>
      <c r="J171" s="551"/>
      <c r="K171" s="156"/>
      <c r="L171" s="501"/>
      <c r="M171" s="165"/>
      <c r="N171" s="501"/>
      <c r="O171" s="156"/>
      <c r="P171" s="501"/>
      <c r="Q171" s="204"/>
      <c r="R171" s="501"/>
      <c r="S171" s="232"/>
      <c r="T171" s="66"/>
      <c r="U171" s="2"/>
      <c r="V171" s="43"/>
    </row>
    <row r="172" spans="2:23" s="1" customFormat="1" hidden="1" x14ac:dyDescent="0.3">
      <c r="B172" s="36"/>
      <c r="C172" s="17" t="str">
        <f>RAB!D48</f>
        <v xml:space="preserve">Beton mutu f'c=26,4 Mpa </v>
      </c>
      <c r="D172" s="38"/>
      <c r="E172" s="208"/>
      <c r="F172" s="551"/>
      <c r="G172" s="208"/>
      <c r="H172" s="551"/>
      <c r="I172" s="208"/>
      <c r="J172" s="551"/>
      <c r="K172" s="156"/>
      <c r="L172" s="501"/>
      <c r="M172" s="165"/>
      <c r="N172" s="501"/>
      <c r="O172" s="156"/>
      <c r="P172" s="501"/>
      <c r="Q172" s="204"/>
      <c r="R172" s="501"/>
      <c r="S172" s="232"/>
      <c r="T172" s="18">
        <f>ROUNDDOWN(S180,2)</f>
        <v>25.57</v>
      </c>
      <c r="U172" s="2" t="s">
        <v>3</v>
      </c>
      <c r="V172" s="43"/>
    </row>
    <row r="173" spans="2:23" s="1" customFormat="1" hidden="1" x14ac:dyDescent="0.3">
      <c r="B173" s="36"/>
      <c r="C173" s="17"/>
      <c r="D173" s="8" t="s">
        <v>95</v>
      </c>
      <c r="E173" s="154" t="s">
        <v>150</v>
      </c>
      <c r="F173" s="493"/>
      <c r="G173" s="154" t="s">
        <v>151</v>
      </c>
      <c r="H173" s="493"/>
      <c r="I173" s="154" t="s">
        <v>152</v>
      </c>
      <c r="J173" s="493"/>
      <c r="K173" s="154" t="s">
        <v>153</v>
      </c>
      <c r="L173" s="494"/>
      <c r="M173" s="163" t="s">
        <v>32</v>
      </c>
      <c r="N173" s="494"/>
      <c r="O173" s="201" t="s">
        <v>163</v>
      </c>
      <c r="P173" s="494"/>
      <c r="Q173" s="202" t="s">
        <v>151</v>
      </c>
      <c r="R173" s="494"/>
      <c r="S173" s="226" t="s">
        <v>143</v>
      </c>
      <c r="T173" s="66"/>
      <c r="U173" s="2"/>
      <c r="V173" s="43"/>
    </row>
    <row r="174" spans="2:23" s="1" customFormat="1" hidden="1" x14ac:dyDescent="0.3">
      <c r="B174" s="36"/>
      <c r="C174" s="17"/>
      <c r="D174" s="296" t="s">
        <v>259</v>
      </c>
      <c r="E174" s="331">
        <f>36-(0.4*9)</f>
        <v>32.4</v>
      </c>
      <c r="F174" s="565" t="s">
        <v>185</v>
      </c>
      <c r="G174" s="331">
        <v>0.2</v>
      </c>
      <c r="H174" s="565" t="s">
        <v>185</v>
      </c>
      <c r="I174" s="331">
        <v>0.4</v>
      </c>
      <c r="J174" s="565"/>
      <c r="K174" s="331">
        <v>4</v>
      </c>
      <c r="L174" s="1150"/>
      <c r="M174" s="331"/>
      <c r="N174" s="1150"/>
      <c r="O174" s="1151"/>
      <c r="P174" s="1150"/>
      <c r="Q174" s="1151"/>
      <c r="R174" s="565" t="s">
        <v>114</v>
      </c>
      <c r="S174" s="577">
        <f>E174*G174*I174*K174</f>
        <v>10.368000000000002</v>
      </c>
      <c r="T174" s="420"/>
      <c r="U174" s="2"/>
      <c r="V174" s="43"/>
    </row>
    <row r="175" spans="2:23" s="1" customFormat="1" hidden="1" x14ac:dyDescent="0.3">
      <c r="C175" s="3"/>
      <c r="D175" s="294" t="s">
        <v>260</v>
      </c>
      <c r="E175" s="1161">
        <f>20-(0.4*5)</f>
        <v>18</v>
      </c>
      <c r="F175" s="518" t="s">
        <v>185</v>
      </c>
      <c r="G175" s="1161">
        <v>0.2</v>
      </c>
      <c r="H175" s="518" t="s">
        <v>185</v>
      </c>
      <c r="I175" s="1161">
        <v>0.4</v>
      </c>
      <c r="J175" s="518"/>
      <c r="K175" s="1161">
        <v>10</v>
      </c>
      <c r="L175" s="1152"/>
      <c r="M175" s="1161"/>
      <c r="N175" s="1152"/>
      <c r="O175" s="1153"/>
      <c r="P175" s="1152"/>
      <c r="Q175" s="1153"/>
      <c r="R175" s="518" t="s">
        <v>114</v>
      </c>
      <c r="S175" s="519">
        <f>E175*G175*I175*K175</f>
        <v>14.400000000000002</v>
      </c>
      <c r="T175" s="99"/>
      <c r="U175" s="2"/>
      <c r="V175" s="43"/>
    </row>
    <row r="176" spans="2:23" s="1" customFormat="1" hidden="1" x14ac:dyDescent="0.3">
      <c r="B176" s="36"/>
      <c r="C176" s="17"/>
      <c r="D176" s="261" t="s">
        <v>244</v>
      </c>
      <c r="E176" s="1161"/>
      <c r="F176" s="518"/>
      <c r="G176" s="1161"/>
      <c r="H176" s="518"/>
      <c r="I176" s="1161"/>
      <c r="J176" s="518"/>
      <c r="K176" s="1161"/>
      <c r="L176" s="517"/>
      <c r="M176" s="1161"/>
      <c r="N176" s="517"/>
      <c r="O176" s="1161"/>
      <c r="P176" s="518"/>
      <c r="Q176" s="1161"/>
      <c r="R176" s="518"/>
      <c r="S176" s="553"/>
      <c r="T176" s="66"/>
      <c r="U176" s="2"/>
      <c r="V176" s="43"/>
    </row>
    <row r="177" spans="2:25" s="1" customFormat="1" hidden="1" x14ac:dyDescent="0.3">
      <c r="B177" s="36"/>
      <c r="C177" s="17"/>
      <c r="D177" s="140" t="s">
        <v>733</v>
      </c>
      <c r="E177" s="328"/>
      <c r="F177" s="509"/>
      <c r="G177" s="328"/>
      <c r="H177" s="509"/>
      <c r="I177" s="328"/>
      <c r="J177" s="509"/>
      <c r="K177" s="328">
        <f>S191</f>
        <v>4045.7037531428568</v>
      </c>
      <c r="L177" s="509" t="s">
        <v>253</v>
      </c>
      <c r="M177" s="328"/>
      <c r="N177" s="510"/>
      <c r="O177" s="328">
        <f>O185</f>
        <v>7850</v>
      </c>
      <c r="P177" s="510"/>
      <c r="Q177" s="328"/>
      <c r="R177" s="518" t="s">
        <v>114</v>
      </c>
      <c r="S177" s="511">
        <f>K177/O177</f>
        <v>0.5153762742857142</v>
      </c>
      <c r="T177" s="66"/>
      <c r="U177" s="2"/>
      <c r="V177" s="43"/>
    </row>
    <row r="178" spans="2:25" s="1" customFormat="1" ht="15.75" hidden="1" customHeight="1" x14ac:dyDescent="0.3">
      <c r="B178" s="36"/>
      <c r="C178" s="17"/>
      <c r="D178" s="140" t="s">
        <v>734</v>
      </c>
      <c r="E178" s="328"/>
      <c r="F178" s="509"/>
      <c r="G178" s="328"/>
      <c r="H178" s="509"/>
      <c r="I178" s="328"/>
      <c r="J178" s="509"/>
      <c r="K178" s="328">
        <f>S198</f>
        <v>2300.8080857142859</v>
      </c>
      <c r="L178" s="509" t="s">
        <v>253</v>
      </c>
      <c r="M178" s="328"/>
      <c r="N178" s="510"/>
      <c r="O178" s="328">
        <f>O177</f>
        <v>7850</v>
      </c>
      <c r="P178" s="510"/>
      <c r="Q178" s="328"/>
      <c r="R178" s="518" t="s">
        <v>114</v>
      </c>
      <c r="S178" s="511">
        <f>K178/O178</f>
        <v>0.29309657142857143</v>
      </c>
      <c r="T178" s="66"/>
      <c r="U178" s="2"/>
      <c r="V178" s="43"/>
    </row>
    <row r="179" spans="2:25" s="1" customFormat="1" hidden="1" x14ac:dyDescent="0.3">
      <c r="B179" s="36"/>
      <c r="C179" s="17"/>
      <c r="D179" s="150"/>
      <c r="E179" s="330"/>
      <c r="F179" s="512"/>
      <c r="G179" s="330"/>
      <c r="H179" s="512"/>
      <c r="I179" s="330"/>
      <c r="J179" s="512"/>
      <c r="K179" s="330"/>
      <c r="L179" s="512"/>
      <c r="M179" s="330"/>
      <c r="N179" s="512"/>
      <c r="O179" s="330"/>
      <c r="P179" s="512"/>
      <c r="Q179" s="330"/>
      <c r="R179" s="512"/>
      <c r="S179" s="559"/>
      <c r="T179" s="66"/>
      <c r="U179" s="2"/>
      <c r="V179" s="43"/>
    </row>
    <row r="180" spans="2:25" s="1" customFormat="1" ht="17.25" hidden="1" thickBot="1" x14ac:dyDescent="0.35">
      <c r="B180" s="36"/>
      <c r="C180" s="17"/>
      <c r="D180" s="3093" t="s">
        <v>164</v>
      </c>
      <c r="E180" s="3094"/>
      <c r="F180" s="3094"/>
      <c r="G180" s="3094"/>
      <c r="H180" s="3094"/>
      <c r="I180" s="3095"/>
      <c r="J180" s="524"/>
      <c r="K180" s="178"/>
      <c r="L180" s="500"/>
      <c r="M180" s="175"/>
      <c r="N180" s="500"/>
      <c r="O180" s="178"/>
      <c r="P180" s="500"/>
      <c r="Q180" s="203"/>
      <c r="R180" s="500"/>
      <c r="S180" s="231">
        <f>SUM(S174:S179)</f>
        <v>25.576472845714289</v>
      </c>
      <c r="T180" s="66"/>
      <c r="U180" s="2"/>
      <c r="V180" s="43"/>
    </row>
    <row r="181" spans="2:25" s="1" customFormat="1" hidden="1" x14ac:dyDescent="0.3">
      <c r="B181" s="36"/>
      <c r="C181" s="17"/>
      <c r="D181" s="38"/>
      <c r="E181" s="208"/>
      <c r="F181" s="551"/>
      <c r="G181" s="208"/>
      <c r="H181" s="551"/>
      <c r="I181" s="208"/>
      <c r="J181" s="551"/>
      <c r="K181" s="156"/>
      <c r="L181" s="501"/>
      <c r="M181" s="165"/>
      <c r="N181" s="501"/>
      <c r="O181" s="156"/>
      <c r="P181" s="501"/>
      <c r="Q181" s="204"/>
      <c r="R181" s="501"/>
      <c r="S181" s="232"/>
      <c r="T181" s="66"/>
      <c r="U181" s="2"/>
      <c r="V181" s="1156"/>
      <c r="W181" s="122"/>
      <c r="X181" s="122"/>
      <c r="Y181" s="122"/>
    </row>
    <row r="182" spans="2:25" s="1" customFormat="1" hidden="1" x14ac:dyDescent="0.3">
      <c r="B182" s="36"/>
      <c r="C182" s="17" t="str">
        <f>RAB!D49</f>
        <v>Pembesian Ulir</v>
      </c>
      <c r="D182" s="38"/>
      <c r="E182" s="208"/>
      <c r="F182" s="551"/>
      <c r="G182" s="208"/>
      <c r="H182" s="551"/>
      <c r="I182" s="208"/>
      <c r="J182" s="551"/>
      <c r="K182" s="156"/>
      <c r="L182" s="501"/>
      <c r="M182" s="165"/>
      <c r="N182" s="501"/>
      <c r="O182" s="156"/>
      <c r="P182" s="501"/>
      <c r="Q182" s="204"/>
      <c r="R182" s="501"/>
      <c r="S182" s="232"/>
      <c r="T182" s="18">
        <f>ROUNDDOWN(S191,2)</f>
        <v>4045.7</v>
      </c>
      <c r="U182" s="2" t="s">
        <v>0</v>
      </c>
      <c r="V182" s="1156"/>
      <c r="W182" s="129"/>
      <c r="X182" s="122"/>
      <c r="Y182" s="122"/>
    </row>
    <row r="183" spans="2:25" s="1" customFormat="1" hidden="1" x14ac:dyDescent="0.3">
      <c r="B183" s="36"/>
      <c r="C183" s="17"/>
      <c r="D183" s="8" t="s">
        <v>95</v>
      </c>
      <c r="E183" s="154" t="s">
        <v>150</v>
      </c>
      <c r="F183" s="493"/>
      <c r="G183" s="154" t="s">
        <v>151</v>
      </c>
      <c r="H183" s="493"/>
      <c r="I183" s="154" t="s">
        <v>152</v>
      </c>
      <c r="J183" s="493"/>
      <c r="K183" s="154" t="s">
        <v>153</v>
      </c>
      <c r="L183" s="494"/>
      <c r="M183" s="163" t="s">
        <v>32</v>
      </c>
      <c r="N183" s="494"/>
      <c r="O183" s="201" t="s">
        <v>163</v>
      </c>
      <c r="P183" s="494"/>
      <c r="Q183" s="202" t="s">
        <v>151</v>
      </c>
      <c r="R183" s="494"/>
      <c r="S183" s="226" t="s">
        <v>143</v>
      </c>
      <c r="T183" s="66"/>
      <c r="U183" s="2"/>
      <c r="V183" s="1156"/>
      <c r="W183" s="122"/>
      <c r="X183" s="122"/>
      <c r="Y183" s="122"/>
    </row>
    <row r="184" spans="2:25" s="1" customFormat="1" hidden="1" x14ac:dyDescent="0.3">
      <c r="B184" s="36"/>
      <c r="C184" s="17"/>
      <c r="D184" s="277" t="s">
        <v>156</v>
      </c>
      <c r="E184" s="328">
        <v>36</v>
      </c>
      <c r="F184" s="509" t="s">
        <v>185</v>
      </c>
      <c r="G184" s="328"/>
      <c r="H184" s="510"/>
      <c r="I184" s="328"/>
      <c r="J184" s="510"/>
      <c r="K184" s="328">
        <v>6</v>
      </c>
      <c r="L184" s="509" t="s">
        <v>185</v>
      </c>
      <c r="M184" s="328">
        <v>4</v>
      </c>
      <c r="N184" s="509" t="s">
        <v>185</v>
      </c>
      <c r="O184" s="328">
        <v>7850</v>
      </c>
      <c r="P184" s="509" t="s">
        <v>185</v>
      </c>
      <c r="Q184" s="607">
        <f>22/7*0.008*0.008</f>
        <v>2.0114285714285715E-4</v>
      </c>
      <c r="R184" s="509" t="s">
        <v>114</v>
      </c>
      <c r="S184" s="596">
        <f t="shared" ref="S184:S189" si="2">E184*K184*M184*O184*Q184</f>
        <v>1364.2313142857142</v>
      </c>
      <c r="T184" s="66"/>
      <c r="U184" s="2"/>
      <c r="V184" s="1156"/>
      <c r="W184" s="122"/>
      <c r="X184" s="122"/>
      <c r="Y184" s="122"/>
    </row>
    <row r="185" spans="2:25" s="32" customFormat="1" hidden="1" x14ac:dyDescent="0.3">
      <c r="B185" s="113"/>
      <c r="C185" s="114"/>
      <c r="D185" s="278" t="s">
        <v>1320</v>
      </c>
      <c r="E185" s="328">
        <f>V185/2+(40*0.016*18)</f>
        <v>13.52</v>
      </c>
      <c r="F185" s="509" t="s">
        <v>185</v>
      </c>
      <c r="G185" s="328"/>
      <c r="H185" s="510"/>
      <c r="I185" s="328"/>
      <c r="J185" s="510"/>
      <c r="K185" s="328">
        <v>3</v>
      </c>
      <c r="L185" s="509" t="s">
        <v>185</v>
      </c>
      <c r="M185" s="328">
        <f>M184</f>
        <v>4</v>
      </c>
      <c r="N185" s="509" t="s">
        <v>185</v>
      </c>
      <c r="O185" s="328">
        <v>7850</v>
      </c>
      <c r="P185" s="509" t="s">
        <v>185</v>
      </c>
      <c r="Q185" s="607">
        <f>Q184</f>
        <v>2.0114285714285715E-4</v>
      </c>
      <c r="R185" s="509" t="s">
        <v>114</v>
      </c>
      <c r="S185" s="596">
        <f t="shared" si="2"/>
        <v>256.17232457142859</v>
      </c>
      <c r="T185" s="53"/>
      <c r="U185" s="50"/>
      <c r="V185" s="51">
        <v>4</v>
      </c>
    </row>
    <row r="186" spans="2:25" s="32" customFormat="1" hidden="1" x14ac:dyDescent="0.3">
      <c r="B186" s="113"/>
      <c r="C186" s="114"/>
      <c r="D186" s="278" t="s">
        <v>1321</v>
      </c>
      <c r="E186" s="328">
        <f>V186/2</f>
        <v>2</v>
      </c>
      <c r="F186" s="509" t="s">
        <v>185</v>
      </c>
      <c r="G186" s="328"/>
      <c r="H186" s="510"/>
      <c r="I186" s="328"/>
      <c r="J186" s="510"/>
      <c r="K186" s="328">
        <v>3</v>
      </c>
      <c r="L186" s="509" t="s">
        <v>185</v>
      </c>
      <c r="M186" s="328">
        <f>M184</f>
        <v>4</v>
      </c>
      <c r="N186" s="509" t="s">
        <v>185</v>
      </c>
      <c r="O186" s="328">
        <v>7850</v>
      </c>
      <c r="P186" s="509" t="s">
        <v>185</v>
      </c>
      <c r="Q186" s="607">
        <f>Q184</f>
        <v>2.0114285714285715E-4</v>
      </c>
      <c r="R186" s="509" t="s">
        <v>114</v>
      </c>
      <c r="S186" s="596">
        <f t="shared" si="2"/>
        <v>37.895314285714285</v>
      </c>
      <c r="T186" s="53"/>
      <c r="U186" s="50"/>
      <c r="V186" s="51">
        <v>4</v>
      </c>
    </row>
    <row r="187" spans="2:25" s="32" customFormat="1" hidden="1" x14ac:dyDescent="0.3">
      <c r="B187" s="113"/>
      <c r="C187" s="114"/>
      <c r="D187" s="281" t="s">
        <v>157</v>
      </c>
      <c r="E187" s="328">
        <v>20</v>
      </c>
      <c r="F187" s="509" t="s">
        <v>185</v>
      </c>
      <c r="G187" s="328"/>
      <c r="H187" s="510"/>
      <c r="I187" s="328"/>
      <c r="J187" s="510"/>
      <c r="K187" s="328">
        <v>6</v>
      </c>
      <c r="L187" s="509" t="s">
        <v>185</v>
      </c>
      <c r="M187" s="328">
        <v>10</v>
      </c>
      <c r="N187" s="509" t="s">
        <v>185</v>
      </c>
      <c r="O187" s="328">
        <v>7850</v>
      </c>
      <c r="P187" s="509" t="s">
        <v>185</v>
      </c>
      <c r="Q187" s="607">
        <f>Q186</f>
        <v>2.0114285714285715E-4</v>
      </c>
      <c r="R187" s="509" t="s">
        <v>114</v>
      </c>
      <c r="S187" s="596">
        <f t="shared" si="2"/>
        <v>1894.7657142857142</v>
      </c>
      <c r="T187" s="53"/>
      <c r="U187" s="50"/>
      <c r="V187" s="51"/>
    </row>
    <row r="188" spans="2:25" s="1" customFormat="1" hidden="1" x14ac:dyDescent="0.3">
      <c r="B188" s="36"/>
      <c r="C188" s="17"/>
      <c r="D188" s="278" t="s">
        <v>1320</v>
      </c>
      <c r="E188" s="328">
        <f>V188/2+(40*0.016*10)</f>
        <v>8.4</v>
      </c>
      <c r="F188" s="509" t="s">
        <v>185</v>
      </c>
      <c r="G188" s="328"/>
      <c r="H188" s="510"/>
      <c r="I188" s="328"/>
      <c r="J188" s="510"/>
      <c r="K188" s="328">
        <v>3</v>
      </c>
      <c r="L188" s="509" t="s">
        <v>185</v>
      </c>
      <c r="M188" s="328">
        <f>M187</f>
        <v>10</v>
      </c>
      <c r="N188" s="509" t="s">
        <v>185</v>
      </c>
      <c r="O188" s="328">
        <v>7850</v>
      </c>
      <c r="P188" s="509" t="s">
        <v>185</v>
      </c>
      <c r="Q188" s="607">
        <f>Q187</f>
        <v>2.0114285714285715E-4</v>
      </c>
      <c r="R188" s="509" t="s">
        <v>114</v>
      </c>
      <c r="S188" s="596">
        <f t="shared" si="2"/>
        <v>397.90080000000006</v>
      </c>
      <c r="T188" s="53"/>
      <c r="U188" s="50"/>
      <c r="V188" s="51">
        <v>4</v>
      </c>
      <c r="W188" s="130"/>
      <c r="X188" s="122"/>
      <c r="Y188" s="131"/>
    </row>
    <row r="189" spans="2:25" s="32" customFormat="1" hidden="1" x14ac:dyDescent="0.3">
      <c r="B189" s="113"/>
      <c r="C189" s="114"/>
      <c r="D189" s="278" t="s">
        <v>1321</v>
      </c>
      <c r="E189" s="328">
        <f>V189/2</f>
        <v>2</v>
      </c>
      <c r="F189" s="509" t="s">
        <v>185</v>
      </c>
      <c r="G189" s="328"/>
      <c r="H189" s="510"/>
      <c r="I189" s="328"/>
      <c r="J189" s="510"/>
      <c r="K189" s="328">
        <v>3</v>
      </c>
      <c r="L189" s="509" t="s">
        <v>185</v>
      </c>
      <c r="M189" s="328">
        <f>M187</f>
        <v>10</v>
      </c>
      <c r="N189" s="509" t="s">
        <v>185</v>
      </c>
      <c r="O189" s="328">
        <v>7850</v>
      </c>
      <c r="P189" s="509" t="s">
        <v>185</v>
      </c>
      <c r="Q189" s="607">
        <f>Q187</f>
        <v>2.0114285714285715E-4</v>
      </c>
      <c r="R189" s="509" t="s">
        <v>114</v>
      </c>
      <c r="S189" s="596">
        <f t="shared" si="2"/>
        <v>94.738285714285709</v>
      </c>
      <c r="T189" s="53"/>
      <c r="U189" s="50"/>
      <c r="V189" s="51">
        <v>4</v>
      </c>
    </row>
    <row r="190" spans="2:25" s="1" customFormat="1" hidden="1" x14ac:dyDescent="0.3">
      <c r="B190" s="36"/>
      <c r="C190" s="17"/>
      <c r="D190" s="282"/>
      <c r="E190" s="330"/>
      <c r="F190" s="512"/>
      <c r="G190" s="330"/>
      <c r="H190" s="512"/>
      <c r="I190" s="330"/>
      <c r="J190" s="512"/>
      <c r="K190" s="330"/>
      <c r="L190" s="512"/>
      <c r="M190" s="330"/>
      <c r="N190" s="512"/>
      <c r="O190" s="330"/>
      <c r="P190" s="512"/>
      <c r="Q190" s="330"/>
      <c r="R190" s="512"/>
      <c r="S190" s="559"/>
      <c r="T190" s="66"/>
      <c r="U190" s="2"/>
      <c r="V190" s="1156"/>
      <c r="W190" s="122"/>
      <c r="X190" s="122"/>
    </row>
    <row r="191" spans="2:25" s="1" customFormat="1" ht="17.25" hidden="1" thickBot="1" x14ac:dyDescent="0.35">
      <c r="B191" s="36"/>
      <c r="C191" s="17"/>
      <c r="D191" s="1159" t="s">
        <v>164</v>
      </c>
      <c r="E191" s="214"/>
      <c r="F191" s="560"/>
      <c r="G191" s="214"/>
      <c r="H191" s="560"/>
      <c r="I191" s="215"/>
      <c r="J191" s="524"/>
      <c r="K191" s="178"/>
      <c r="L191" s="500"/>
      <c r="M191" s="175"/>
      <c r="N191" s="500"/>
      <c r="O191" s="178"/>
      <c r="P191" s="500"/>
      <c r="Q191" s="203"/>
      <c r="R191" s="500"/>
      <c r="S191" s="231">
        <f>SUM(S184:S190)</f>
        <v>4045.7037531428568</v>
      </c>
      <c r="T191" s="66"/>
      <c r="U191" s="2"/>
      <c r="V191" s="1156"/>
      <c r="W191" s="122"/>
      <c r="X191" s="122"/>
    </row>
    <row r="192" spans="2:25" s="1" customFormat="1" hidden="1" x14ac:dyDescent="0.3">
      <c r="B192" s="36"/>
      <c r="C192" s="17"/>
      <c r="D192" s="38"/>
      <c r="E192" s="208"/>
      <c r="F192" s="551"/>
      <c r="G192" s="208"/>
      <c r="H192" s="551"/>
      <c r="I192" s="208"/>
      <c r="J192" s="551"/>
      <c r="K192" s="156"/>
      <c r="L192" s="501"/>
      <c r="M192" s="165"/>
      <c r="N192" s="501"/>
      <c r="O192" s="156"/>
      <c r="P192" s="501"/>
      <c r="Q192" s="204"/>
      <c r="R192" s="501"/>
      <c r="S192" s="232"/>
      <c r="T192" s="66"/>
      <c r="U192" s="2"/>
      <c r="V192" s="1156"/>
      <c r="W192" s="122"/>
      <c r="X192" s="122"/>
    </row>
    <row r="193" spans="2:24" s="1" customFormat="1" hidden="1" x14ac:dyDescent="0.3">
      <c r="B193" s="36"/>
      <c r="C193" s="17" t="str">
        <f>RAB!D50</f>
        <v>Pembesian sengkang</v>
      </c>
      <c r="D193" s="38"/>
      <c r="E193" s="208"/>
      <c r="F193" s="551"/>
      <c r="G193" s="208"/>
      <c r="H193" s="551"/>
      <c r="I193" s="208"/>
      <c r="J193" s="551"/>
      <c r="K193" s="156"/>
      <c r="L193" s="501"/>
      <c r="M193" s="165"/>
      <c r="N193" s="501"/>
      <c r="O193" s="156"/>
      <c r="P193" s="501"/>
      <c r="Q193" s="204"/>
      <c r="R193" s="501"/>
      <c r="S193" s="232"/>
      <c r="T193" s="18">
        <f>ROUNDDOWN(S198,2)</f>
        <v>2300.8000000000002</v>
      </c>
      <c r="U193" s="2" t="s">
        <v>0</v>
      </c>
      <c r="V193" s="1156"/>
      <c r="W193" s="122"/>
      <c r="X193" s="122"/>
    </row>
    <row r="194" spans="2:24" s="1" customFormat="1" hidden="1" x14ac:dyDescent="0.3">
      <c r="B194" s="36"/>
      <c r="C194" s="17"/>
      <c r="D194" s="8" t="s">
        <v>95</v>
      </c>
      <c r="E194" s="154" t="s">
        <v>150</v>
      </c>
      <c r="F194" s="493"/>
      <c r="G194" s="154" t="s">
        <v>151</v>
      </c>
      <c r="H194" s="493"/>
      <c r="I194" s="154" t="s">
        <v>152</v>
      </c>
      <c r="J194" s="493"/>
      <c r="K194" s="154" t="s">
        <v>153</v>
      </c>
      <c r="L194" s="494"/>
      <c r="M194" s="163" t="s">
        <v>32</v>
      </c>
      <c r="N194" s="494"/>
      <c r="O194" s="201" t="s">
        <v>163</v>
      </c>
      <c r="P194" s="494"/>
      <c r="Q194" s="202" t="s">
        <v>151</v>
      </c>
      <c r="R194" s="494"/>
      <c r="S194" s="226" t="s">
        <v>143</v>
      </c>
      <c r="T194" s="66"/>
      <c r="U194" s="2"/>
      <c r="V194" s="1156"/>
      <c r="W194" s="122"/>
      <c r="X194" s="122"/>
    </row>
    <row r="195" spans="2:24" s="1" customFormat="1" hidden="1" x14ac:dyDescent="0.3">
      <c r="B195" s="36"/>
      <c r="C195" s="17"/>
      <c r="D195" s="275" t="s">
        <v>709</v>
      </c>
      <c r="E195" s="578">
        <f>(0.34+0.14)*2+ (2*6*0.01)</f>
        <v>1.08</v>
      </c>
      <c r="F195" s="565" t="s">
        <v>185</v>
      </c>
      <c r="G195" s="331"/>
      <c r="H195" s="575"/>
      <c r="I195" s="331"/>
      <c r="J195" s="575"/>
      <c r="K195" s="331">
        <f>V195</f>
        <v>361</v>
      </c>
      <c r="L195" s="565" t="s">
        <v>185</v>
      </c>
      <c r="M195" s="331">
        <f>M184</f>
        <v>4</v>
      </c>
      <c r="N195" s="565" t="s">
        <v>185</v>
      </c>
      <c r="O195" s="331">
        <v>7850</v>
      </c>
      <c r="P195" s="565" t="s">
        <v>185</v>
      </c>
      <c r="Q195" s="606">
        <f>22/7*0.005*0.005</f>
        <v>7.857142857142858E-5</v>
      </c>
      <c r="R195" s="1069" t="s">
        <v>114</v>
      </c>
      <c r="S195" s="577">
        <f>E195*K195*M195*O195*Q195</f>
        <v>961.88965714285735</v>
      </c>
      <c r="T195" s="66"/>
      <c r="U195" s="2"/>
      <c r="V195" s="1156">
        <f>(E184/0.1)+1</f>
        <v>361</v>
      </c>
      <c r="W195" s="131"/>
      <c r="X195" s="132"/>
    </row>
    <row r="196" spans="2:24" s="1" customFormat="1" hidden="1" x14ac:dyDescent="0.3">
      <c r="B196" s="36"/>
      <c r="C196" s="17"/>
      <c r="D196" s="278" t="s">
        <v>710</v>
      </c>
      <c r="E196" s="328">
        <f>E195</f>
        <v>1.08</v>
      </c>
      <c r="F196" s="518" t="s">
        <v>185</v>
      </c>
      <c r="G196" s="1161"/>
      <c r="H196" s="517"/>
      <c r="I196" s="1161"/>
      <c r="J196" s="517"/>
      <c r="K196" s="1161">
        <f>V196</f>
        <v>201</v>
      </c>
      <c r="L196" s="518" t="s">
        <v>185</v>
      </c>
      <c r="M196" s="1161">
        <f>M187</f>
        <v>10</v>
      </c>
      <c r="N196" s="518" t="s">
        <v>185</v>
      </c>
      <c r="O196" s="1161">
        <f>O195</f>
        <v>7850</v>
      </c>
      <c r="P196" s="518" t="s">
        <v>185</v>
      </c>
      <c r="Q196" s="608">
        <f>Q195</f>
        <v>7.857142857142858E-5</v>
      </c>
      <c r="R196" s="1070" t="s">
        <v>114</v>
      </c>
      <c r="S196" s="519">
        <f>E196*K196*M196*O196*Q196</f>
        <v>1338.9184285714286</v>
      </c>
      <c r="T196" s="66"/>
      <c r="U196" s="2"/>
      <c r="V196" s="1156">
        <f>(E187/0.1)+1</f>
        <v>201</v>
      </c>
      <c r="W196" s="131"/>
      <c r="X196" s="122"/>
    </row>
    <row r="197" spans="2:24" s="1" customFormat="1" hidden="1" x14ac:dyDescent="0.3">
      <c r="B197" s="36"/>
      <c r="C197" s="17"/>
      <c r="D197" s="282"/>
      <c r="E197" s="199"/>
      <c r="F197" s="561"/>
      <c r="G197" s="160"/>
      <c r="H197" s="523"/>
      <c r="I197" s="160"/>
      <c r="J197" s="523"/>
      <c r="K197" s="160"/>
      <c r="L197" s="561"/>
      <c r="M197" s="195"/>
      <c r="N197" s="561"/>
      <c r="O197" s="160"/>
      <c r="P197" s="561"/>
      <c r="Q197" s="220"/>
      <c r="R197" s="561"/>
      <c r="S197" s="295"/>
      <c r="T197" s="66"/>
      <c r="U197" s="2"/>
      <c r="V197" s="43"/>
    </row>
    <row r="198" spans="2:24" s="1" customFormat="1" ht="17.25" hidden="1" thickBot="1" x14ac:dyDescent="0.35">
      <c r="B198" s="36"/>
      <c r="C198" s="17"/>
      <c r="D198" s="3093" t="s">
        <v>164</v>
      </c>
      <c r="E198" s="3094"/>
      <c r="F198" s="3094"/>
      <c r="G198" s="3094"/>
      <c r="H198" s="3094"/>
      <c r="I198" s="3095"/>
      <c r="J198" s="524"/>
      <c r="K198" s="178"/>
      <c r="L198" s="500"/>
      <c r="M198" s="175"/>
      <c r="N198" s="500"/>
      <c r="O198" s="178"/>
      <c r="P198" s="500"/>
      <c r="Q198" s="203"/>
      <c r="R198" s="500"/>
      <c r="S198" s="231">
        <f>SUM(S195:S197)</f>
        <v>2300.8080857142859</v>
      </c>
      <c r="T198" s="66"/>
      <c r="U198" s="2"/>
      <c r="V198" s="43"/>
    </row>
    <row r="199" spans="2:24" hidden="1" x14ac:dyDescent="0.3">
      <c r="B199" s="464"/>
      <c r="C199" s="465"/>
      <c r="D199" s="453"/>
      <c r="E199" s="455"/>
      <c r="F199" s="485"/>
      <c r="G199" s="455"/>
      <c r="H199" s="485"/>
      <c r="I199" s="455"/>
      <c r="J199" s="485"/>
      <c r="K199" s="438"/>
      <c r="L199" s="482"/>
      <c r="M199" s="439"/>
      <c r="N199" s="482"/>
      <c r="O199" s="438"/>
      <c r="P199" s="482"/>
      <c r="Q199" s="440"/>
      <c r="R199" s="482"/>
      <c r="S199" s="454"/>
    </row>
    <row r="200" spans="2:24" s="1" customFormat="1" hidden="1" x14ac:dyDescent="0.3">
      <c r="B200" s="36"/>
      <c r="C200" s="17" t="str">
        <f>RAB!D51</f>
        <v>Bekisting Sloof</v>
      </c>
      <c r="D200" s="38"/>
      <c r="E200" s="208"/>
      <c r="F200" s="551"/>
      <c r="G200" s="208"/>
      <c r="H200" s="551"/>
      <c r="I200" s="208"/>
      <c r="J200" s="551"/>
      <c r="K200" s="156"/>
      <c r="L200" s="501"/>
      <c r="M200" s="165"/>
      <c r="N200" s="501"/>
      <c r="O200" s="156"/>
      <c r="P200" s="501"/>
      <c r="Q200" s="204"/>
      <c r="R200" s="501"/>
      <c r="S200" s="232"/>
      <c r="T200" s="18">
        <f>ROUNDDOWN(Q205,2)</f>
        <v>80.64</v>
      </c>
      <c r="U200" s="2" t="s">
        <v>2</v>
      </c>
      <c r="V200" s="43"/>
    </row>
    <row r="201" spans="2:24" s="1" customFormat="1" hidden="1" x14ac:dyDescent="0.3">
      <c r="B201" s="36"/>
      <c r="C201" s="17"/>
      <c r="D201" s="8" t="s">
        <v>95</v>
      </c>
      <c r="E201" s="154" t="s">
        <v>150</v>
      </c>
      <c r="F201" s="493"/>
      <c r="G201" s="154" t="s">
        <v>151</v>
      </c>
      <c r="H201" s="493"/>
      <c r="I201" s="154" t="s">
        <v>152</v>
      </c>
      <c r="J201" s="493"/>
      <c r="K201" s="154" t="s">
        <v>153</v>
      </c>
      <c r="L201" s="494"/>
      <c r="M201" s="163" t="s">
        <v>32</v>
      </c>
      <c r="N201" s="494"/>
      <c r="O201" s="201" t="s">
        <v>163</v>
      </c>
      <c r="P201" s="494"/>
      <c r="Q201" s="202" t="s">
        <v>151</v>
      </c>
      <c r="R201" s="494"/>
      <c r="S201" s="226" t="s">
        <v>143</v>
      </c>
      <c r="T201" s="99"/>
      <c r="U201" s="2"/>
      <c r="V201" s="43"/>
    </row>
    <row r="202" spans="2:24" s="1" customFormat="1" hidden="1" x14ac:dyDescent="0.3">
      <c r="B202" s="36"/>
      <c r="C202" s="17"/>
      <c r="D202" s="149" t="s">
        <v>156</v>
      </c>
      <c r="E202" s="331">
        <f>E174</f>
        <v>32.4</v>
      </c>
      <c r="F202" s="565" t="s">
        <v>185</v>
      </c>
      <c r="G202" s="331"/>
      <c r="H202" s="575"/>
      <c r="I202" s="331">
        <f>I174</f>
        <v>0.4</v>
      </c>
      <c r="J202" s="565" t="s">
        <v>185</v>
      </c>
      <c r="K202" s="331">
        <v>2</v>
      </c>
      <c r="L202" s="565" t="s">
        <v>185</v>
      </c>
      <c r="M202" s="331">
        <v>2</v>
      </c>
      <c r="N202" s="565"/>
      <c r="O202" s="331"/>
      <c r="P202" s="565" t="s">
        <v>114</v>
      </c>
      <c r="Q202" s="331">
        <f>E202*I202*K202*M202</f>
        <v>51.84</v>
      </c>
      <c r="R202" s="575"/>
      <c r="S202" s="1068"/>
      <c r="T202" s="99"/>
      <c r="U202" s="2"/>
      <c r="V202" s="43"/>
    </row>
    <row r="203" spans="2:24" s="1" customFormat="1" hidden="1" x14ac:dyDescent="0.3">
      <c r="B203" s="36"/>
      <c r="C203" s="17"/>
      <c r="D203" s="288" t="s">
        <v>157</v>
      </c>
      <c r="E203" s="1161">
        <f>E175</f>
        <v>18</v>
      </c>
      <c r="F203" s="518" t="s">
        <v>185</v>
      </c>
      <c r="G203" s="1161"/>
      <c r="H203" s="517"/>
      <c r="I203" s="1161">
        <f>I175</f>
        <v>0.4</v>
      </c>
      <c r="J203" s="518" t="s">
        <v>185</v>
      </c>
      <c r="K203" s="1161">
        <v>2</v>
      </c>
      <c r="L203" s="518" t="s">
        <v>185</v>
      </c>
      <c r="M203" s="1161">
        <v>2</v>
      </c>
      <c r="N203" s="518"/>
      <c r="O203" s="1161"/>
      <c r="P203" s="518" t="s">
        <v>114</v>
      </c>
      <c r="Q203" s="1161">
        <f>E203*I203*K203*M203</f>
        <v>28.8</v>
      </c>
      <c r="R203" s="517"/>
      <c r="S203" s="519"/>
      <c r="T203" s="99"/>
      <c r="U203" s="2"/>
      <c r="V203" s="43"/>
    </row>
    <row r="204" spans="2:24" s="1" customFormat="1" ht="17.25" hidden="1" thickBot="1" x14ac:dyDescent="0.35">
      <c r="B204" s="36"/>
      <c r="C204" s="17"/>
      <c r="D204" s="289"/>
      <c r="E204" s="1071"/>
      <c r="F204" s="1072"/>
      <c r="G204" s="1071"/>
      <c r="H204" s="1072"/>
      <c r="I204" s="1071"/>
      <c r="J204" s="1072"/>
      <c r="K204" s="1071"/>
      <c r="L204" s="1072"/>
      <c r="M204" s="1071"/>
      <c r="N204" s="1072"/>
      <c r="O204" s="1071"/>
      <c r="P204" s="1072"/>
      <c r="Q204" s="1071"/>
      <c r="R204" s="1072"/>
      <c r="S204" s="1073"/>
      <c r="T204" s="99"/>
      <c r="U204" s="2"/>
      <c r="V204" s="43"/>
    </row>
    <row r="205" spans="2:24" s="1" customFormat="1" ht="17.25" hidden="1" thickBot="1" x14ac:dyDescent="0.35">
      <c r="B205" s="36"/>
      <c r="C205" s="17"/>
      <c r="D205" s="3106" t="s">
        <v>164</v>
      </c>
      <c r="E205" s="3107"/>
      <c r="F205" s="3107"/>
      <c r="G205" s="3107"/>
      <c r="H205" s="3107"/>
      <c r="I205" s="3108"/>
      <c r="J205" s="562"/>
      <c r="K205" s="185"/>
      <c r="L205" s="563"/>
      <c r="M205" s="186"/>
      <c r="N205" s="563"/>
      <c r="O205" s="185"/>
      <c r="P205" s="563"/>
      <c r="Q205" s="564">
        <f>SUM(Q202:Q204)</f>
        <v>80.64</v>
      </c>
      <c r="R205" s="563"/>
      <c r="S205" s="238"/>
      <c r="T205" s="66"/>
      <c r="U205" s="2"/>
      <c r="V205" s="43"/>
    </row>
    <row r="206" spans="2:24" hidden="1" x14ac:dyDescent="0.3">
      <c r="B206" s="464"/>
      <c r="C206" s="465"/>
      <c r="D206" s="453"/>
      <c r="E206" s="455"/>
      <c r="F206" s="485"/>
      <c r="G206" s="455"/>
      <c r="H206" s="485"/>
      <c r="I206" s="455"/>
      <c r="J206" s="485"/>
      <c r="K206" s="438"/>
      <c r="L206" s="482"/>
      <c r="M206" s="439"/>
      <c r="N206" s="482"/>
      <c r="O206" s="438"/>
      <c r="P206" s="482"/>
      <c r="Q206" s="440"/>
      <c r="R206" s="482"/>
      <c r="S206" s="454"/>
    </row>
    <row r="207" spans="2:24" x14ac:dyDescent="0.3">
      <c r="B207" s="36" t="str">
        <f>RAB!B186</f>
        <v>I</v>
      </c>
      <c r="C207" s="17" t="str">
        <f>RAB!C186</f>
        <v>PEKERJAAN STRUKTUR</v>
      </c>
      <c r="D207" s="453"/>
      <c r="E207" s="455"/>
      <c r="F207" s="485"/>
      <c r="G207" s="455"/>
      <c r="H207" s="485"/>
      <c r="I207" s="455"/>
      <c r="J207" s="485"/>
      <c r="K207" s="438"/>
      <c r="L207" s="482"/>
      <c r="M207" s="439"/>
      <c r="N207" s="482"/>
      <c r="O207" s="438"/>
      <c r="P207" s="482"/>
      <c r="Q207" s="440"/>
      <c r="R207" s="482"/>
      <c r="S207" s="454"/>
    </row>
    <row r="208" spans="2:24" s="1" customFormat="1" x14ac:dyDescent="0.3">
      <c r="B208" s="1149">
        <f>RAB!B187</f>
        <v>1</v>
      </c>
      <c r="C208" s="17" t="str">
        <f>RAB!C52</f>
        <v>Kolom 40x40 Cm (K1)</v>
      </c>
      <c r="D208" s="38"/>
      <c r="E208" s="208"/>
      <c r="F208" s="551"/>
      <c r="G208" s="208"/>
      <c r="H208" s="551"/>
      <c r="I208" s="208"/>
      <c r="J208" s="551"/>
      <c r="K208" s="156"/>
      <c r="L208" s="501"/>
      <c r="M208" s="165"/>
      <c r="N208" s="501"/>
      <c r="O208" s="156"/>
      <c r="P208" s="501"/>
      <c r="Q208" s="204"/>
      <c r="R208" s="501"/>
      <c r="S208" s="232"/>
      <c r="T208" s="66"/>
      <c r="U208" s="2"/>
      <c r="V208" s="43"/>
    </row>
    <row r="209" spans="2:22" s="1" customFormat="1" ht="17.25" thickBot="1" x14ac:dyDescent="0.35">
      <c r="B209" s="36"/>
      <c r="C209" s="17" t="str">
        <f>RAB!D53</f>
        <v xml:space="preserve">Beton mutu f'c=26,4 Mpa </v>
      </c>
      <c r="D209" s="38"/>
      <c r="E209" s="208"/>
      <c r="F209" s="551"/>
      <c r="G209" s="208"/>
      <c r="H209" s="551"/>
      <c r="I209" s="208"/>
      <c r="J209" s="551"/>
      <c r="K209" s="156"/>
      <c r="L209" s="501"/>
      <c r="M209" s="165"/>
      <c r="N209" s="501"/>
      <c r="O209" s="156"/>
      <c r="P209" s="501"/>
      <c r="Q209" s="204"/>
      <c r="R209" s="501"/>
      <c r="S209" s="232"/>
      <c r="T209" s="18">
        <f>ROUNDDOWN(S216,2)</f>
        <v>46.37</v>
      </c>
      <c r="U209" s="2" t="s">
        <v>3</v>
      </c>
      <c r="V209" s="43"/>
    </row>
    <row r="210" spans="2:22" s="1" customFormat="1" x14ac:dyDescent="0.3">
      <c r="B210" s="36"/>
      <c r="C210" s="17"/>
      <c r="D210" s="8" t="s">
        <v>95</v>
      </c>
      <c r="E210" s="154" t="s">
        <v>150</v>
      </c>
      <c r="F210" s="493"/>
      <c r="G210" s="154" t="s">
        <v>151</v>
      </c>
      <c r="H210" s="493"/>
      <c r="I210" s="154" t="s">
        <v>152</v>
      </c>
      <c r="J210" s="493"/>
      <c r="K210" s="154" t="s">
        <v>153</v>
      </c>
      <c r="L210" s="494"/>
      <c r="M210" s="163" t="s">
        <v>32</v>
      </c>
      <c r="N210" s="494"/>
      <c r="O210" s="201" t="s">
        <v>163</v>
      </c>
      <c r="P210" s="494"/>
      <c r="Q210" s="202" t="s">
        <v>151</v>
      </c>
      <c r="R210" s="494"/>
      <c r="S210" s="226" t="s">
        <v>143</v>
      </c>
      <c r="T210" s="66"/>
      <c r="U210" s="2"/>
      <c r="V210" s="43"/>
    </row>
    <row r="211" spans="2:22" s="1" customFormat="1" x14ac:dyDescent="0.3">
      <c r="B211" s="36"/>
      <c r="C211" s="17"/>
      <c r="D211" s="149" t="str">
        <f>C208</f>
        <v>Kolom 40x40 Cm (K1)</v>
      </c>
      <c r="E211" s="331">
        <v>0.4</v>
      </c>
      <c r="F211" s="565" t="s">
        <v>185</v>
      </c>
      <c r="G211" s="331">
        <v>0.4</v>
      </c>
      <c r="H211" s="565" t="s">
        <v>185</v>
      </c>
      <c r="I211" s="331">
        <f>4.5-0.12</f>
        <v>4.38</v>
      </c>
      <c r="J211" s="565" t="s">
        <v>185</v>
      </c>
      <c r="K211" s="331">
        <f>17*4</f>
        <v>68</v>
      </c>
      <c r="L211" s="575"/>
      <c r="M211" s="331"/>
      <c r="N211" s="575"/>
      <c r="O211" s="331"/>
      <c r="P211" s="575"/>
      <c r="Q211" s="331"/>
      <c r="R211" s="576" t="s">
        <v>114</v>
      </c>
      <c r="S211" s="577">
        <f>K211*I211*G211*E211</f>
        <v>47.654400000000003</v>
      </c>
      <c r="T211" s="66"/>
      <c r="U211" s="2"/>
      <c r="V211" s="43"/>
    </row>
    <row r="212" spans="2:22" s="1" customFormat="1" x14ac:dyDescent="0.3">
      <c r="B212" s="36"/>
      <c r="C212" s="17"/>
      <c r="D212" s="261" t="s">
        <v>256</v>
      </c>
      <c r="E212" s="1161"/>
      <c r="F212" s="518"/>
      <c r="G212" s="1161"/>
      <c r="H212" s="518"/>
      <c r="I212" s="1161"/>
      <c r="J212" s="518"/>
      <c r="K212" s="1161"/>
      <c r="L212" s="517"/>
      <c r="M212" s="1161"/>
      <c r="N212" s="517"/>
      <c r="O212" s="1161"/>
      <c r="P212" s="517"/>
      <c r="Q212" s="1161"/>
      <c r="R212" s="518"/>
      <c r="S212" s="519"/>
      <c r="T212" s="66"/>
      <c r="U212" s="2"/>
      <c r="V212" s="43"/>
    </row>
    <row r="213" spans="2:22" s="1" customFormat="1" x14ac:dyDescent="0.3">
      <c r="B213" s="36"/>
      <c r="C213" s="17"/>
      <c r="D213" s="140" t="s">
        <v>733</v>
      </c>
      <c r="E213" s="1161"/>
      <c r="F213" s="518"/>
      <c r="G213" s="1161"/>
      <c r="H213" s="518"/>
      <c r="I213" s="1161"/>
      <c r="J213" s="518"/>
      <c r="K213" s="1161">
        <f>S222</f>
        <v>7331.2275017142856</v>
      </c>
      <c r="L213" s="509" t="s">
        <v>253</v>
      </c>
      <c r="M213" s="328"/>
      <c r="N213" s="510"/>
      <c r="O213" s="328">
        <f>O220</f>
        <v>7850</v>
      </c>
      <c r="P213" s="510"/>
      <c r="Q213" s="328"/>
      <c r="R213" s="518" t="s">
        <v>149</v>
      </c>
      <c r="S213" s="511">
        <f>K213/O213</f>
        <v>0.93391433142857139</v>
      </c>
      <c r="T213" s="66"/>
      <c r="U213" s="2"/>
      <c r="V213" s="43"/>
    </row>
    <row r="214" spans="2:22" s="1" customFormat="1" x14ac:dyDescent="0.3">
      <c r="B214" s="36"/>
      <c r="C214" s="17"/>
      <c r="D214" s="140" t="s">
        <v>734</v>
      </c>
      <c r="E214" s="1161"/>
      <c r="F214" s="518"/>
      <c r="G214" s="1161"/>
      <c r="H214" s="518"/>
      <c r="I214" s="1161"/>
      <c r="J214" s="518"/>
      <c r="K214" s="1161">
        <f>S229</f>
        <v>2680.0572857142861</v>
      </c>
      <c r="L214" s="509" t="s">
        <v>253</v>
      </c>
      <c r="M214" s="328"/>
      <c r="N214" s="510"/>
      <c r="O214" s="328">
        <f>O213</f>
        <v>7850</v>
      </c>
      <c r="P214" s="510"/>
      <c r="Q214" s="328"/>
      <c r="R214" s="518" t="s">
        <v>149</v>
      </c>
      <c r="S214" s="511">
        <f>K214/O214</f>
        <v>0.34140857142857145</v>
      </c>
      <c r="T214" s="66"/>
      <c r="U214" s="2"/>
      <c r="V214" s="43"/>
    </row>
    <row r="215" spans="2:22" s="1" customFormat="1" x14ac:dyDescent="0.3">
      <c r="B215" s="36"/>
      <c r="C215" s="17"/>
      <c r="D215" s="150"/>
      <c r="E215" s="160"/>
      <c r="F215" s="523"/>
      <c r="G215" s="160"/>
      <c r="H215" s="523"/>
      <c r="I215" s="160"/>
      <c r="J215" s="523"/>
      <c r="K215" s="160"/>
      <c r="L215" s="523"/>
      <c r="M215" s="195"/>
      <c r="N215" s="523"/>
      <c r="O215" s="160"/>
      <c r="P215" s="523"/>
      <c r="Q215" s="220"/>
      <c r="R215" s="523"/>
      <c r="S215" s="251"/>
      <c r="T215" s="66"/>
      <c r="U215" s="2"/>
      <c r="V215" s="43"/>
    </row>
    <row r="216" spans="2:22" s="1" customFormat="1" ht="17.25" thickBot="1" x14ac:dyDescent="0.35">
      <c r="B216" s="36"/>
      <c r="C216" s="17"/>
      <c r="D216" s="3093" t="s">
        <v>164</v>
      </c>
      <c r="E216" s="3094"/>
      <c r="F216" s="3094"/>
      <c r="G216" s="3094"/>
      <c r="H216" s="3094"/>
      <c r="I216" s="3095"/>
      <c r="J216" s="524"/>
      <c r="K216" s="178"/>
      <c r="L216" s="500"/>
      <c r="M216" s="175"/>
      <c r="N216" s="500"/>
      <c r="O216" s="178"/>
      <c r="P216" s="500"/>
      <c r="Q216" s="203"/>
      <c r="R216" s="500"/>
      <c r="S216" s="231">
        <f>SUM(S211:S211)-SUM(S213:S214)</f>
        <v>46.379077097142861</v>
      </c>
      <c r="T216" s="66"/>
      <c r="U216" s="2"/>
      <c r="V216" s="43"/>
    </row>
    <row r="217" spans="2:22" x14ac:dyDescent="0.3">
      <c r="B217" s="464"/>
      <c r="C217" s="465"/>
      <c r="D217" s="453"/>
      <c r="E217" s="455"/>
      <c r="F217" s="485"/>
      <c r="G217" s="455"/>
      <c r="H217" s="485"/>
      <c r="I217" s="455"/>
      <c r="J217" s="485"/>
      <c r="K217" s="438"/>
      <c r="L217" s="482"/>
      <c r="M217" s="439"/>
      <c r="N217" s="482"/>
      <c r="O217" s="438"/>
      <c r="P217" s="482"/>
      <c r="Q217" s="440"/>
      <c r="R217" s="482"/>
      <c r="S217" s="454"/>
    </row>
    <row r="218" spans="2:22" s="1" customFormat="1" ht="17.25" thickBot="1" x14ac:dyDescent="0.35">
      <c r="B218" s="36"/>
      <c r="C218" s="17" t="str">
        <f>RAB!D54</f>
        <v>Pembesian Ulir</v>
      </c>
      <c r="D218" s="38"/>
      <c r="E218" s="208"/>
      <c r="F218" s="551"/>
      <c r="G218" s="208"/>
      <c r="H218" s="551"/>
      <c r="I218" s="208"/>
      <c r="J218" s="551"/>
      <c r="K218" s="156"/>
      <c r="L218" s="501"/>
      <c r="M218" s="165"/>
      <c r="N218" s="501"/>
      <c r="O218" s="156"/>
      <c r="P218" s="501"/>
      <c r="Q218" s="204"/>
      <c r="R218" s="501"/>
      <c r="S218" s="232"/>
      <c r="T218" s="18">
        <f>ROUNDDOWN(S222,2)</f>
        <v>7331.22</v>
      </c>
      <c r="U218" s="2" t="s">
        <v>0</v>
      </c>
      <c r="V218" s="43"/>
    </row>
    <row r="219" spans="2:22" s="1" customFormat="1" x14ac:dyDescent="0.3">
      <c r="B219" s="36"/>
      <c r="C219" s="17"/>
      <c r="D219" s="8" t="s">
        <v>95</v>
      </c>
      <c r="E219" s="154" t="s">
        <v>150</v>
      </c>
      <c r="F219" s="493"/>
      <c r="G219" s="154" t="s">
        <v>151</v>
      </c>
      <c r="H219" s="493"/>
      <c r="I219" s="154" t="s">
        <v>152</v>
      </c>
      <c r="J219" s="493"/>
      <c r="K219" s="154" t="s">
        <v>153</v>
      </c>
      <c r="L219" s="494"/>
      <c r="M219" s="163" t="s">
        <v>32</v>
      </c>
      <c r="N219" s="494"/>
      <c r="O219" s="201" t="s">
        <v>163</v>
      </c>
      <c r="P219" s="494"/>
      <c r="Q219" s="202" t="s">
        <v>151</v>
      </c>
      <c r="R219" s="494"/>
      <c r="S219" s="226" t="s">
        <v>143</v>
      </c>
      <c r="T219" s="66"/>
      <c r="U219" s="2"/>
      <c r="V219" s="43"/>
    </row>
    <row r="220" spans="2:22" s="1" customFormat="1" x14ac:dyDescent="0.3">
      <c r="B220" s="36"/>
      <c r="C220" s="17"/>
      <c r="D220" s="149" t="s">
        <v>1322</v>
      </c>
      <c r="E220" s="152">
        <f>4+0.5+0.55+(40*0.016)</f>
        <v>5.6899999999999995</v>
      </c>
      <c r="F220" s="516" t="s">
        <v>185</v>
      </c>
      <c r="G220" s="152"/>
      <c r="H220" s="496"/>
      <c r="I220" s="152"/>
      <c r="J220" s="496"/>
      <c r="K220" s="152">
        <v>12</v>
      </c>
      <c r="L220" s="516" t="s">
        <v>185</v>
      </c>
      <c r="M220" s="173">
        <f>K211</f>
        <v>68</v>
      </c>
      <c r="N220" s="516" t="s">
        <v>185</v>
      </c>
      <c r="O220" s="152">
        <v>7850</v>
      </c>
      <c r="P220" s="516" t="s">
        <v>185</v>
      </c>
      <c r="Q220" s="262">
        <f>22/7*0.008*0.008</f>
        <v>2.0114285714285715E-4</v>
      </c>
      <c r="R220" s="516" t="s">
        <v>114</v>
      </c>
      <c r="S220" s="248">
        <f>E220*K220*M220*O220*Q220</f>
        <v>7331.2275017142856</v>
      </c>
      <c r="T220" s="66"/>
      <c r="U220" s="2"/>
      <c r="V220" s="43"/>
    </row>
    <row r="221" spans="2:22" s="1" customFormat="1" x14ac:dyDescent="0.3">
      <c r="B221" s="36"/>
      <c r="C221" s="17"/>
      <c r="D221" s="150"/>
      <c r="E221" s="160"/>
      <c r="F221" s="523"/>
      <c r="G221" s="160"/>
      <c r="H221" s="523"/>
      <c r="I221" s="160"/>
      <c r="J221" s="523"/>
      <c r="K221" s="160"/>
      <c r="L221" s="523"/>
      <c r="M221" s="195"/>
      <c r="N221" s="523"/>
      <c r="O221" s="160"/>
      <c r="P221" s="523"/>
      <c r="Q221" s="263"/>
      <c r="R221" s="523"/>
      <c r="S221" s="251"/>
      <c r="T221" s="66"/>
      <c r="U221" s="2"/>
      <c r="V221" s="43"/>
    </row>
    <row r="222" spans="2:22" s="1" customFormat="1" ht="17.25" thickBot="1" x14ac:dyDescent="0.35">
      <c r="B222" s="36"/>
      <c r="C222" s="17"/>
      <c r="D222" s="3093" t="s">
        <v>164</v>
      </c>
      <c r="E222" s="3093"/>
      <c r="F222" s="3093"/>
      <c r="G222" s="3093"/>
      <c r="H222" s="3093"/>
      <c r="I222" s="3093"/>
      <c r="J222" s="524"/>
      <c r="K222" s="178"/>
      <c r="L222" s="500"/>
      <c r="M222" s="175"/>
      <c r="N222" s="500"/>
      <c r="O222" s="178"/>
      <c r="P222" s="500"/>
      <c r="Q222" s="264"/>
      <c r="R222" s="500"/>
      <c r="S222" s="231">
        <f>SUM(S220:S220)</f>
        <v>7331.2275017142856</v>
      </c>
      <c r="T222" s="66"/>
      <c r="U222" s="2"/>
      <c r="V222" s="43"/>
    </row>
    <row r="223" spans="2:22" x14ac:dyDescent="0.3">
      <c r="B223" s="464"/>
      <c r="C223" s="465"/>
      <c r="D223" s="453"/>
      <c r="E223" s="455"/>
      <c r="F223" s="485"/>
      <c r="G223" s="455"/>
      <c r="H223" s="485"/>
      <c r="I223" s="455"/>
      <c r="J223" s="485"/>
      <c r="K223" s="438"/>
      <c r="L223" s="482"/>
      <c r="M223" s="439"/>
      <c r="N223" s="482"/>
      <c r="O223" s="438"/>
      <c r="P223" s="482"/>
      <c r="Q223" s="469"/>
      <c r="R223" s="482"/>
      <c r="S223" s="454"/>
    </row>
    <row r="224" spans="2:22" s="1" customFormat="1" ht="17.25" thickBot="1" x14ac:dyDescent="0.35">
      <c r="B224" s="1149"/>
      <c r="C224" s="17" t="str">
        <f>RAB!D55</f>
        <v>Pembesian sengkang</v>
      </c>
      <c r="D224" s="38"/>
      <c r="E224" s="208"/>
      <c r="F224" s="551"/>
      <c r="G224" s="208"/>
      <c r="H224" s="551"/>
      <c r="I224" s="208"/>
      <c r="J224" s="551"/>
      <c r="K224" s="156"/>
      <c r="L224" s="501"/>
      <c r="M224" s="165"/>
      <c r="N224" s="501"/>
      <c r="O224" s="156"/>
      <c r="P224" s="501"/>
      <c r="Q224" s="286"/>
      <c r="R224" s="501"/>
      <c r="S224" s="232"/>
      <c r="T224" s="18">
        <f>ROUNDDOWN(S229,2)</f>
        <v>2680.05</v>
      </c>
      <c r="U224" s="2" t="s">
        <v>0</v>
      </c>
      <c r="V224" s="43"/>
    </row>
    <row r="225" spans="2:24" s="1" customFormat="1" x14ac:dyDescent="0.3">
      <c r="B225" s="36"/>
      <c r="C225" s="17"/>
      <c r="D225" s="8" t="s">
        <v>95</v>
      </c>
      <c r="E225" s="154" t="s">
        <v>150</v>
      </c>
      <c r="F225" s="493"/>
      <c r="G225" s="154" t="s">
        <v>151</v>
      </c>
      <c r="H225" s="493"/>
      <c r="I225" s="154" t="s">
        <v>152</v>
      </c>
      <c r="J225" s="493"/>
      <c r="K225" s="154" t="s">
        <v>153</v>
      </c>
      <c r="L225" s="494"/>
      <c r="M225" s="163" t="s">
        <v>32</v>
      </c>
      <c r="N225" s="494"/>
      <c r="O225" s="201" t="s">
        <v>163</v>
      </c>
      <c r="P225" s="494"/>
      <c r="Q225" s="287" t="s">
        <v>151</v>
      </c>
      <c r="R225" s="494"/>
      <c r="S225" s="226" t="s">
        <v>143</v>
      </c>
      <c r="T225" s="66"/>
      <c r="U225" s="2"/>
      <c r="V225" s="43"/>
      <c r="X225" s="37"/>
    </row>
    <row r="226" spans="2:24" s="1" customFormat="1" x14ac:dyDescent="0.3">
      <c r="B226" s="36"/>
      <c r="C226" s="17"/>
      <c r="D226" s="149" t="s">
        <v>711</v>
      </c>
      <c r="E226" s="217">
        <f>((0.34)*4)+(6*0.01)</f>
        <v>1.4200000000000002</v>
      </c>
      <c r="F226" s="516" t="s">
        <v>185</v>
      </c>
      <c r="G226" s="152"/>
      <c r="H226" s="496"/>
      <c r="I226" s="152"/>
      <c r="J226" s="496"/>
      <c r="K226" s="265">
        <f>W226</f>
        <v>31</v>
      </c>
      <c r="L226" s="516" t="s">
        <v>185</v>
      </c>
      <c r="M226" s="173">
        <f>M220</f>
        <v>68</v>
      </c>
      <c r="N226" s="516" t="s">
        <v>185</v>
      </c>
      <c r="O226" s="152">
        <v>7850</v>
      </c>
      <c r="P226" s="516" t="s">
        <v>185</v>
      </c>
      <c r="Q226" s="262">
        <f>22/7*0.005*0.005</f>
        <v>7.857142857142858E-5</v>
      </c>
      <c r="R226" s="516" t="s">
        <v>1323</v>
      </c>
      <c r="S226" s="248">
        <f>E226*K226*M226*O226*Q226</f>
        <v>1846.2616857142859</v>
      </c>
      <c r="T226" s="66"/>
      <c r="U226" s="2"/>
      <c r="V226" s="43">
        <f>2+0.5+0.5</f>
        <v>3</v>
      </c>
      <c r="W226" s="1">
        <f>(V226/0.1)+1</f>
        <v>31</v>
      </c>
    </row>
    <row r="227" spans="2:24" s="1" customFormat="1" x14ac:dyDescent="0.3">
      <c r="B227" s="36"/>
      <c r="C227" s="17"/>
      <c r="D227" s="139" t="s">
        <v>711</v>
      </c>
      <c r="E227" s="172">
        <f>((0.34)*4)+(6*0.01)</f>
        <v>1.4200000000000002</v>
      </c>
      <c r="F227" s="521" t="s">
        <v>185</v>
      </c>
      <c r="G227" s="187"/>
      <c r="H227" s="498"/>
      <c r="I227" s="187"/>
      <c r="J227" s="498"/>
      <c r="K227" s="696">
        <v>14</v>
      </c>
      <c r="L227" s="521" t="s">
        <v>185</v>
      </c>
      <c r="M227" s="188">
        <f>M226</f>
        <v>68</v>
      </c>
      <c r="N227" s="521" t="s">
        <v>185</v>
      </c>
      <c r="O227" s="187">
        <v>7850</v>
      </c>
      <c r="P227" s="521" t="s">
        <v>185</v>
      </c>
      <c r="Q227" s="291">
        <f>22/7*0.005*0.005</f>
        <v>7.857142857142858E-5</v>
      </c>
      <c r="R227" s="521" t="s">
        <v>1323</v>
      </c>
      <c r="S227" s="244">
        <f>E227*K227*M227*O227*Q227</f>
        <v>833.79560000000026</v>
      </c>
      <c r="T227" s="66"/>
      <c r="U227" s="2"/>
      <c r="V227" s="43">
        <f>2</f>
        <v>2</v>
      </c>
      <c r="W227" s="1">
        <f>(V227/0.15)+1</f>
        <v>14.333333333333334</v>
      </c>
    </row>
    <row r="228" spans="2:24" s="1" customFormat="1" x14ac:dyDescent="0.3">
      <c r="B228" s="36"/>
      <c r="C228" s="17"/>
      <c r="D228" s="150"/>
      <c r="E228" s="199"/>
      <c r="F228" s="546"/>
      <c r="G228" s="160"/>
      <c r="H228" s="523"/>
      <c r="I228" s="160"/>
      <c r="J228" s="523"/>
      <c r="K228" s="160"/>
      <c r="L228" s="523"/>
      <c r="M228" s="195"/>
      <c r="N228" s="523"/>
      <c r="O228" s="160"/>
      <c r="P228" s="523"/>
      <c r="Q228" s="220"/>
      <c r="R228" s="523"/>
      <c r="S228" s="251"/>
      <c r="T228" s="66"/>
      <c r="U228" s="2"/>
      <c r="V228" s="43"/>
    </row>
    <row r="229" spans="2:24" s="1" customFormat="1" ht="17.25" thickBot="1" x14ac:dyDescent="0.35">
      <c r="B229" s="36"/>
      <c r="C229" s="17"/>
      <c r="D229" s="3093" t="s">
        <v>164</v>
      </c>
      <c r="E229" s="3094"/>
      <c r="F229" s="3094"/>
      <c r="G229" s="3094"/>
      <c r="H229" s="3094"/>
      <c r="I229" s="3095"/>
      <c r="J229" s="524"/>
      <c r="K229" s="178"/>
      <c r="L229" s="500"/>
      <c r="M229" s="175"/>
      <c r="N229" s="500"/>
      <c r="O229" s="178"/>
      <c r="P229" s="500"/>
      <c r="Q229" s="203"/>
      <c r="R229" s="500"/>
      <c r="S229" s="231">
        <f>SUM(S226:S227)</f>
        <v>2680.0572857142861</v>
      </c>
      <c r="T229" s="66"/>
      <c r="U229" s="2"/>
      <c r="V229" s="43"/>
    </row>
    <row r="230" spans="2:24" x14ac:dyDescent="0.3">
      <c r="B230" s="464"/>
      <c r="C230" s="465"/>
      <c r="D230" s="453"/>
      <c r="E230" s="455"/>
      <c r="F230" s="485"/>
      <c r="G230" s="455"/>
      <c r="H230" s="485"/>
      <c r="I230" s="455"/>
      <c r="J230" s="485"/>
      <c r="K230" s="438"/>
      <c r="L230" s="482"/>
      <c r="M230" s="439"/>
      <c r="N230" s="482"/>
      <c r="O230" s="438"/>
      <c r="P230" s="482"/>
      <c r="Q230" s="440"/>
      <c r="R230" s="482"/>
      <c r="S230" s="454"/>
    </row>
    <row r="231" spans="2:24" s="1" customFormat="1" ht="17.25" thickBot="1" x14ac:dyDescent="0.35">
      <c r="B231" s="36"/>
      <c r="C231" s="17" t="str">
        <f>RAB!D56</f>
        <v>Bekisting Kolom</v>
      </c>
      <c r="D231" s="38"/>
      <c r="E231" s="208"/>
      <c r="F231" s="551"/>
      <c r="G231" s="208"/>
      <c r="H231" s="551"/>
      <c r="I231" s="208"/>
      <c r="J231" s="551"/>
      <c r="K231" s="156"/>
      <c r="L231" s="501"/>
      <c r="M231" s="165"/>
      <c r="N231" s="501"/>
      <c r="O231" s="156"/>
      <c r="P231" s="501"/>
      <c r="Q231" s="204"/>
      <c r="R231" s="501"/>
      <c r="S231" s="232"/>
      <c r="T231" s="18">
        <f>ROUNDDOWN(Q235,2)</f>
        <v>433.02</v>
      </c>
      <c r="U231" s="2" t="s">
        <v>2</v>
      </c>
      <c r="V231" s="43"/>
    </row>
    <row r="232" spans="2:24" s="1" customFormat="1" x14ac:dyDescent="0.3">
      <c r="B232" s="36"/>
      <c r="C232" s="17"/>
      <c r="D232" s="8" t="s">
        <v>95</v>
      </c>
      <c r="E232" s="154" t="s">
        <v>150</v>
      </c>
      <c r="F232" s="493"/>
      <c r="G232" s="154" t="s">
        <v>151</v>
      </c>
      <c r="H232" s="493"/>
      <c r="I232" s="154" t="s">
        <v>152</v>
      </c>
      <c r="J232" s="493"/>
      <c r="K232" s="154" t="s">
        <v>153</v>
      </c>
      <c r="L232" s="494"/>
      <c r="M232" s="163" t="s">
        <v>32</v>
      </c>
      <c r="N232" s="494"/>
      <c r="O232" s="201" t="s">
        <v>163</v>
      </c>
      <c r="P232" s="494"/>
      <c r="Q232" s="202" t="s">
        <v>151</v>
      </c>
      <c r="R232" s="494"/>
      <c r="S232" s="226" t="s">
        <v>143</v>
      </c>
      <c r="T232" s="66"/>
      <c r="U232" s="2"/>
      <c r="V232" s="43"/>
    </row>
    <row r="233" spans="2:24" s="1" customFormat="1" x14ac:dyDescent="0.3">
      <c r="B233" s="36"/>
      <c r="C233" s="17"/>
      <c r="D233" s="149" t="s">
        <v>191</v>
      </c>
      <c r="E233" s="217"/>
      <c r="F233" s="516"/>
      <c r="G233" s="331">
        <f>(E211+G211)*2</f>
        <v>1.6</v>
      </c>
      <c r="H233" s="565" t="s">
        <v>185</v>
      </c>
      <c r="I233" s="578">
        <f>I211-0.4</f>
        <v>3.98</v>
      </c>
      <c r="J233" s="565" t="s">
        <v>185</v>
      </c>
      <c r="K233" s="331">
        <v>1</v>
      </c>
      <c r="L233" s="565" t="s">
        <v>185</v>
      </c>
      <c r="M233" s="331">
        <f>M226</f>
        <v>68</v>
      </c>
      <c r="N233" s="565"/>
      <c r="O233" s="331"/>
      <c r="P233" s="565" t="s">
        <v>114</v>
      </c>
      <c r="Q233" s="331">
        <f>M233*K233*I233*G233</f>
        <v>433.024</v>
      </c>
      <c r="R233" s="516"/>
      <c r="S233" s="248"/>
      <c r="T233" s="66"/>
      <c r="U233" s="2"/>
      <c r="V233" s="43"/>
    </row>
    <row r="234" spans="2:24" s="1" customFormat="1" x14ac:dyDescent="0.3">
      <c r="B234" s="36"/>
      <c r="C234" s="17"/>
      <c r="D234" s="150"/>
      <c r="E234" s="199"/>
      <c r="F234" s="546"/>
      <c r="G234" s="160"/>
      <c r="H234" s="523"/>
      <c r="I234" s="160"/>
      <c r="J234" s="523"/>
      <c r="K234" s="160"/>
      <c r="L234" s="523"/>
      <c r="M234" s="195"/>
      <c r="N234" s="523"/>
      <c r="O234" s="160"/>
      <c r="P234" s="523"/>
      <c r="Q234" s="220"/>
      <c r="R234" s="523"/>
      <c r="S234" s="251"/>
      <c r="T234" s="66"/>
      <c r="U234" s="2"/>
      <c r="V234" s="43"/>
    </row>
    <row r="235" spans="2:24" s="1" customFormat="1" ht="17.25" thickBot="1" x14ac:dyDescent="0.35">
      <c r="B235" s="36"/>
      <c r="C235" s="17"/>
      <c r="D235" s="3093" t="s">
        <v>164</v>
      </c>
      <c r="E235" s="3094"/>
      <c r="F235" s="3094"/>
      <c r="G235" s="3094"/>
      <c r="H235" s="3094"/>
      <c r="I235" s="3095"/>
      <c r="J235" s="524"/>
      <c r="K235" s="178"/>
      <c r="L235" s="500"/>
      <c r="M235" s="175"/>
      <c r="N235" s="500"/>
      <c r="O235" s="178"/>
      <c r="P235" s="500"/>
      <c r="Q235" s="579">
        <f>Q233</f>
        <v>433.024</v>
      </c>
      <c r="R235" s="500"/>
      <c r="S235" s="231"/>
      <c r="T235" s="66"/>
      <c r="U235" s="2"/>
      <c r="V235" s="43"/>
    </row>
    <row r="236" spans="2:24" x14ac:dyDescent="0.3">
      <c r="B236" s="464"/>
      <c r="C236" s="465"/>
      <c r="D236" s="453"/>
      <c r="E236" s="455"/>
      <c r="F236" s="485"/>
      <c r="G236" s="455"/>
      <c r="H236" s="485"/>
      <c r="I236" s="455"/>
      <c r="J236" s="485"/>
      <c r="K236" s="438"/>
      <c r="L236" s="482"/>
      <c r="M236" s="439"/>
      <c r="N236" s="482"/>
      <c r="O236" s="438"/>
      <c r="P236" s="482"/>
      <c r="Q236" s="440"/>
      <c r="R236" s="482"/>
      <c r="S236" s="454"/>
    </row>
    <row r="237" spans="2:24" s="1" customFormat="1" ht="17.25" thickBot="1" x14ac:dyDescent="0.35">
      <c r="B237" s="36">
        <f>RAB!B57</f>
        <v>6</v>
      </c>
      <c r="C237" s="17" t="str">
        <f>RAB!C57</f>
        <v>Kolom Praktis</v>
      </c>
      <c r="E237" s="153"/>
      <c r="F237" s="480"/>
      <c r="G237" s="153"/>
      <c r="H237" s="480"/>
      <c r="I237" s="153"/>
      <c r="J237" s="480"/>
      <c r="K237" s="153"/>
      <c r="L237" s="480"/>
      <c r="M237" s="162"/>
      <c r="N237" s="480"/>
      <c r="O237" s="153"/>
      <c r="P237" s="480"/>
      <c r="Q237" s="200"/>
      <c r="R237" s="480"/>
      <c r="S237" s="224"/>
      <c r="T237" s="18">
        <f>ROUNDDOWN(S239,2)</f>
        <v>28.8</v>
      </c>
      <c r="U237" s="2" t="s">
        <v>27</v>
      </c>
      <c r="V237" s="43"/>
    </row>
    <row r="238" spans="2:24" s="1" customFormat="1" x14ac:dyDescent="0.3">
      <c r="B238" s="36"/>
      <c r="C238" s="17"/>
      <c r="D238" s="8" t="s">
        <v>95</v>
      </c>
      <c r="E238" s="154" t="s">
        <v>150</v>
      </c>
      <c r="F238" s="493"/>
      <c r="G238" s="154" t="s">
        <v>151</v>
      </c>
      <c r="H238" s="493"/>
      <c r="I238" s="154" t="s">
        <v>152</v>
      </c>
      <c r="J238" s="493"/>
      <c r="K238" s="154" t="s">
        <v>153</v>
      </c>
      <c r="L238" s="494"/>
      <c r="M238" s="163" t="s">
        <v>32</v>
      </c>
      <c r="N238" s="494"/>
      <c r="O238" s="201" t="s">
        <v>163</v>
      </c>
      <c r="P238" s="494"/>
      <c r="Q238" s="202" t="s">
        <v>151</v>
      </c>
      <c r="R238" s="494"/>
      <c r="S238" s="226" t="s">
        <v>143</v>
      </c>
      <c r="T238" s="66"/>
      <c r="U238" s="2"/>
      <c r="V238" s="43"/>
    </row>
    <row r="239" spans="2:24" s="1" customFormat="1" x14ac:dyDescent="0.3">
      <c r="B239" s="36"/>
      <c r="C239" s="17"/>
      <c r="D239" s="149" t="s">
        <v>192</v>
      </c>
      <c r="E239" s="578"/>
      <c r="F239" s="565"/>
      <c r="G239" s="331"/>
      <c r="H239" s="565"/>
      <c r="I239" s="331">
        <f>4-0.4</f>
        <v>3.6</v>
      </c>
      <c r="J239" s="565" t="s">
        <v>185</v>
      </c>
      <c r="K239" s="331">
        <v>8</v>
      </c>
      <c r="L239" s="565"/>
      <c r="M239" s="331"/>
      <c r="N239" s="565"/>
      <c r="O239" s="331"/>
      <c r="P239" s="565"/>
      <c r="Q239" s="331"/>
      <c r="R239" s="565" t="s">
        <v>114</v>
      </c>
      <c r="S239" s="577">
        <f>K239*I239</f>
        <v>28.8</v>
      </c>
      <c r="T239" s="66"/>
      <c r="U239" s="2"/>
      <c r="V239" s="43"/>
    </row>
    <row r="240" spans="2:24" s="1" customFormat="1" x14ac:dyDescent="0.3">
      <c r="B240" s="36"/>
      <c r="C240" s="17"/>
      <c r="D240" s="139"/>
      <c r="E240" s="328"/>
      <c r="F240" s="518"/>
      <c r="G240" s="1161"/>
      <c r="H240" s="518"/>
      <c r="I240" s="1161"/>
      <c r="J240" s="518"/>
      <c r="K240" s="1161"/>
      <c r="L240" s="518"/>
      <c r="M240" s="1161"/>
      <c r="N240" s="518"/>
      <c r="O240" s="1161"/>
      <c r="P240" s="518"/>
      <c r="Q240" s="1161"/>
      <c r="R240" s="518"/>
      <c r="S240" s="519"/>
      <c r="T240" s="66"/>
      <c r="U240" s="2"/>
      <c r="V240" s="43"/>
    </row>
    <row r="241" spans="2:22" s="1" customFormat="1" x14ac:dyDescent="0.3">
      <c r="B241" s="36"/>
      <c r="C241" s="17"/>
      <c r="D241" s="139" t="s">
        <v>1236</v>
      </c>
      <c r="E241" s="328">
        <v>1</v>
      </c>
      <c r="F241" s="518" t="s">
        <v>185</v>
      </c>
      <c r="G241" s="1161"/>
      <c r="H241" s="518"/>
      <c r="I241" s="1161"/>
      <c r="J241" s="518"/>
      <c r="K241" s="1161">
        <f>K239</f>
        <v>8</v>
      </c>
      <c r="L241" s="518" t="s">
        <v>185</v>
      </c>
      <c r="M241" s="1161">
        <v>4</v>
      </c>
      <c r="N241" s="518" t="s">
        <v>185</v>
      </c>
      <c r="O241" s="1161">
        <v>7850</v>
      </c>
      <c r="P241" s="518" t="s">
        <v>185</v>
      </c>
      <c r="Q241" s="608">
        <f>22/7*0.005*0.005</f>
        <v>7.857142857142858E-5</v>
      </c>
      <c r="R241" s="518" t="s">
        <v>114</v>
      </c>
      <c r="S241" s="519">
        <f>Q241*O241*M241*K241*E241</f>
        <v>19.73714285714286</v>
      </c>
      <c r="T241" s="18">
        <f>ROUNDDOWN(S241,2)</f>
        <v>19.73</v>
      </c>
      <c r="U241" s="2" t="s">
        <v>0</v>
      </c>
      <c r="V241" s="43"/>
    </row>
    <row r="242" spans="2:22" s="1" customFormat="1" x14ac:dyDescent="0.3">
      <c r="B242" s="36"/>
      <c r="C242" s="17"/>
      <c r="D242" s="150"/>
      <c r="E242" s="592"/>
      <c r="F242" s="593"/>
      <c r="G242" s="330"/>
      <c r="H242" s="512"/>
      <c r="I242" s="330"/>
      <c r="J242" s="512"/>
      <c r="K242" s="330"/>
      <c r="L242" s="512"/>
      <c r="M242" s="330"/>
      <c r="N242" s="512"/>
      <c r="O242" s="330"/>
      <c r="P242" s="512"/>
      <c r="Q242" s="330"/>
      <c r="R242" s="512"/>
      <c r="S242" s="559"/>
      <c r="T242" s="66"/>
      <c r="U242" s="2"/>
      <c r="V242" s="43"/>
    </row>
    <row r="243" spans="2:22" s="1" customFormat="1" ht="17.25" thickBot="1" x14ac:dyDescent="0.35">
      <c r="B243" s="36"/>
      <c r="C243" s="17"/>
      <c r="D243" s="1159" t="s">
        <v>164</v>
      </c>
      <c r="E243" s="214"/>
      <c r="F243" s="560"/>
      <c r="G243" s="214"/>
      <c r="H243" s="560"/>
      <c r="I243" s="214"/>
      <c r="J243" s="560"/>
      <c r="K243" s="178"/>
      <c r="L243" s="500"/>
      <c r="M243" s="175"/>
      <c r="N243" s="500"/>
      <c r="O243" s="178"/>
      <c r="P243" s="500"/>
      <c r="Q243" s="178"/>
      <c r="R243" s="500"/>
      <c r="S243" s="231"/>
      <c r="T243" s="66"/>
      <c r="U243" s="2"/>
      <c r="V243" s="43"/>
    </row>
    <row r="244" spans="2:22" x14ac:dyDescent="0.3">
      <c r="B244" s="464"/>
      <c r="C244" s="465"/>
      <c r="D244" s="453"/>
      <c r="E244" s="455"/>
      <c r="F244" s="485"/>
      <c r="G244" s="455"/>
      <c r="H244" s="485"/>
      <c r="I244" s="455"/>
      <c r="J244" s="485"/>
      <c r="K244" s="438"/>
      <c r="L244" s="482"/>
      <c r="M244" s="439"/>
      <c r="N244" s="482"/>
      <c r="O244" s="438"/>
      <c r="P244" s="482"/>
      <c r="Q244" s="440"/>
      <c r="R244" s="482"/>
      <c r="S244" s="454"/>
    </row>
    <row r="245" spans="2:22" s="1" customFormat="1" ht="17.25" thickBot="1" x14ac:dyDescent="0.35">
      <c r="B245" s="1149">
        <f>RAB!B58</f>
        <v>7</v>
      </c>
      <c r="C245" s="17" t="str">
        <f>RAB!C58</f>
        <v>Balok Latai</v>
      </c>
      <c r="D245" s="38"/>
      <c r="E245" s="208"/>
      <c r="F245" s="551"/>
      <c r="G245" s="208"/>
      <c r="H245" s="551"/>
      <c r="I245" s="208"/>
      <c r="J245" s="551"/>
      <c r="K245" s="156"/>
      <c r="L245" s="501"/>
      <c r="M245" s="165"/>
      <c r="N245" s="501"/>
      <c r="O245" s="156"/>
      <c r="P245" s="501"/>
      <c r="Q245" s="204"/>
      <c r="R245" s="501"/>
      <c r="S245" s="232"/>
      <c r="T245" s="18">
        <f>ROUNDDOWN(S252,2)</f>
        <v>122.4</v>
      </c>
      <c r="U245" s="2" t="s">
        <v>27</v>
      </c>
      <c r="V245" s="43"/>
    </row>
    <row r="246" spans="2:22" s="1" customFormat="1" x14ac:dyDescent="0.3">
      <c r="B246" s="36"/>
      <c r="C246" s="17"/>
      <c r="D246" s="8" t="s">
        <v>95</v>
      </c>
      <c r="E246" s="154" t="s">
        <v>150</v>
      </c>
      <c r="F246" s="493"/>
      <c r="G246" s="154" t="s">
        <v>151</v>
      </c>
      <c r="H246" s="493"/>
      <c r="I246" s="154" t="s">
        <v>152</v>
      </c>
      <c r="J246" s="493"/>
      <c r="K246" s="154" t="s">
        <v>153</v>
      </c>
      <c r="L246" s="494"/>
      <c r="M246" s="163" t="s">
        <v>32</v>
      </c>
      <c r="N246" s="494"/>
      <c r="O246" s="201" t="s">
        <v>163</v>
      </c>
      <c r="P246" s="494"/>
      <c r="Q246" s="202" t="s">
        <v>151</v>
      </c>
      <c r="R246" s="494"/>
      <c r="S246" s="226" t="s">
        <v>143</v>
      </c>
      <c r="T246" s="66"/>
      <c r="U246" s="2"/>
      <c r="V246" s="43"/>
    </row>
    <row r="247" spans="2:22" s="1" customFormat="1" x14ac:dyDescent="0.3">
      <c r="B247" s="36"/>
      <c r="C247" s="17"/>
      <c r="D247" s="318" t="s">
        <v>156</v>
      </c>
      <c r="E247" s="159"/>
      <c r="F247" s="582"/>
      <c r="G247" s="159"/>
      <c r="H247" s="582"/>
      <c r="I247" s="159"/>
      <c r="J247" s="582"/>
      <c r="K247" s="159"/>
      <c r="L247" s="583"/>
      <c r="M247" s="584"/>
      <c r="N247" s="583"/>
      <c r="O247" s="585"/>
      <c r="P247" s="583"/>
      <c r="Q247" s="586"/>
      <c r="R247" s="583"/>
      <c r="S247" s="243"/>
      <c r="T247" s="66"/>
      <c r="U247" s="2"/>
      <c r="V247" s="43"/>
    </row>
    <row r="248" spans="2:22" s="1" customFormat="1" x14ac:dyDescent="0.3">
      <c r="B248" s="36"/>
      <c r="C248" s="17"/>
      <c r="D248" s="267" t="s">
        <v>1324</v>
      </c>
      <c r="E248" s="587">
        <v>3.6</v>
      </c>
      <c r="F248" s="588" t="s">
        <v>185</v>
      </c>
      <c r="G248" s="589"/>
      <c r="H248" s="588"/>
      <c r="I248" s="589"/>
      <c r="J248" s="588"/>
      <c r="K248" s="589">
        <v>24</v>
      </c>
      <c r="L248" s="588"/>
      <c r="M248" s="589"/>
      <c r="N248" s="588"/>
      <c r="O248" s="589"/>
      <c r="P248" s="588"/>
      <c r="Q248" s="589"/>
      <c r="R248" s="588" t="s">
        <v>114</v>
      </c>
      <c r="S248" s="590">
        <f>K248*E248</f>
        <v>86.4</v>
      </c>
      <c r="T248" s="66"/>
      <c r="U248" s="2"/>
      <c r="V248" s="43"/>
    </row>
    <row r="249" spans="2:22" s="1" customFormat="1" x14ac:dyDescent="0.3">
      <c r="B249" s="36"/>
      <c r="C249" s="17"/>
      <c r="D249" s="151" t="s">
        <v>157</v>
      </c>
      <c r="E249" s="1161"/>
      <c r="F249" s="518"/>
      <c r="G249" s="1161"/>
      <c r="H249" s="518"/>
      <c r="I249" s="1161"/>
      <c r="J249" s="518"/>
      <c r="K249" s="1161"/>
      <c r="L249" s="517"/>
      <c r="M249" s="1161"/>
      <c r="N249" s="517"/>
      <c r="O249" s="1161"/>
      <c r="P249" s="517"/>
      <c r="Q249" s="1161"/>
      <c r="R249" s="518"/>
      <c r="S249" s="519"/>
      <c r="T249" s="66"/>
      <c r="U249" s="2"/>
      <c r="V249" s="43"/>
    </row>
    <row r="250" spans="2:22" s="1" customFormat="1" x14ac:dyDescent="0.3">
      <c r="B250" s="36"/>
      <c r="C250" s="17"/>
      <c r="D250" s="267" t="s">
        <v>1324</v>
      </c>
      <c r="E250" s="328">
        <v>3.6</v>
      </c>
      <c r="F250" s="518" t="s">
        <v>185</v>
      </c>
      <c r="G250" s="1161"/>
      <c r="H250" s="518"/>
      <c r="I250" s="1161"/>
      <c r="J250" s="518"/>
      <c r="K250" s="1161">
        <v>10</v>
      </c>
      <c r="L250" s="518"/>
      <c r="M250" s="1161"/>
      <c r="N250" s="518"/>
      <c r="O250" s="1161"/>
      <c r="P250" s="518"/>
      <c r="Q250" s="1161"/>
      <c r="R250" s="518" t="s">
        <v>114</v>
      </c>
      <c r="S250" s="519">
        <f>E250*K250</f>
        <v>36</v>
      </c>
      <c r="T250" s="66"/>
      <c r="U250" s="2"/>
      <c r="V250" s="43"/>
    </row>
    <row r="251" spans="2:22" s="1" customFormat="1" x14ac:dyDescent="0.3">
      <c r="B251" s="36"/>
      <c r="C251" s="17"/>
      <c r="D251" s="150"/>
      <c r="E251" s="592"/>
      <c r="F251" s="593"/>
      <c r="G251" s="330"/>
      <c r="H251" s="512"/>
      <c r="I251" s="330"/>
      <c r="J251" s="512"/>
      <c r="K251" s="330"/>
      <c r="L251" s="512"/>
      <c r="M251" s="330"/>
      <c r="N251" s="512"/>
      <c r="O251" s="330"/>
      <c r="P251" s="512"/>
      <c r="Q251" s="330"/>
      <c r="R251" s="512"/>
      <c r="S251" s="559"/>
      <c r="T251" s="66"/>
      <c r="U251" s="2"/>
      <c r="V251" s="43"/>
    </row>
    <row r="252" spans="2:22" s="1" customFormat="1" x14ac:dyDescent="0.3">
      <c r="B252" s="36"/>
      <c r="C252" s="17"/>
      <c r="D252" s="1119" t="s">
        <v>164</v>
      </c>
      <c r="E252" s="1120"/>
      <c r="F252" s="1121"/>
      <c r="G252" s="1120"/>
      <c r="H252" s="1121"/>
      <c r="I252" s="1122"/>
      <c r="J252" s="1123"/>
      <c r="K252" s="1120"/>
      <c r="L252" s="1121"/>
      <c r="M252" s="1120"/>
      <c r="N252" s="1121"/>
      <c r="O252" s="1120"/>
      <c r="P252" s="1121"/>
      <c r="Q252" s="1120"/>
      <c r="R252" s="1121"/>
      <c r="S252" s="1124">
        <f>SUM(S247:S251)</f>
        <v>122.4</v>
      </c>
      <c r="T252" s="66"/>
      <c r="U252" s="2"/>
      <c r="V252" s="43"/>
    </row>
    <row r="253" spans="2:22" s="1" customFormat="1" x14ac:dyDescent="0.3">
      <c r="B253" s="36"/>
      <c r="C253" s="17"/>
      <c r="D253" s="318"/>
      <c r="E253" s="331"/>
      <c r="F253" s="575"/>
      <c r="G253" s="331"/>
      <c r="H253" s="575"/>
      <c r="I253" s="331"/>
      <c r="J253" s="575"/>
      <c r="K253" s="331"/>
      <c r="L253" s="575"/>
      <c r="M253" s="331"/>
      <c r="N253" s="575"/>
      <c r="O253" s="331"/>
      <c r="P253" s="575"/>
      <c r="Q253" s="331"/>
      <c r="R253" s="575"/>
      <c r="S253" s="1125"/>
      <c r="T253" s="66"/>
      <c r="U253" s="2"/>
      <c r="V253" s="43"/>
    </row>
    <row r="254" spans="2:22" s="1" customFormat="1" ht="17.25" thickBot="1" x14ac:dyDescent="0.35">
      <c r="B254" s="36"/>
      <c r="C254" s="17"/>
      <c r="D254" s="1126" t="s">
        <v>1236</v>
      </c>
      <c r="E254" s="1127">
        <v>1</v>
      </c>
      <c r="F254" s="1128" t="s">
        <v>185</v>
      </c>
      <c r="G254" s="1071"/>
      <c r="H254" s="1128"/>
      <c r="I254" s="1071"/>
      <c r="J254" s="1128"/>
      <c r="K254" s="1071">
        <f>SUM(K248:K250)</f>
        <v>34</v>
      </c>
      <c r="L254" s="1128" t="s">
        <v>185</v>
      </c>
      <c r="M254" s="1071">
        <v>4</v>
      </c>
      <c r="N254" s="1128" t="s">
        <v>185</v>
      </c>
      <c r="O254" s="1071">
        <v>7850</v>
      </c>
      <c r="P254" s="1128" t="s">
        <v>185</v>
      </c>
      <c r="Q254" s="1129">
        <f>22/7*0.005*0.005</f>
        <v>7.857142857142858E-5</v>
      </c>
      <c r="R254" s="1128" t="s">
        <v>114</v>
      </c>
      <c r="S254" s="1073">
        <f>Q254*O254*M254*K254*E254</f>
        <v>83.882857142857162</v>
      </c>
      <c r="T254" s="18">
        <f>ROUNDDOWN(S254,2)</f>
        <v>83.88</v>
      </c>
      <c r="U254" s="2" t="s">
        <v>0</v>
      </c>
      <c r="V254" s="43"/>
    </row>
    <row r="255" spans="2:22" x14ac:dyDescent="0.3">
      <c r="B255" s="464"/>
      <c r="C255" s="465"/>
      <c r="D255" s="453"/>
      <c r="E255" s="455"/>
      <c r="F255" s="485"/>
      <c r="G255" s="455"/>
      <c r="H255" s="485"/>
      <c r="I255" s="455"/>
      <c r="J255" s="485"/>
      <c r="K255" s="438"/>
      <c r="L255" s="482"/>
      <c r="M255" s="439"/>
      <c r="N255" s="482"/>
      <c r="O255" s="438"/>
      <c r="P255" s="482"/>
      <c r="Q255" s="440"/>
      <c r="R255" s="482"/>
      <c r="S255" s="454"/>
    </row>
    <row r="256" spans="2:22" s="32" customFormat="1" x14ac:dyDescent="0.3">
      <c r="B256" s="1149">
        <f>RAB!B59</f>
        <v>8</v>
      </c>
      <c r="C256" s="114" t="str">
        <f>RAB!C59</f>
        <v>Balok 25x50 Cm (B1)</v>
      </c>
      <c r="D256" s="56"/>
      <c r="E256" s="213"/>
      <c r="F256" s="549"/>
      <c r="G256" s="213"/>
      <c r="H256" s="549"/>
      <c r="I256" s="213"/>
      <c r="J256" s="549"/>
      <c r="K256" s="181"/>
      <c r="L256" s="529"/>
      <c r="M256" s="182"/>
      <c r="N256" s="529"/>
      <c r="O256" s="181"/>
      <c r="P256" s="529"/>
      <c r="Q256" s="211"/>
      <c r="R256" s="529"/>
      <c r="S256" s="239"/>
      <c r="T256" s="53"/>
      <c r="U256" s="50"/>
      <c r="V256" s="51"/>
    </row>
    <row r="257" spans="2:24" s="32" customFormat="1" ht="17.25" thickBot="1" x14ac:dyDescent="0.35">
      <c r="B257" s="113"/>
      <c r="C257" s="114" t="str">
        <f>RAB!D60</f>
        <v xml:space="preserve">Beton mutu f'c=26,4 Mpa </v>
      </c>
      <c r="D257" s="56"/>
      <c r="E257" s="213"/>
      <c r="F257" s="549"/>
      <c r="G257" s="213"/>
      <c r="H257" s="549"/>
      <c r="I257" s="213"/>
      <c r="J257" s="549"/>
      <c r="K257" s="181"/>
      <c r="L257" s="529"/>
      <c r="M257" s="182"/>
      <c r="N257" s="529"/>
      <c r="O257" s="181"/>
      <c r="P257" s="529"/>
      <c r="Q257" s="211"/>
      <c r="R257" s="529"/>
      <c r="S257" s="239"/>
      <c r="T257" s="54">
        <f>ROUNDDOWN(S265,2)</f>
        <v>1.31</v>
      </c>
      <c r="U257" s="50" t="s">
        <v>3</v>
      </c>
      <c r="V257" s="51"/>
    </row>
    <row r="258" spans="2:24" s="32" customFormat="1" x14ac:dyDescent="0.3">
      <c r="B258" s="113"/>
      <c r="C258" s="114"/>
      <c r="D258" s="52" t="s">
        <v>95</v>
      </c>
      <c r="E258" s="155" t="s">
        <v>150</v>
      </c>
      <c r="F258" s="505"/>
      <c r="G258" s="155" t="s">
        <v>151</v>
      </c>
      <c r="H258" s="505"/>
      <c r="I258" s="155" t="s">
        <v>152</v>
      </c>
      <c r="J258" s="505"/>
      <c r="K258" s="155" t="s">
        <v>153</v>
      </c>
      <c r="L258" s="506"/>
      <c r="M258" s="164" t="s">
        <v>32</v>
      </c>
      <c r="N258" s="506"/>
      <c r="O258" s="206" t="s">
        <v>163</v>
      </c>
      <c r="P258" s="506"/>
      <c r="Q258" s="207" t="s">
        <v>151</v>
      </c>
      <c r="R258" s="506"/>
      <c r="S258" s="230" t="s">
        <v>143</v>
      </c>
      <c r="T258" s="53"/>
      <c r="U258" s="50"/>
      <c r="V258" s="51"/>
    </row>
    <row r="259" spans="2:24" s="32" customFormat="1" x14ac:dyDescent="0.3">
      <c r="B259" s="113"/>
      <c r="C259" s="114"/>
      <c r="D259" s="284" t="s">
        <v>156</v>
      </c>
      <c r="E259" s="552">
        <f>4-0.4</f>
        <v>3.6</v>
      </c>
      <c r="F259" s="594" t="s">
        <v>185</v>
      </c>
      <c r="G259" s="578">
        <v>0.25</v>
      </c>
      <c r="H259" s="594" t="s">
        <v>185</v>
      </c>
      <c r="I259" s="578">
        <f>0.5-0.12</f>
        <v>0.38</v>
      </c>
      <c r="J259" s="594" t="s">
        <v>185</v>
      </c>
      <c r="K259" s="578">
        <v>4</v>
      </c>
      <c r="L259" s="594"/>
      <c r="M259" s="578"/>
      <c r="N259" s="594"/>
      <c r="O259" s="578"/>
      <c r="P259" s="594"/>
      <c r="Q259" s="578"/>
      <c r="R259" s="594" t="s">
        <v>114</v>
      </c>
      <c r="S259" s="595">
        <f>E259*G259*I259*K259</f>
        <v>1.3680000000000001</v>
      </c>
      <c r="T259" s="53"/>
      <c r="U259" s="50"/>
      <c r="V259" s="51"/>
    </row>
    <row r="260" spans="2:24" s="32" customFormat="1" x14ac:dyDescent="0.3">
      <c r="B260" s="113"/>
      <c r="C260" s="114"/>
      <c r="D260" s="285" t="s">
        <v>244</v>
      </c>
      <c r="E260" s="328"/>
      <c r="F260" s="509"/>
      <c r="G260" s="328"/>
      <c r="H260" s="509"/>
      <c r="I260" s="328"/>
      <c r="J260" s="509"/>
      <c r="K260" s="328"/>
      <c r="L260" s="509"/>
      <c r="M260" s="328"/>
      <c r="N260" s="509"/>
      <c r="O260" s="328"/>
      <c r="P260" s="509"/>
      <c r="Q260" s="328"/>
      <c r="R260" s="509"/>
      <c r="S260" s="596"/>
      <c r="T260" s="53"/>
      <c r="U260" s="50"/>
      <c r="V260" s="51"/>
    </row>
    <row r="261" spans="2:24" s="32" customFormat="1" x14ac:dyDescent="0.3">
      <c r="B261" s="113"/>
      <c r="C261" s="114"/>
      <c r="D261" s="140" t="s">
        <v>733</v>
      </c>
      <c r="E261" s="328"/>
      <c r="F261" s="509"/>
      <c r="G261" s="328"/>
      <c r="H261" s="509"/>
      <c r="I261" s="328"/>
      <c r="J261" s="509"/>
      <c r="K261" s="328">
        <f>S273</f>
        <v>361.24300457142857</v>
      </c>
      <c r="L261" s="509" t="s">
        <v>253</v>
      </c>
      <c r="M261" s="328"/>
      <c r="N261" s="510"/>
      <c r="O261" s="328">
        <v>7850</v>
      </c>
      <c r="P261" s="510"/>
      <c r="Q261" s="328"/>
      <c r="R261" s="509" t="s">
        <v>149</v>
      </c>
      <c r="S261" s="1171">
        <f>K261/O261</f>
        <v>4.6018217142857143E-2</v>
      </c>
      <c r="T261" s="53"/>
      <c r="U261" s="50"/>
      <c r="V261" s="51"/>
    </row>
    <row r="262" spans="2:24" s="32" customFormat="1" x14ac:dyDescent="0.3">
      <c r="B262" s="113"/>
      <c r="C262" s="114"/>
      <c r="D262" s="140" t="s">
        <v>734</v>
      </c>
      <c r="E262" s="328"/>
      <c r="F262" s="509"/>
      <c r="G262" s="328"/>
      <c r="H262" s="509"/>
      <c r="I262" s="328"/>
      <c r="J262" s="509"/>
      <c r="K262" s="328">
        <f>S280</f>
        <v>27.237257142857143</v>
      </c>
      <c r="L262" s="509" t="s">
        <v>253</v>
      </c>
      <c r="M262" s="328"/>
      <c r="N262" s="510"/>
      <c r="O262" s="328">
        <f>O261</f>
        <v>7850</v>
      </c>
      <c r="P262" s="510"/>
      <c r="Q262" s="328"/>
      <c r="R262" s="509" t="s">
        <v>149</v>
      </c>
      <c r="S262" s="1171">
        <f>K262/O262</f>
        <v>3.4697142857142856E-3</v>
      </c>
      <c r="T262" s="53"/>
      <c r="U262" s="50"/>
      <c r="V262" s="51"/>
    </row>
    <row r="263" spans="2:24" s="32" customFormat="1" x14ac:dyDescent="0.3">
      <c r="B263" s="113"/>
      <c r="C263" s="114"/>
      <c r="D263" s="555"/>
      <c r="E263" s="554"/>
      <c r="F263" s="556"/>
      <c r="G263" s="554"/>
      <c r="H263" s="556"/>
      <c r="I263" s="554"/>
      <c r="J263" s="556"/>
      <c r="K263" s="554"/>
      <c r="L263" s="556"/>
      <c r="M263" s="554"/>
      <c r="N263" s="557"/>
      <c r="O263" s="554"/>
      <c r="P263" s="557"/>
      <c r="Q263" s="554"/>
      <c r="R263" s="556"/>
      <c r="S263" s="1172">
        <f>SUM(S261:S262)</f>
        <v>4.9487931428571427E-2</v>
      </c>
      <c r="T263" s="53"/>
      <c r="U263" s="50"/>
      <c r="V263" s="51"/>
    </row>
    <row r="264" spans="2:24" s="32" customFormat="1" x14ac:dyDescent="0.3">
      <c r="B264" s="113"/>
      <c r="C264" s="114"/>
      <c r="D264" s="282"/>
      <c r="E264" s="592"/>
      <c r="F264" s="593"/>
      <c r="G264" s="592"/>
      <c r="H264" s="593"/>
      <c r="I264" s="592"/>
      <c r="J264" s="593"/>
      <c r="K264" s="592"/>
      <c r="L264" s="593"/>
      <c r="M264" s="592"/>
      <c r="N264" s="593"/>
      <c r="O264" s="592"/>
      <c r="P264" s="593"/>
      <c r="Q264" s="592"/>
      <c r="R264" s="593"/>
      <c r="S264" s="599"/>
      <c r="T264" s="53"/>
      <c r="U264" s="50"/>
      <c r="V264" s="51"/>
    </row>
    <row r="265" spans="2:24" s="32" customFormat="1" ht="17.25" thickBot="1" x14ac:dyDescent="0.35">
      <c r="B265" s="113"/>
      <c r="C265" s="114"/>
      <c r="D265" s="3103" t="s">
        <v>164</v>
      </c>
      <c r="E265" s="3104"/>
      <c r="F265" s="3104"/>
      <c r="G265" s="3104"/>
      <c r="H265" s="3104"/>
      <c r="I265" s="3105"/>
      <c r="J265" s="548"/>
      <c r="K265" s="183"/>
      <c r="L265" s="532"/>
      <c r="M265" s="180"/>
      <c r="N265" s="532"/>
      <c r="O265" s="183"/>
      <c r="P265" s="532"/>
      <c r="Q265" s="210"/>
      <c r="R265" s="532"/>
      <c r="S265" s="600">
        <f>S259-S263</f>
        <v>1.3185120685714287</v>
      </c>
      <c r="T265" s="53"/>
      <c r="U265" s="50"/>
      <c r="V265" s="51"/>
    </row>
    <row r="266" spans="2:24" s="444" customFormat="1" x14ac:dyDescent="0.3">
      <c r="B266" s="468"/>
      <c r="C266" s="428"/>
      <c r="D266" s="462"/>
      <c r="E266" s="463"/>
      <c r="F266" s="488"/>
      <c r="G266" s="463"/>
      <c r="H266" s="488"/>
      <c r="I266" s="463"/>
      <c r="J266" s="488"/>
      <c r="K266" s="458"/>
      <c r="L266" s="487"/>
      <c r="M266" s="459"/>
      <c r="N266" s="487"/>
      <c r="O266" s="458"/>
      <c r="P266" s="487"/>
      <c r="Q266" s="460"/>
      <c r="R266" s="487"/>
      <c r="S266" s="470"/>
      <c r="T266" s="449"/>
      <c r="U266" s="443"/>
      <c r="V266" s="674"/>
    </row>
    <row r="267" spans="2:24" s="32" customFormat="1" ht="17.25" thickBot="1" x14ac:dyDescent="0.35">
      <c r="B267" s="113"/>
      <c r="C267" s="114" t="str">
        <f>RAB!D61</f>
        <v>Pembesian Ulir</v>
      </c>
      <c r="D267" s="56"/>
      <c r="E267" s="213"/>
      <c r="F267" s="549"/>
      <c r="G267" s="213"/>
      <c r="H267" s="549"/>
      <c r="I267" s="213"/>
      <c r="J267" s="549"/>
      <c r="K267" s="181"/>
      <c r="L267" s="529"/>
      <c r="M267" s="182"/>
      <c r="N267" s="529"/>
      <c r="O267" s="181"/>
      <c r="P267" s="529"/>
      <c r="Q267" s="211"/>
      <c r="R267" s="529"/>
      <c r="S267" s="239"/>
      <c r="T267" s="54">
        <f>ROUNDDOWN(S273,2)</f>
        <v>361.24</v>
      </c>
      <c r="U267" s="50" t="s">
        <v>0</v>
      </c>
      <c r="V267" s="51"/>
      <c r="X267" s="120"/>
    </row>
    <row r="268" spans="2:24" s="32" customFormat="1" x14ac:dyDescent="0.3">
      <c r="B268" s="113"/>
      <c r="C268" s="114"/>
      <c r="D268" s="52" t="s">
        <v>95</v>
      </c>
      <c r="E268" s="155" t="s">
        <v>150</v>
      </c>
      <c r="F268" s="505"/>
      <c r="G268" s="155" t="s">
        <v>151</v>
      </c>
      <c r="H268" s="505"/>
      <c r="I268" s="155" t="s">
        <v>152</v>
      </c>
      <c r="J268" s="505"/>
      <c r="K268" s="155" t="s">
        <v>153</v>
      </c>
      <c r="L268" s="506"/>
      <c r="M268" s="164" t="s">
        <v>32</v>
      </c>
      <c r="N268" s="506"/>
      <c r="O268" s="206" t="s">
        <v>163</v>
      </c>
      <c r="P268" s="506"/>
      <c r="Q268" s="207" t="s">
        <v>151</v>
      </c>
      <c r="R268" s="506"/>
      <c r="S268" s="230" t="s">
        <v>143</v>
      </c>
      <c r="T268" s="53"/>
      <c r="U268" s="50"/>
      <c r="V268" s="51"/>
      <c r="W268" s="123"/>
    </row>
    <row r="269" spans="2:24" s="32" customFormat="1" x14ac:dyDescent="0.3">
      <c r="B269" s="113"/>
      <c r="C269" s="114"/>
      <c r="D269" s="277" t="s">
        <v>236</v>
      </c>
      <c r="E269" s="328">
        <v>4</v>
      </c>
      <c r="F269" s="509" t="s">
        <v>185</v>
      </c>
      <c r="G269" s="328"/>
      <c r="H269" s="510"/>
      <c r="I269" s="328"/>
      <c r="J269" s="510"/>
      <c r="K269" s="328">
        <v>6</v>
      </c>
      <c r="L269" s="509" t="s">
        <v>185</v>
      </c>
      <c r="M269" s="328">
        <f>K259</f>
        <v>4</v>
      </c>
      <c r="N269" s="509" t="s">
        <v>185</v>
      </c>
      <c r="O269" s="328">
        <v>7850</v>
      </c>
      <c r="P269" s="509" t="s">
        <v>185</v>
      </c>
      <c r="Q269" s="1162">
        <f>22/7*0.0095*0.0095</f>
        <v>2.8364285714285714E-4</v>
      </c>
      <c r="R269" s="509" t="s">
        <v>114</v>
      </c>
      <c r="S269" s="596">
        <f>E269*K269*M269*O269*Q269</f>
        <v>213.75325714285714</v>
      </c>
      <c r="T269" s="53"/>
      <c r="U269" s="50"/>
      <c r="V269" s="51"/>
    </row>
    <row r="270" spans="2:24" s="32" customFormat="1" x14ac:dyDescent="0.3">
      <c r="B270" s="113"/>
      <c r="C270" s="114"/>
      <c r="D270" s="278" t="s">
        <v>290</v>
      </c>
      <c r="E270" s="534">
        <f>V270/2+(40*0.019*2)</f>
        <v>3.52</v>
      </c>
      <c r="F270" s="514" t="s">
        <v>185</v>
      </c>
      <c r="G270" s="172"/>
      <c r="H270" s="543"/>
      <c r="I270" s="172"/>
      <c r="J270" s="543"/>
      <c r="K270" s="328">
        <v>3</v>
      </c>
      <c r="L270" s="514" t="s">
        <v>185</v>
      </c>
      <c r="M270" s="534">
        <f>M269</f>
        <v>4</v>
      </c>
      <c r="N270" s="514" t="s">
        <v>185</v>
      </c>
      <c r="O270" s="328">
        <v>7850</v>
      </c>
      <c r="P270" s="509" t="s">
        <v>185</v>
      </c>
      <c r="Q270" s="607">
        <f>22/7*0.0095*0.0095</f>
        <v>2.8364285714285714E-4</v>
      </c>
      <c r="R270" s="514" t="s">
        <v>114</v>
      </c>
      <c r="S270" s="596">
        <f>E270*K270*M270*O270*Q270</f>
        <v>94.05143314285715</v>
      </c>
      <c r="T270" s="53"/>
      <c r="U270" s="50"/>
      <c r="V270" s="51">
        <v>4</v>
      </c>
    </row>
    <row r="271" spans="2:24" s="32" customFormat="1" x14ac:dyDescent="0.3">
      <c r="B271" s="113"/>
      <c r="C271" s="114"/>
      <c r="D271" s="278" t="s">
        <v>288</v>
      </c>
      <c r="E271" s="534">
        <f>V271/2</f>
        <v>2</v>
      </c>
      <c r="F271" s="514" t="s">
        <v>185</v>
      </c>
      <c r="G271" s="172"/>
      <c r="H271" s="543"/>
      <c r="I271" s="172"/>
      <c r="J271" s="543"/>
      <c r="K271" s="328">
        <v>3</v>
      </c>
      <c r="L271" s="514" t="s">
        <v>185</v>
      </c>
      <c r="M271" s="534">
        <f>M270</f>
        <v>4</v>
      </c>
      <c r="N271" s="514" t="s">
        <v>185</v>
      </c>
      <c r="O271" s="328">
        <v>7850</v>
      </c>
      <c r="P271" s="509" t="s">
        <v>185</v>
      </c>
      <c r="Q271" s="607">
        <f>22/7*0.0095*0.0095</f>
        <v>2.8364285714285714E-4</v>
      </c>
      <c r="R271" s="514" t="s">
        <v>114</v>
      </c>
      <c r="S271" s="596">
        <f>E271*K271*M271*O271*Q271</f>
        <v>53.438314285714284</v>
      </c>
      <c r="T271" s="53"/>
      <c r="U271" s="50"/>
      <c r="V271" s="51">
        <v>4</v>
      </c>
    </row>
    <row r="272" spans="2:24" s="32" customFormat="1" x14ac:dyDescent="0.3">
      <c r="B272" s="113"/>
      <c r="C272" s="114"/>
      <c r="D272" s="282"/>
      <c r="E272" s="199"/>
      <c r="F272" s="545"/>
      <c r="G272" s="199"/>
      <c r="H272" s="546"/>
      <c r="I272" s="199"/>
      <c r="J272" s="546"/>
      <c r="K272" s="199"/>
      <c r="L272" s="545"/>
      <c r="M272" s="219"/>
      <c r="N272" s="545"/>
      <c r="O272" s="199"/>
      <c r="P272" s="545"/>
      <c r="Q272" s="283"/>
      <c r="R272" s="545"/>
      <c r="S272" s="272"/>
      <c r="T272" s="53"/>
      <c r="U272" s="50"/>
      <c r="V272" s="51"/>
    </row>
    <row r="273" spans="2:25" s="32" customFormat="1" ht="17.25" thickBot="1" x14ac:dyDescent="0.35">
      <c r="B273" s="113"/>
      <c r="C273" s="114"/>
      <c r="D273" s="3103" t="s">
        <v>164</v>
      </c>
      <c r="E273" s="3104"/>
      <c r="F273" s="3104"/>
      <c r="G273" s="3104"/>
      <c r="H273" s="3104"/>
      <c r="I273" s="3105"/>
      <c r="J273" s="548"/>
      <c r="K273" s="183"/>
      <c r="L273" s="532"/>
      <c r="M273" s="180"/>
      <c r="N273" s="532"/>
      <c r="O273" s="183"/>
      <c r="P273" s="532"/>
      <c r="Q273" s="210"/>
      <c r="R273" s="532"/>
      <c r="S273" s="240">
        <f>SUM(S269:S272)</f>
        <v>361.24300457142857</v>
      </c>
      <c r="T273" s="53"/>
      <c r="U273" s="50"/>
      <c r="V273" s="51"/>
    </row>
    <row r="274" spans="2:25" s="444" customFormat="1" x14ac:dyDescent="0.3">
      <c r="B274" s="468"/>
      <c r="C274" s="428"/>
      <c r="D274" s="462"/>
      <c r="E274" s="463"/>
      <c r="F274" s="488"/>
      <c r="G274" s="463"/>
      <c r="H274" s="488"/>
      <c r="I274" s="463"/>
      <c r="J274" s="488"/>
      <c r="K274" s="458"/>
      <c r="L274" s="487"/>
      <c r="M274" s="459"/>
      <c r="N274" s="487"/>
      <c r="O274" s="458"/>
      <c r="P274" s="487"/>
      <c r="Q274" s="460"/>
      <c r="R274" s="487"/>
      <c r="S274" s="470"/>
      <c r="T274" s="449"/>
      <c r="U274" s="443"/>
      <c r="V274" s="674"/>
    </row>
    <row r="275" spans="2:25" s="32" customFormat="1" ht="17.25" thickBot="1" x14ac:dyDescent="0.35">
      <c r="B275" s="113"/>
      <c r="C275" s="114" t="str">
        <f>RAB!D62</f>
        <v>Pembesian sengkang</v>
      </c>
      <c r="D275" s="56"/>
      <c r="E275" s="213"/>
      <c r="F275" s="549"/>
      <c r="G275" s="213"/>
      <c r="H275" s="549"/>
      <c r="I275" s="213"/>
      <c r="J275" s="549"/>
      <c r="K275" s="181"/>
      <c r="L275" s="529"/>
      <c r="M275" s="182"/>
      <c r="N275" s="529"/>
      <c r="O275" s="181"/>
      <c r="P275" s="529"/>
      <c r="Q275" s="211"/>
      <c r="R275" s="529"/>
      <c r="S275" s="239"/>
      <c r="T275" s="54">
        <f>ROUNDDOWN(S280,2)</f>
        <v>27.23</v>
      </c>
      <c r="U275" s="50" t="s">
        <v>0</v>
      </c>
      <c r="V275" s="51"/>
    </row>
    <row r="276" spans="2:25" s="32" customFormat="1" x14ac:dyDescent="0.3">
      <c r="B276" s="113"/>
      <c r="C276" s="114"/>
      <c r="D276" s="52" t="s">
        <v>95</v>
      </c>
      <c r="E276" s="155" t="s">
        <v>150</v>
      </c>
      <c r="F276" s="505"/>
      <c r="G276" s="155" t="s">
        <v>151</v>
      </c>
      <c r="H276" s="505"/>
      <c r="I276" s="155" t="s">
        <v>152</v>
      </c>
      <c r="J276" s="505"/>
      <c r="K276" s="155" t="s">
        <v>153</v>
      </c>
      <c r="L276" s="506"/>
      <c r="M276" s="164" t="s">
        <v>32</v>
      </c>
      <c r="N276" s="506"/>
      <c r="O276" s="206" t="s">
        <v>163</v>
      </c>
      <c r="P276" s="506"/>
      <c r="Q276" s="207" t="s">
        <v>151</v>
      </c>
      <c r="R276" s="506"/>
      <c r="S276" s="230" t="s">
        <v>143</v>
      </c>
      <c r="T276" s="53"/>
      <c r="U276" s="50"/>
      <c r="V276" s="51"/>
      <c r="W276" s="120"/>
      <c r="Y276" s="120"/>
    </row>
    <row r="277" spans="2:25" s="32" customFormat="1" x14ac:dyDescent="0.3">
      <c r="B277" s="113"/>
      <c r="C277" s="114"/>
      <c r="D277" s="275" t="s">
        <v>237</v>
      </c>
      <c r="E277" s="578">
        <f>(0.44+0.19)*2+(2*6*0.01)</f>
        <v>1.38</v>
      </c>
      <c r="F277" s="594" t="s">
        <v>185</v>
      </c>
      <c r="G277" s="578"/>
      <c r="H277" s="604"/>
      <c r="I277" s="578"/>
      <c r="J277" s="604"/>
      <c r="K277" s="578">
        <f>ROUNDDOWN(W277,0.3)+1</f>
        <v>19</v>
      </c>
      <c r="L277" s="594" t="s">
        <v>185</v>
      </c>
      <c r="M277" s="578">
        <v>1</v>
      </c>
      <c r="N277" s="594" t="s">
        <v>185</v>
      </c>
      <c r="O277" s="578">
        <v>7850</v>
      </c>
      <c r="P277" s="594" t="s">
        <v>185</v>
      </c>
      <c r="Q277" s="1163">
        <f>22/7*0.005*0.005</f>
        <v>7.857142857142858E-5</v>
      </c>
      <c r="R277" s="594" t="s">
        <v>114</v>
      </c>
      <c r="S277" s="595">
        <f>E277*K277*M277*O277*Q277</f>
        <v>16.17212142857143</v>
      </c>
      <c r="T277" s="53"/>
      <c r="U277" s="50"/>
      <c r="V277" s="51"/>
      <c r="W277" s="120">
        <f>(E259/2)/0.1</f>
        <v>18</v>
      </c>
      <c r="X277" s="120"/>
      <c r="Y277" s="120"/>
    </row>
    <row r="278" spans="2:25" s="32" customFormat="1" x14ac:dyDescent="0.3">
      <c r="B278" s="113"/>
      <c r="C278" s="114"/>
      <c r="D278" s="1164" t="s">
        <v>237</v>
      </c>
      <c r="E278" s="1165">
        <f>(0.44+0.19)*2+(2*6*0.01)</f>
        <v>1.38</v>
      </c>
      <c r="F278" s="1166" t="s">
        <v>185</v>
      </c>
      <c r="G278" s="1165"/>
      <c r="H278" s="1167"/>
      <c r="I278" s="1165"/>
      <c r="J278" s="1167"/>
      <c r="K278" s="1165">
        <f>ROUNDDOWN(W278,0.3)+1</f>
        <v>13</v>
      </c>
      <c r="L278" s="1166" t="s">
        <v>185</v>
      </c>
      <c r="M278" s="1165">
        <v>1</v>
      </c>
      <c r="N278" s="1166" t="s">
        <v>185</v>
      </c>
      <c r="O278" s="1165">
        <v>7850</v>
      </c>
      <c r="P278" s="1166" t="s">
        <v>185</v>
      </c>
      <c r="Q278" s="1168">
        <f>22/7*0.005*0.005</f>
        <v>7.857142857142858E-5</v>
      </c>
      <c r="R278" s="1166" t="s">
        <v>114</v>
      </c>
      <c r="S278" s="1169">
        <f>E278*K278*M278*O278*Q278</f>
        <v>11.065135714285713</v>
      </c>
      <c r="T278" s="53"/>
      <c r="U278" s="50"/>
      <c r="V278" s="51"/>
      <c r="W278" s="120">
        <f>(E259/2)/0.15</f>
        <v>12</v>
      </c>
      <c r="X278" s="120"/>
      <c r="Y278" s="120"/>
    </row>
    <row r="279" spans="2:25" s="32" customFormat="1" x14ac:dyDescent="0.3">
      <c r="B279" s="113"/>
      <c r="C279" s="114"/>
      <c r="D279" s="49"/>
      <c r="E279" s="157"/>
      <c r="F279" s="598"/>
      <c r="G279" s="157"/>
      <c r="H279" s="598"/>
      <c r="I279" s="157"/>
      <c r="J279" s="598"/>
      <c r="K279" s="157"/>
      <c r="L279" s="598"/>
      <c r="M279" s="184"/>
      <c r="N279" s="598"/>
      <c r="O279" s="157"/>
      <c r="P279" s="598"/>
      <c r="Q279" s="209"/>
      <c r="R279" s="598"/>
      <c r="S279" s="237"/>
      <c r="T279" s="53"/>
      <c r="U279" s="50"/>
      <c r="V279" s="51"/>
    </row>
    <row r="280" spans="2:25" s="32" customFormat="1" ht="17.25" thickBot="1" x14ac:dyDescent="0.35">
      <c r="B280" s="113"/>
      <c r="C280" s="114"/>
      <c r="D280" s="3103" t="s">
        <v>164</v>
      </c>
      <c r="E280" s="3104"/>
      <c r="F280" s="3104"/>
      <c r="G280" s="3104"/>
      <c r="H280" s="3104"/>
      <c r="I280" s="3105"/>
      <c r="J280" s="548"/>
      <c r="K280" s="183"/>
      <c r="L280" s="532"/>
      <c r="M280" s="180"/>
      <c r="N280" s="532"/>
      <c r="O280" s="183"/>
      <c r="P280" s="532"/>
      <c r="Q280" s="210"/>
      <c r="R280" s="532"/>
      <c r="S280" s="240">
        <f>SUM(S277:S279)</f>
        <v>27.237257142857143</v>
      </c>
      <c r="T280" s="53"/>
      <c r="U280" s="50"/>
      <c r="V280" s="51"/>
    </row>
    <row r="281" spans="2:25" s="444" customFormat="1" x14ac:dyDescent="0.3">
      <c r="B281" s="468"/>
      <c r="C281" s="428"/>
      <c r="D281" s="462"/>
      <c r="E281" s="463"/>
      <c r="F281" s="488"/>
      <c r="G281" s="463"/>
      <c r="H281" s="488"/>
      <c r="I281" s="463"/>
      <c r="J281" s="488"/>
      <c r="K281" s="458"/>
      <c r="L281" s="487"/>
      <c r="M281" s="459"/>
      <c r="N281" s="487"/>
      <c r="O281" s="458"/>
      <c r="P281" s="487"/>
      <c r="Q281" s="460"/>
      <c r="R281" s="487"/>
      <c r="S281" s="470"/>
      <c r="T281" s="449"/>
      <c r="U281" s="443"/>
      <c r="V281" s="674"/>
    </row>
    <row r="282" spans="2:25" s="32" customFormat="1" ht="17.25" thickBot="1" x14ac:dyDescent="0.35">
      <c r="B282" s="113"/>
      <c r="C282" s="114" t="str">
        <f>RAB!D63</f>
        <v>Bekisting Balok</v>
      </c>
      <c r="D282" s="56"/>
      <c r="E282" s="213"/>
      <c r="F282" s="549"/>
      <c r="G282" s="213"/>
      <c r="H282" s="549"/>
      <c r="I282" s="213"/>
      <c r="J282" s="549"/>
      <c r="K282" s="181"/>
      <c r="L282" s="529"/>
      <c r="M282" s="182"/>
      <c r="N282" s="529"/>
      <c r="O282" s="181"/>
      <c r="P282" s="529"/>
      <c r="Q282" s="211"/>
      <c r="R282" s="529"/>
      <c r="S282" s="239"/>
      <c r="T282" s="54">
        <f>ROUNDDOWN(Q286,2)</f>
        <v>14.54</v>
      </c>
      <c r="U282" s="50" t="s">
        <v>2</v>
      </c>
      <c r="V282" s="51"/>
    </row>
    <row r="283" spans="2:25" s="32" customFormat="1" x14ac:dyDescent="0.3">
      <c r="B283" s="113"/>
      <c r="C283" s="114"/>
      <c r="D283" s="52" t="s">
        <v>95</v>
      </c>
      <c r="E283" s="155" t="s">
        <v>150</v>
      </c>
      <c r="F283" s="505"/>
      <c r="G283" s="155" t="s">
        <v>151</v>
      </c>
      <c r="H283" s="505"/>
      <c r="I283" s="155" t="s">
        <v>152</v>
      </c>
      <c r="J283" s="505"/>
      <c r="K283" s="155" t="s">
        <v>153</v>
      </c>
      <c r="L283" s="506"/>
      <c r="M283" s="164" t="s">
        <v>32</v>
      </c>
      <c r="N283" s="506"/>
      <c r="O283" s="206" t="s">
        <v>163</v>
      </c>
      <c r="P283" s="506"/>
      <c r="Q283" s="207" t="s">
        <v>151</v>
      </c>
      <c r="R283" s="506"/>
      <c r="S283" s="230" t="s">
        <v>143</v>
      </c>
      <c r="T283" s="53"/>
      <c r="U283" s="50"/>
      <c r="V283" s="51"/>
    </row>
    <row r="284" spans="2:25" s="32" customFormat="1" x14ac:dyDescent="0.3">
      <c r="B284" s="113"/>
      <c r="C284" s="114"/>
      <c r="D284" s="275" t="s">
        <v>156</v>
      </c>
      <c r="E284" s="578">
        <f>E259</f>
        <v>3.6</v>
      </c>
      <c r="F284" s="594" t="s">
        <v>185</v>
      </c>
      <c r="G284" s="578">
        <f>(2*I259)+G259</f>
        <v>1.01</v>
      </c>
      <c r="H284" s="594" t="s">
        <v>185</v>
      </c>
      <c r="I284" s="578"/>
      <c r="J284" s="594"/>
      <c r="K284" s="578">
        <f>K259</f>
        <v>4</v>
      </c>
      <c r="L284" s="594"/>
      <c r="M284" s="578"/>
      <c r="N284" s="594"/>
      <c r="O284" s="578"/>
      <c r="P284" s="594" t="s">
        <v>114</v>
      </c>
      <c r="Q284" s="578">
        <f>E284*G284*K284</f>
        <v>14.544</v>
      </c>
      <c r="R284" s="594"/>
      <c r="S284" s="595"/>
      <c r="T284" s="53"/>
      <c r="U284" s="50"/>
      <c r="V284" s="51"/>
    </row>
    <row r="285" spans="2:25" s="32" customFormat="1" x14ac:dyDescent="0.3">
      <c r="B285" s="113"/>
      <c r="C285" s="114"/>
      <c r="D285" s="282"/>
      <c r="E285" s="592"/>
      <c r="F285" s="593"/>
      <c r="G285" s="592"/>
      <c r="H285" s="593"/>
      <c r="I285" s="592"/>
      <c r="J285" s="593"/>
      <c r="K285" s="592"/>
      <c r="L285" s="593"/>
      <c r="M285" s="592"/>
      <c r="N285" s="593"/>
      <c r="O285" s="592"/>
      <c r="P285" s="593"/>
      <c r="Q285" s="592"/>
      <c r="R285" s="593"/>
      <c r="S285" s="599"/>
      <c r="T285" s="53"/>
      <c r="U285" s="50"/>
      <c r="V285" s="51"/>
    </row>
    <row r="286" spans="2:25" s="32" customFormat="1" ht="17.25" thickBot="1" x14ac:dyDescent="0.35">
      <c r="B286" s="113"/>
      <c r="C286" s="114"/>
      <c r="D286" s="3103" t="s">
        <v>164</v>
      </c>
      <c r="E286" s="3104"/>
      <c r="F286" s="3104"/>
      <c r="G286" s="3104"/>
      <c r="H286" s="3104"/>
      <c r="I286" s="3105"/>
      <c r="J286" s="548"/>
      <c r="K286" s="183"/>
      <c r="L286" s="532"/>
      <c r="M286" s="180"/>
      <c r="N286" s="532"/>
      <c r="O286" s="183"/>
      <c r="P286" s="532"/>
      <c r="Q286" s="601">
        <f>SUM(Q284:Q285)</f>
        <v>14.544</v>
      </c>
      <c r="R286" s="532"/>
      <c r="S286" s="240"/>
      <c r="T286" s="53"/>
      <c r="U286" s="50"/>
      <c r="V286" s="51"/>
    </row>
    <row r="287" spans="2:25" x14ac:dyDescent="0.3">
      <c r="B287" s="464"/>
      <c r="C287" s="465"/>
      <c r="D287" s="453"/>
      <c r="E287" s="455"/>
      <c r="F287" s="485"/>
      <c r="G287" s="455"/>
      <c r="H287" s="485"/>
      <c r="I287" s="455"/>
      <c r="J287" s="485"/>
      <c r="K287" s="438"/>
      <c r="L287" s="482"/>
      <c r="M287" s="439"/>
      <c r="N287" s="482"/>
      <c r="O287" s="438"/>
      <c r="P287" s="482"/>
      <c r="Q287" s="440"/>
      <c r="R287" s="482"/>
      <c r="S287" s="454"/>
    </row>
    <row r="288" spans="2:25" s="1" customFormat="1" x14ac:dyDescent="0.3">
      <c r="B288" s="1170">
        <f>RAB!B64</f>
        <v>9</v>
      </c>
      <c r="C288" s="60" t="str">
        <f>RAB!C64</f>
        <v>Balok 20x40 Cm (B2)</v>
      </c>
      <c r="D288" s="16"/>
      <c r="E288" s="216"/>
      <c r="F288" s="602"/>
      <c r="G288" s="216"/>
      <c r="H288" s="602"/>
      <c r="I288" s="216"/>
      <c r="J288" s="602"/>
      <c r="K288" s="181"/>
      <c r="L288" s="529"/>
      <c r="M288" s="182"/>
      <c r="N288" s="529"/>
      <c r="O288" s="181"/>
      <c r="P288" s="529"/>
      <c r="Q288" s="181"/>
      <c r="R288" s="529"/>
      <c r="S288" s="239"/>
      <c r="T288" s="66"/>
      <c r="U288" s="2"/>
      <c r="V288" s="43"/>
    </row>
    <row r="289" spans="2:24" s="1" customFormat="1" ht="17.25" thickBot="1" x14ac:dyDescent="0.35">
      <c r="B289" s="59"/>
      <c r="C289" s="60" t="str">
        <f>RAB!D65</f>
        <v xml:space="preserve">Beton mutu f'c=26,4 Mpa </v>
      </c>
      <c r="D289" s="16"/>
      <c r="E289" s="216"/>
      <c r="F289" s="602"/>
      <c r="G289" s="216"/>
      <c r="H289" s="602"/>
      <c r="I289" s="216"/>
      <c r="J289" s="602"/>
      <c r="K289" s="181"/>
      <c r="L289" s="529"/>
      <c r="M289" s="182"/>
      <c r="N289" s="529"/>
      <c r="O289" s="181"/>
      <c r="P289" s="529"/>
      <c r="Q289" s="181"/>
      <c r="R289" s="529"/>
      <c r="S289" s="239"/>
      <c r="T289" s="18">
        <f>ROUNDDOWN(S303,2)</f>
        <v>17.96</v>
      </c>
      <c r="U289" s="2" t="s">
        <v>3</v>
      </c>
      <c r="V289" s="43"/>
    </row>
    <row r="290" spans="2:24" s="1" customFormat="1" x14ac:dyDescent="0.3">
      <c r="B290" s="59"/>
      <c r="C290" s="60"/>
      <c r="D290" s="8" t="s">
        <v>95</v>
      </c>
      <c r="E290" s="155" t="s">
        <v>150</v>
      </c>
      <c r="F290" s="505"/>
      <c r="G290" s="155" t="s">
        <v>151</v>
      </c>
      <c r="H290" s="505"/>
      <c r="I290" s="155" t="s">
        <v>152</v>
      </c>
      <c r="J290" s="505"/>
      <c r="K290" s="155" t="s">
        <v>153</v>
      </c>
      <c r="L290" s="506"/>
      <c r="M290" s="164" t="s">
        <v>32</v>
      </c>
      <c r="N290" s="506"/>
      <c r="O290" s="206" t="s">
        <v>163</v>
      </c>
      <c r="P290" s="506"/>
      <c r="Q290" s="206" t="s">
        <v>151</v>
      </c>
      <c r="R290" s="506"/>
      <c r="S290" s="230" t="s">
        <v>143</v>
      </c>
      <c r="T290" s="66"/>
      <c r="U290" s="2"/>
      <c r="V290" s="43"/>
    </row>
    <row r="291" spans="2:24" s="1" customFormat="1" x14ac:dyDescent="0.3">
      <c r="B291" s="59"/>
      <c r="C291" s="60"/>
      <c r="D291" s="1173" t="s">
        <v>156</v>
      </c>
      <c r="E291" s="331">
        <f>4-0.4</f>
        <v>3.6</v>
      </c>
      <c r="F291" s="594" t="s">
        <v>185</v>
      </c>
      <c r="G291" s="578">
        <v>0.2</v>
      </c>
      <c r="H291" s="604" t="s">
        <v>185</v>
      </c>
      <c r="I291" s="578">
        <f>0.4-0.12</f>
        <v>0.28000000000000003</v>
      </c>
      <c r="J291" s="594"/>
      <c r="K291" s="578">
        <v>9</v>
      </c>
      <c r="L291" s="517" t="s">
        <v>185</v>
      </c>
      <c r="M291" s="578">
        <v>2</v>
      </c>
      <c r="N291" s="594"/>
      <c r="O291" s="578"/>
      <c r="P291" s="594"/>
      <c r="Q291" s="578"/>
      <c r="R291" s="594" t="s">
        <v>114</v>
      </c>
      <c r="S291" s="595">
        <f t="shared" ref="S291:S296" si="3">E291*G291*I291*K291*M291</f>
        <v>3.6288000000000005</v>
      </c>
      <c r="T291" s="66"/>
      <c r="U291" s="2"/>
      <c r="V291" s="43"/>
    </row>
    <row r="292" spans="2:24" s="1" customFormat="1" x14ac:dyDescent="0.3">
      <c r="B292" s="59"/>
      <c r="C292" s="60"/>
      <c r="D292" s="288"/>
      <c r="E292" s="1161">
        <f>4-0.4</f>
        <v>3.6</v>
      </c>
      <c r="F292" s="509" t="s">
        <v>185</v>
      </c>
      <c r="G292" s="328">
        <v>0.2</v>
      </c>
      <c r="H292" s="510" t="s">
        <v>185</v>
      </c>
      <c r="I292" s="328">
        <f>I291</f>
        <v>0.28000000000000003</v>
      </c>
      <c r="J292" s="509"/>
      <c r="K292" s="328">
        <v>6</v>
      </c>
      <c r="L292" s="517" t="s">
        <v>185</v>
      </c>
      <c r="M292" s="328">
        <v>2</v>
      </c>
      <c r="N292" s="509"/>
      <c r="O292" s="328"/>
      <c r="P292" s="509"/>
      <c r="Q292" s="328"/>
      <c r="R292" s="509" t="s">
        <v>114</v>
      </c>
      <c r="S292" s="596">
        <f t="shared" si="3"/>
        <v>2.4192000000000005</v>
      </c>
      <c r="T292" s="66"/>
      <c r="U292" s="2"/>
      <c r="V292" s="43"/>
      <c r="X292" s="325"/>
    </row>
    <row r="293" spans="2:24" s="1" customFormat="1" x14ac:dyDescent="0.3">
      <c r="B293" s="59"/>
      <c r="C293" s="60"/>
      <c r="D293" s="288"/>
      <c r="E293" s="1161">
        <f>4-0.4</f>
        <v>3.6</v>
      </c>
      <c r="F293" s="509" t="s">
        <v>185</v>
      </c>
      <c r="G293" s="328">
        <v>0.2</v>
      </c>
      <c r="H293" s="510" t="s">
        <v>185</v>
      </c>
      <c r="I293" s="328">
        <f>I292</f>
        <v>0.28000000000000003</v>
      </c>
      <c r="J293" s="509"/>
      <c r="K293" s="328">
        <v>8</v>
      </c>
      <c r="L293" s="517" t="s">
        <v>185</v>
      </c>
      <c r="M293" s="328">
        <v>2</v>
      </c>
      <c r="N293" s="509"/>
      <c r="O293" s="328"/>
      <c r="P293" s="509"/>
      <c r="Q293" s="328"/>
      <c r="R293" s="509" t="s">
        <v>114</v>
      </c>
      <c r="S293" s="596">
        <f t="shared" si="3"/>
        <v>3.2256000000000005</v>
      </c>
      <c r="T293" s="66"/>
      <c r="U293" s="2"/>
      <c r="V293" s="43"/>
    </row>
    <row r="294" spans="2:24" s="1" customFormat="1" x14ac:dyDescent="0.3">
      <c r="B294" s="59"/>
      <c r="C294" s="60"/>
      <c r="D294" s="138" t="s">
        <v>157</v>
      </c>
      <c r="E294" s="1161">
        <f>4-0.4</f>
        <v>3.6</v>
      </c>
      <c r="F294" s="509" t="s">
        <v>185</v>
      </c>
      <c r="G294" s="328">
        <v>0.2</v>
      </c>
      <c r="H294" s="510" t="s">
        <v>185</v>
      </c>
      <c r="I294" s="328">
        <f>I293</f>
        <v>0.28000000000000003</v>
      </c>
      <c r="J294" s="509"/>
      <c r="K294" s="328">
        <v>5</v>
      </c>
      <c r="L294" s="517" t="s">
        <v>185</v>
      </c>
      <c r="M294" s="328">
        <v>2</v>
      </c>
      <c r="N294" s="509"/>
      <c r="O294" s="328"/>
      <c r="P294" s="509"/>
      <c r="Q294" s="328"/>
      <c r="R294" s="509" t="s">
        <v>114</v>
      </c>
      <c r="S294" s="596">
        <f t="shared" si="3"/>
        <v>2.0160000000000005</v>
      </c>
      <c r="T294" s="66"/>
      <c r="U294" s="2"/>
      <c r="V294" s="43"/>
    </row>
    <row r="295" spans="2:24" s="1" customFormat="1" x14ac:dyDescent="0.3">
      <c r="B295" s="59"/>
      <c r="C295" s="60"/>
      <c r="D295" s="288"/>
      <c r="E295" s="1161">
        <f>4-0.4</f>
        <v>3.6</v>
      </c>
      <c r="F295" s="509" t="s">
        <v>185</v>
      </c>
      <c r="G295" s="328">
        <v>0.2</v>
      </c>
      <c r="H295" s="510" t="s">
        <v>185</v>
      </c>
      <c r="I295" s="328">
        <f>I294</f>
        <v>0.28000000000000003</v>
      </c>
      <c r="J295" s="509"/>
      <c r="K295" s="328">
        <v>8</v>
      </c>
      <c r="L295" s="517" t="s">
        <v>185</v>
      </c>
      <c r="M295" s="328">
        <v>4</v>
      </c>
      <c r="N295" s="509"/>
      <c r="O295" s="328"/>
      <c r="P295" s="509"/>
      <c r="Q295" s="328"/>
      <c r="R295" s="509" t="s">
        <v>1323</v>
      </c>
      <c r="S295" s="596">
        <f t="shared" si="3"/>
        <v>6.4512000000000009</v>
      </c>
      <c r="T295" s="66"/>
      <c r="U295" s="2"/>
      <c r="V295" s="43"/>
      <c r="X295" s="325"/>
    </row>
    <row r="296" spans="2:24" s="1" customFormat="1" x14ac:dyDescent="0.3">
      <c r="B296" s="59"/>
      <c r="C296" s="60"/>
      <c r="D296" s="288"/>
      <c r="E296" s="1174">
        <f>1.5-0.125</f>
        <v>1.375</v>
      </c>
      <c r="F296" s="509" t="s">
        <v>185</v>
      </c>
      <c r="G296" s="328">
        <v>0.2</v>
      </c>
      <c r="H296" s="510" t="s">
        <v>185</v>
      </c>
      <c r="I296" s="328">
        <f>I295</f>
        <v>0.28000000000000003</v>
      </c>
      <c r="J296" s="509"/>
      <c r="K296" s="328">
        <v>4</v>
      </c>
      <c r="L296" s="517" t="s">
        <v>185</v>
      </c>
      <c r="M296" s="328">
        <v>4</v>
      </c>
      <c r="N296" s="509"/>
      <c r="O296" s="328"/>
      <c r="P296" s="509"/>
      <c r="Q296" s="328"/>
      <c r="R296" s="509" t="s">
        <v>1323</v>
      </c>
      <c r="S296" s="596">
        <f t="shared" si="3"/>
        <v>1.2320000000000002</v>
      </c>
      <c r="T296" s="66"/>
      <c r="U296" s="2"/>
      <c r="V296" s="43"/>
      <c r="X296" s="325"/>
    </row>
    <row r="297" spans="2:24" s="1" customFormat="1" x14ac:dyDescent="0.3">
      <c r="B297" s="59"/>
      <c r="C297" s="60"/>
      <c r="D297" s="288"/>
      <c r="E297" s="1174"/>
      <c r="F297" s="509"/>
      <c r="G297" s="328"/>
      <c r="H297" s="510"/>
      <c r="I297" s="328"/>
      <c r="J297" s="509"/>
      <c r="K297" s="328"/>
      <c r="L297" s="517"/>
      <c r="M297" s="328"/>
      <c r="N297" s="509"/>
      <c r="O297" s="328"/>
      <c r="P297" s="509"/>
      <c r="Q297" s="328"/>
      <c r="R297" s="509"/>
      <c r="S297" s="1176">
        <f>SUM(S291:S296)</f>
        <v>18.972800000000003</v>
      </c>
      <c r="T297" s="66"/>
      <c r="U297" s="2"/>
      <c r="V297" s="43"/>
      <c r="X297" s="325"/>
    </row>
    <row r="298" spans="2:24" x14ac:dyDescent="0.3">
      <c r="B298" s="341"/>
      <c r="C298" s="342"/>
      <c r="D298" s="138" t="s">
        <v>244</v>
      </c>
      <c r="E298" s="328"/>
      <c r="F298" s="509"/>
      <c r="G298" s="328"/>
      <c r="H298" s="509"/>
      <c r="I298" s="328"/>
      <c r="J298" s="509"/>
      <c r="K298" s="328"/>
      <c r="L298" s="509"/>
      <c r="M298" s="328"/>
      <c r="N298" s="509"/>
      <c r="O298" s="328"/>
      <c r="P298" s="517"/>
      <c r="Q298" s="328"/>
      <c r="R298" s="517"/>
      <c r="S298" s="519"/>
    </row>
    <row r="299" spans="2:24" x14ac:dyDescent="0.3">
      <c r="B299" s="341"/>
      <c r="C299" s="342"/>
      <c r="D299" s="140" t="s">
        <v>733</v>
      </c>
      <c r="E299" s="328"/>
      <c r="F299" s="509"/>
      <c r="G299" s="328"/>
      <c r="H299" s="509"/>
      <c r="I299" s="328"/>
      <c r="J299" s="509"/>
      <c r="K299" s="328">
        <f>S325</f>
        <v>5848.3838537142856</v>
      </c>
      <c r="L299" s="517" t="s">
        <v>253</v>
      </c>
      <c r="M299" s="328"/>
      <c r="N299" s="517"/>
      <c r="O299" s="328">
        <v>7850</v>
      </c>
      <c r="P299" s="517"/>
      <c r="Q299" s="328"/>
      <c r="R299" s="509" t="s">
        <v>1323</v>
      </c>
      <c r="S299" s="519">
        <f>K299/O299</f>
        <v>0.74501705142857144</v>
      </c>
    </row>
    <row r="300" spans="2:24" s="1" customFormat="1" x14ac:dyDescent="0.3">
      <c r="B300" s="59"/>
      <c r="C300" s="60"/>
      <c r="D300" s="140" t="s">
        <v>734</v>
      </c>
      <c r="E300" s="328"/>
      <c r="F300" s="509"/>
      <c r="G300" s="328"/>
      <c r="H300" s="509"/>
      <c r="I300" s="328"/>
      <c r="J300" s="509"/>
      <c r="K300" s="328">
        <f>S336</f>
        <v>2083.6501714285719</v>
      </c>
      <c r="L300" s="517" t="s">
        <v>253</v>
      </c>
      <c r="M300" s="328"/>
      <c r="N300" s="517"/>
      <c r="O300" s="328">
        <f>O299</f>
        <v>7850</v>
      </c>
      <c r="P300" s="517"/>
      <c r="Q300" s="328"/>
      <c r="R300" s="509" t="s">
        <v>1323</v>
      </c>
      <c r="S300" s="519">
        <f>K300/O300</f>
        <v>0.26543314285714292</v>
      </c>
      <c r="T300" s="66"/>
      <c r="U300" s="2"/>
      <c r="V300" s="43"/>
    </row>
    <row r="301" spans="2:24" s="1" customFormat="1" x14ac:dyDescent="0.3">
      <c r="B301" s="59"/>
      <c r="C301" s="60"/>
      <c r="D301" s="555"/>
      <c r="E301" s="554"/>
      <c r="F301" s="556"/>
      <c r="G301" s="554"/>
      <c r="H301" s="556"/>
      <c r="I301" s="554"/>
      <c r="J301" s="556"/>
      <c r="K301" s="554"/>
      <c r="L301" s="526"/>
      <c r="M301" s="554"/>
      <c r="N301" s="526"/>
      <c r="O301" s="554"/>
      <c r="P301" s="526"/>
      <c r="Q301" s="554"/>
      <c r="R301" s="526"/>
      <c r="S301" s="1177">
        <f>SUM(S299:S300)</f>
        <v>1.0104501942857143</v>
      </c>
      <c r="T301" s="66"/>
      <c r="U301" s="2"/>
      <c r="V301" s="43"/>
    </row>
    <row r="302" spans="2:24" x14ac:dyDescent="0.3">
      <c r="B302" s="341"/>
      <c r="C302" s="342"/>
      <c r="D302" s="466"/>
      <c r="E302" s="580"/>
      <c r="F302" s="581"/>
      <c r="G302" s="580"/>
      <c r="H302" s="581"/>
      <c r="I302" s="580"/>
      <c r="J302" s="581"/>
      <c r="K302" s="580"/>
      <c r="L302" s="581"/>
      <c r="M302" s="503"/>
      <c r="N302" s="581"/>
      <c r="O302" s="580"/>
      <c r="P302" s="581"/>
      <c r="Q302" s="580"/>
      <c r="R302" s="581"/>
      <c r="S302" s="550"/>
    </row>
    <row r="303" spans="2:24" s="1" customFormat="1" ht="17.25" thickBot="1" x14ac:dyDescent="0.35">
      <c r="B303" s="59"/>
      <c r="C303" s="60"/>
      <c r="D303" s="3093" t="s">
        <v>164</v>
      </c>
      <c r="E303" s="3093"/>
      <c r="F303" s="3093"/>
      <c r="G303" s="3093"/>
      <c r="H303" s="3093"/>
      <c r="I303" s="3093"/>
      <c r="J303" s="524"/>
      <c r="K303" s="183"/>
      <c r="L303" s="532"/>
      <c r="M303" s="180"/>
      <c r="N303" s="532"/>
      <c r="O303" s="183"/>
      <c r="P303" s="532"/>
      <c r="Q303" s="183"/>
      <c r="R303" s="532"/>
      <c r="S303" s="240">
        <f>S297-S301</f>
        <v>17.96234980571429</v>
      </c>
      <c r="T303" s="66"/>
      <c r="U303" s="2"/>
      <c r="V303" s="43"/>
    </row>
    <row r="304" spans="2:24" x14ac:dyDescent="0.3">
      <c r="B304" s="341"/>
      <c r="C304" s="342"/>
      <c r="D304" s="343"/>
      <c r="E304" s="471"/>
      <c r="F304" s="489"/>
      <c r="G304" s="471"/>
      <c r="H304" s="489"/>
      <c r="I304" s="471"/>
      <c r="J304" s="489"/>
      <c r="K304" s="458"/>
      <c r="L304" s="487"/>
      <c r="M304" s="459"/>
      <c r="N304" s="487"/>
      <c r="O304" s="458"/>
      <c r="P304" s="487"/>
      <c r="Q304" s="458"/>
      <c r="R304" s="487"/>
      <c r="S304" s="470"/>
    </row>
    <row r="305" spans="2:24" s="1" customFormat="1" ht="17.25" thickBot="1" x14ac:dyDescent="0.35">
      <c r="B305" s="59"/>
      <c r="C305" s="60" t="str">
        <f>RAB!D66</f>
        <v>Pembesian Ulir</v>
      </c>
      <c r="D305" s="16"/>
      <c r="E305" s="216"/>
      <c r="F305" s="602"/>
      <c r="G305" s="216"/>
      <c r="H305" s="602"/>
      <c r="I305" s="216"/>
      <c r="J305" s="602"/>
      <c r="K305" s="181"/>
      <c r="L305" s="529"/>
      <c r="M305" s="182"/>
      <c r="N305" s="529"/>
      <c r="O305" s="181"/>
      <c r="P305" s="529"/>
      <c r="Q305" s="181"/>
      <c r="R305" s="529"/>
      <c r="S305" s="239"/>
      <c r="T305" s="18">
        <f>ROUNDDOWN(S325,2)</f>
        <v>5848.38</v>
      </c>
      <c r="U305" s="2" t="s">
        <v>0</v>
      </c>
      <c r="V305" s="43"/>
      <c r="X305" s="37"/>
    </row>
    <row r="306" spans="2:24" s="1" customFormat="1" x14ac:dyDescent="0.3">
      <c r="B306" s="59"/>
      <c r="C306" s="60"/>
      <c r="D306" s="8" t="s">
        <v>95</v>
      </c>
      <c r="E306" s="155" t="s">
        <v>150</v>
      </c>
      <c r="F306" s="505"/>
      <c r="G306" s="155" t="s">
        <v>151</v>
      </c>
      <c r="H306" s="505"/>
      <c r="I306" s="155" t="s">
        <v>152</v>
      </c>
      <c r="J306" s="505"/>
      <c r="K306" s="155" t="s">
        <v>153</v>
      </c>
      <c r="L306" s="506"/>
      <c r="M306" s="164" t="s">
        <v>32</v>
      </c>
      <c r="N306" s="506"/>
      <c r="O306" s="206" t="s">
        <v>163</v>
      </c>
      <c r="P306" s="506"/>
      <c r="Q306" s="206" t="s">
        <v>151</v>
      </c>
      <c r="R306" s="506"/>
      <c r="S306" s="230" t="s">
        <v>143</v>
      </c>
      <c r="T306" s="66"/>
      <c r="U306" s="2"/>
      <c r="V306" s="43"/>
      <c r="W306" s="325"/>
    </row>
    <row r="307" spans="2:24" x14ac:dyDescent="0.3">
      <c r="B307" s="341"/>
      <c r="C307" s="342"/>
      <c r="D307" s="277" t="s">
        <v>1327</v>
      </c>
      <c r="E307" s="328">
        <v>4</v>
      </c>
      <c r="F307" s="509" t="s">
        <v>185</v>
      </c>
      <c r="G307" s="328"/>
      <c r="H307" s="510"/>
      <c r="I307" s="328"/>
      <c r="J307" s="510"/>
      <c r="K307" s="328">
        <v>6</v>
      </c>
      <c r="L307" s="509" t="s">
        <v>185</v>
      </c>
      <c r="M307" s="328">
        <f>K291*M291</f>
        <v>18</v>
      </c>
      <c r="N307" s="509" t="s">
        <v>185</v>
      </c>
      <c r="O307" s="328">
        <v>7850</v>
      </c>
      <c r="P307" s="509" t="s">
        <v>185</v>
      </c>
      <c r="Q307" s="1162">
        <f>22/7*0.008*0.008</f>
        <v>2.0114285714285715E-4</v>
      </c>
      <c r="R307" s="509" t="s">
        <v>114</v>
      </c>
      <c r="S307" s="596">
        <f t="shared" ref="S307:S315" si="4">E307*K307*M307*O307*Q307</f>
        <v>682.11565714285712</v>
      </c>
      <c r="T307" s="53"/>
      <c r="U307" s="50"/>
      <c r="V307" s="51"/>
    </row>
    <row r="308" spans="2:24" x14ac:dyDescent="0.3">
      <c r="B308" s="341"/>
      <c r="C308" s="342"/>
      <c r="D308" s="279" t="s">
        <v>1320</v>
      </c>
      <c r="E308" s="534">
        <f>V308/2+(40*0.016*2)</f>
        <v>3.2800000000000002</v>
      </c>
      <c r="F308" s="514" t="s">
        <v>185</v>
      </c>
      <c r="G308" s="172"/>
      <c r="H308" s="543"/>
      <c r="I308" s="172"/>
      <c r="J308" s="543"/>
      <c r="K308" s="328">
        <v>3</v>
      </c>
      <c r="L308" s="514" t="s">
        <v>185</v>
      </c>
      <c r="M308" s="534">
        <f>M307</f>
        <v>18</v>
      </c>
      <c r="N308" s="514" t="s">
        <v>185</v>
      </c>
      <c r="O308" s="328">
        <v>7850</v>
      </c>
      <c r="P308" s="509" t="s">
        <v>185</v>
      </c>
      <c r="Q308" s="607">
        <f>Q307</f>
        <v>2.0114285714285715E-4</v>
      </c>
      <c r="R308" s="514" t="s">
        <v>114</v>
      </c>
      <c r="S308" s="596">
        <f t="shared" si="4"/>
        <v>279.66741942857141</v>
      </c>
      <c r="T308" s="53"/>
      <c r="U308" s="50"/>
      <c r="V308" s="51">
        <v>4</v>
      </c>
    </row>
    <row r="309" spans="2:24" x14ac:dyDescent="0.3">
      <c r="B309" s="341"/>
      <c r="C309" s="342"/>
      <c r="D309" s="279" t="s">
        <v>1321</v>
      </c>
      <c r="E309" s="534">
        <f>V309/2</f>
        <v>2</v>
      </c>
      <c r="F309" s="514" t="s">
        <v>185</v>
      </c>
      <c r="G309" s="172"/>
      <c r="H309" s="543"/>
      <c r="I309" s="172"/>
      <c r="J309" s="543"/>
      <c r="K309" s="328">
        <v>3</v>
      </c>
      <c r="L309" s="514" t="s">
        <v>185</v>
      </c>
      <c r="M309" s="534">
        <f>M308</f>
        <v>18</v>
      </c>
      <c r="N309" s="514" t="s">
        <v>185</v>
      </c>
      <c r="O309" s="328">
        <v>7850</v>
      </c>
      <c r="P309" s="509" t="s">
        <v>185</v>
      </c>
      <c r="Q309" s="607">
        <f>Q308</f>
        <v>2.0114285714285715E-4</v>
      </c>
      <c r="R309" s="514" t="s">
        <v>114</v>
      </c>
      <c r="S309" s="596">
        <f t="shared" si="4"/>
        <v>170.52891428571428</v>
      </c>
      <c r="T309" s="1175">
        <f>SUM(S307:S309)</f>
        <v>1132.3119908571427</v>
      </c>
      <c r="U309" s="50"/>
      <c r="V309" s="51">
        <v>4</v>
      </c>
    </row>
    <row r="310" spans="2:24" x14ac:dyDescent="0.3">
      <c r="B310" s="341"/>
      <c r="C310" s="342"/>
      <c r="D310" s="281" t="s">
        <v>1327</v>
      </c>
      <c r="E310" s="328">
        <v>4</v>
      </c>
      <c r="F310" s="509" t="s">
        <v>185</v>
      </c>
      <c r="G310" s="328"/>
      <c r="H310" s="510"/>
      <c r="I310" s="328"/>
      <c r="J310" s="510"/>
      <c r="K310" s="328">
        <v>6</v>
      </c>
      <c r="L310" s="509" t="s">
        <v>185</v>
      </c>
      <c r="M310" s="328">
        <f>K292*M292</f>
        <v>12</v>
      </c>
      <c r="N310" s="509" t="s">
        <v>185</v>
      </c>
      <c r="O310" s="328">
        <v>7850</v>
      </c>
      <c r="P310" s="509" t="s">
        <v>185</v>
      </c>
      <c r="Q310" s="1162">
        <f>22/7*0.008*0.008</f>
        <v>2.0114285714285715E-4</v>
      </c>
      <c r="R310" s="509" t="s">
        <v>114</v>
      </c>
      <c r="S310" s="596">
        <f t="shared" si="4"/>
        <v>454.74377142857145</v>
      </c>
      <c r="T310" s="53"/>
      <c r="U310" s="50"/>
      <c r="V310" s="51"/>
    </row>
    <row r="311" spans="2:24" x14ac:dyDescent="0.3">
      <c r="B311" s="341"/>
      <c r="C311" s="342"/>
      <c r="D311" s="279" t="s">
        <v>1320</v>
      </c>
      <c r="E311" s="534">
        <f>V311/2+(40*0.016*2)</f>
        <v>3.2800000000000002</v>
      </c>
      <c r="F311" s="514" t="s">
        <v>185</v>
      </c>
      <c r="G311" s="172"/>
      <c r="H311" s="543"/>
      <c r="I311" s="172"/>
      <c r="J311" s="543"/>
      <c r="K311" s="328">
        <v>3</v>
      </c>
      <c r="L311" s="514" t="s">
        <v>185</v>
      </c>
      <c r="M311" s="534">
        <f>M310</f>
        <v>12</v>
      </c>
      <c r="N311" s="514" t="s">
        <v>185</v>
      </c>
      <c r="O311" s="328">
        <v>7850</v>
      </c>
      <c r="P311" s="509" t="s">
        <v>185</v>
      </c>
      <c r="Q311" s="607">
        <f>Q310</f>
        <v>2.0114285714285715E-4</v>
      </c>
      <c r="R311" s="514" t="s">
        <v>114</v>
      </c>
      <c r="S311" s="596">
        <f t="shared" si="4"/>
        <v>186.44494628571428</v>
      </c>
      <c r="T311" s="53"/>
      <c r="U311" s="50"/>
      <c r="V311" s="51">
        <v>4</v>
      </c>
    </row>
    <row r="312" spans="2:24" x14ac:dyDescent="0.3">
      <c r="B312" s="341"/>
      <c r="C312" s="342"/>
      <c r="D312" s="279" t="s">
        <v>1321</v>
      </c>
      <c r="E312" s="534">
        <f>V312/2</f>
        <v>2</v>
      </c>
      <c r="F312" s="514" t="s">
        <v>185</v>
      </c>
      <c r="G312" s="172"/>
      <c r="H312" s="543"/>
      <c r="I312" s="172"/>
      <c r="J312" s="543"/>
      <c r="K312" s="328">
        <v>3</v>
      </c>
      <c r="L312" s="514" t="s">
        <v>185</v>
      </c>
      <c r="M312" s="534">
        <f>M311</f>
        <v>12</v>
      </c>
      <c r="N312" s="514" t="s">
        <v>185</v>
      </c>
      <c r="O312" s="328">
        <v>7850</v>
      </c>
      <c r="P312" s="509" t="s">
        <v>185</v>
      </c>
      <c r="Q312" s="607">
        <f>Q311</f>
        <v>2.0114285714285715E-4</v>
      </c>
      <c r="R312" s="514" t="s">
        <v>114</v>
      </c>
      <c r="S312" s="596">
        <f t="shared" si="4"/>
        <v>113.68594285714286</v>
      </c>
      <c r="T312" s="53"/>
      <c r="U312" s="50"/>
      <c r="V312" s="51">
        <v>4</v>
      </c>
    </row>
    <row r="313" spans="2:24" x14ac:dyDescent="0.3">
      <c r="B313" s="341"/>
      <c r="C313" s="342"/>
      <c r="D313" s="281" t="s">
        <v>1327</v>
      </c>
      <c r="E313" s="328">
        <v>4</v>
      </c>
      <c r="F313" s="509" t="s">
        <v>185</v>
      </c>
      <c r="G313" s="328"/>
      <c r="H313" s="510"/>
      <c r="I313" s="328"/>
      <c r="J313" s="510"/>
      <c r="K313" s="328">
        <v>6</v>
      </c>
      <c r="L313" s="509" t="s">
        <v>185</v>
      </c>
      <c r="M313" s="328">
        <f>K293*M293</f>
        <v>16</v>
      </c>
      <c r="N313" s="509" t="s">
        <v>185</v>
      </c>
      <c r="O313" s="328">
        <v>7850</v>
      </c>
      <c r="P313" s="509" t="s">
        <v>185</v>
      </c>
      <c r="Q313" s="1162">
        <f>22/7*0.008*0.008</f>
        <v>2.0114285714285715E-4</v>
      </c>
      <c r="R313" s="509" t="s">
        <v>114</v>
      </c>
      <c r="S313" s="596">
        <f t="shared" si="4"/>
        <v>606.32502857142856</v>
      </c>
      <c r="T313" s="53"/>
      <c r="U313" s="50"/>
      <c r="V313" s="51"/>
    </row>
    <row r="314" spans="2:24" x14ac:dyDescent="0.3">
      <c r="B314" s="341"/>
      <c r="C314" s="342"/>
      <c r="D314" s="279" t="s">
        <v>1320</v>
      </c>
      <c r="E314" s="534">
        <f>V314/2+(40*0.016*2)</f>
        <v>3.2800000000000002</v>
      </c>
      <c r="F314" s="514" t="s">
        <v>185</v>
      </c>
      <c r="G314" s="172"/>
      <c r="H314" s="543"/>
      <c r="I314" s="172"/>
      <c r="J314" s="543"/>
      <c r="K314" s="328">
        <v>3</v>
      </c>
      <c r="L314" s="514" t="s">
        <v>185</v>
      </c>
      <c r="M314" s="534">
        <f>M313</f>
        <v>16</v>
      </c>
      <c r="N314" s="514" t="s">
        <v>185</v>
      </c>
      <c r="O314" s="328">
        <v>7850</v>
      </c>
      <c r="P314" s="509" t="s">
        <v>185</v>
      </c>
      <c r="Q314" s="607">
        <f>Q313</f>
        <v>2.0114285714285715E-4</v>
      </c>
      <c r="R314" s="514" t="s">
        <v>114</v>
      </c>
      <c r="S314" s="596">
        <f t="shared" si="4"/>
        <v>248.59326171428572</v>
      </c>
      <c r="T314" s="53"/>
      <c r="U314" s="50"/>
      <c r="V314" s="51">
        <v>4</v>
      </c>
    </row>
    <row r="315" spans="2:24" x14ac:dyDescent="0.3">
      <c r="B315" s="341"/>
      <c r="C315" s="342"/>
      <c r="D315" s="279" t="s">
        <v>1321</v>
      </c>
      <c r="E315" s="534">
        <f>V315/2</f>
        <v>2</v>
      </c>
      <c r="F315" s="514" t="s">
        <v>185</v>
      </c>
      <c r="G315" s="172"/>
      <c r="H315" s="543"/>
      <c r="I315" s="172"/>
      <c r="J315" s="543"/>
      <c r="K315" s="328">
        <v>3</v>
      </c>
      <c r="L315" s="514" t="s">
        <v>185</v>
      </c>
      <c r="M315" s="534">
        <f>M314</f>
        <v>16</v>
      </c>
      <c r="N315" s="514" t="s">
        <v>185</v>
      </c>
      <c r="O315" s="328">
        <v>7850</v>
      </c>
      <c r="P315" s="509" t="s">
        <v>185</v>
      </c>
      <c r="Q315" s="607">
        <f>Q314</f>
        <v>2.0114285714285715E-4</v>
      </c>
      <c r="R315" s="514" t="s">
        <v>114</v>
      </c>
      <c r="S315" s="596">
        <f t="shared" si="4"/>
        <v>151.58125714285714</v>
      </c>
      <c r="T315" s="53"/>
      <c r="U315" s="50"/>
      <c r="V315" s="51">
        <v>4</v>
      </c>
    </row>
    <row r="316" spans="2:24" x14ac:dyDescent="0.3">
      <c r="B316" s="341"/>
      <c r="C316" s="342"/>
      <c r="D316" s="279"/>
      <c r="E316" s="534"/>
      <c r="F316" s="514"/>
      <c r="G316" s="172"/>
      <c r="H316" s="543"/>
      <c r="I316" s="172"/>
      <c r="J316" s="543"/>
      <c r="K316" s="328"/>
      <c r="L316" s="514"/>
      <c r="M316" s="534"/>
      <c r="N316" s="514"/>
      <c r="O316" s="328"/>
      <c r="P316" s="509"/>
      <c r="Q316" s="607"/>
      <c r="R316" s="514"/>
      <c r="S316" s="596"/>
      <c r="T316" s="53"/>
      <c r="U316" s="50"/>
      <c r="V316" s="51"/>
    </row>
    <row r="317" spans="2:24" x14ac:dyDescent="0.3">
      <c r="B317" s="341"/>
      <c r="C317" s="342"/>
      <c r="D317" s="281" t="s">
        <v>1328</v>
      </c>
      <c r="E317" s="328">
        <v>4</v>
      </c>
      <c r="F317" s="509" t="s">
        <v>185</v>
      </c>
      <c r="G317" s="328"/>
      <c r="H317" s="510"/>
      <c r="I317" s="328"/>
      <c r="J317" s="510"/>
      <c r="K317" s="328">
        <v>6</v>
      </c>
      <c r="L317" s="509" t="s">
        <v>185</v>
      </c>
      <c r="M317" s="328">
        <f>K294*M294</f>
        <v>10</v>
      </c>
      <c r="N317" s="509" t="s">
        <v>185</v>
      </c>
      <c r="O317" s="328">
        <v>7850</v>
      </c>
      <c r="P317" s="509" t="s">
        <v>185</v>
      </c>
      <c r="Q317" s="1162">
        <f>22/7*0.008*0.008</f>
        <v>2.0114285714285715E-4</v>
      </c>
      <c r="R317" s="509" t="s">
        <v>114</v>
      </c>
      <c r="S317" s="596">
        <f t="shared" ref="S317:S323" si="5">E317*K317*M317*O317*Q317</f>
        <v>378.95314285714284</v>
      </c>
      <c r="T317" s="53"/>
      <c r="U317" s="50"/>
      <c r="V317" s="51"/>
    </row>
    <row r="318" spans="2:24" x14ac:dyDescent="0.3">
      <c r="B318" s="341"/>
      <c r="C318" s="342"/>
      <c r="D318" s="279" t="s">
        <v>1320</v>
      </c>
      <c r="E318" s="534">
        <f>V318/2+(40*0.016*2)</f>
        <v>3.2800000000000002</v>
      </c>
      <c r="F318" s="514" t="s">
        <v>185</v>
      </c>
      <c r="G318" s="172"/>
      <c r="H318" s="543"/>
      <c r="I318" s="172"/>
      <c r="J318" s="543"/>
      <c r="K318" s="328">
        <v>3</v>
      </c>
      <c r="L318" s="514" t="s">
        <v>185</v>
      </c>
      <c r="M318" s="534">
        <f>M317</f>
        <v>10</v>
      </c>
      <c r="N318" s="514" t="s">
        <v>185</v>
      </c>
      <c r="O318" s="328">
        <v>7850</v>
      </c>
      <c r="P318" s="509" t="s">
        <v>185</v>
      </c>
      <c r="Q318" s="607">
        <f>Q317</f>
        <v>2.0114285714285715E-4</v>
      </c>
      <c r="R318" s="514" t="s">
        <v>114</v>
      </c>
      <c r="S318" s="596">
        <f t="shared" si="5"/>
        <v>155.37078857142856</v>
      </c>
      <c r="T318" s="53"/>
      <c r="U318" s="50"/>
      <c r="V318" s="51">
        <v>4</v>
      </c>
    </row>
    <row r="319" spans="2:24" x14ac:dyDescent="0.3">
      <c r="B319" s="341"/>
      <c r="C319" s="342"/>
      <c r="D319" s="279" t="s">
        <v>1321</v>
      </c>
      <c r="E319" s="534">
        <f>V319/2</f>
        <v>2</v>
      </c>
      <c r="F319" s="514" t="s">
        <v>185</v>
      </c>
      <c r="G319" s="172"/>
      <c r="H319" s="543"/>
      <c r="I319" s="172"/>
      <c r="J319" s="543"/>
      <c r="K319" s="328">
        <v>3</v>
      </c>
      <c r="L319" s="514" t="s">
        <v>185</v>
      </c>
      <c r="M319" s="534">
        <f>M318</f>
        <v>10</v>
      </c>
      <c r="N319" s="514" t="s">
        <v>185</v>
      </c>
      <c r="O319" s="328">
        <v>7850</v>
      </c>
      <c r="P319" s="509" t="s">
        <v>185</v>
      </c>
      <c r="Q319" s="607">
        <f>Q318</f>
        <v>2.0114285714285715E-4</v>
      </c>
      <c r="R319" s="514" t="s">
        <v>114</v>
      </c>
      <c r="S319" s="596">
        <f t="shared" si="5"/>
        <v>94.738285714285709</v>
      </c>
      <c r="T319" s="53"/>
      <c r="U319" s="50"/>
      <c r="V319" s="51">
        <v>4</v>
      </c>
    </row>
    <row r="320" spans="2:24" x14ac:dyDescent="0.3">
      <c r="B320" s="341"/>
      <c r="C320" s="342"/>
      <c r="D320" s="281" t="s">
        <v>1328</v>
      </c>
      <c r="E320" s="328">
        <v>4</v>
      </c>
      <c r="F320" s="509" t="s">
        <v>185</v>
      </c>
      <c r="G320" s="328"/>
      <c r="H320" s="510"/>
      <c r="I320" s="328"/>
      <c r="J320" s="510"/>
      <c r="K320" s="328">
        <v>6</v>
      </c>
      <c r="L320" s="509" t="s">
        <v>185</v>
      </c>
      <c r="M320" s="328">
        <f>K295*M295</f>
        <v>32</v>
      </c>
      <c r="N320" s="509" t="s">
        <v>185</v>
      </c>
      <c r="O320" s="328">
        <v>7850</v>
      </c>
      <c r="P320" s="509" t="s">
        <v>185</v>
      </c>
      <c r="Q320" s="1162">
        <f>22/7*0.008*0.008</f>
        <v>2.0114285714285715E-4</v>
      </c>
      <c r="R320" s="509" t="s">
        <v>114</v>
      </c>
      <c r="S320" s="596">
        <f t="shared" si="5"/>
        <v>1212.6500571428571</v>
      </c>
      <c r="T320" s="53"/>
      <c r="U320" s="50"/>
      <c r="V320" s="51"/>
    </row>
    <row r="321" spans="2:25" x14ac:dyDescent="0.3">
      <c r="B321" s="341"/>
      <c r="C321" s="342"/>
      <c r="D321" s="279" t="s">
        <v>1320</v>
      </c>
      <c r="E321" s="534">
        <f>V321/2+(40*0.016*2)</f>
        <v>3.2800000000000002</v>
      </c>
      <c r="F321" s="514" t="s">
        <v>185</v>
      </c>
      <c r="G321" s="172"/>
      <c r="H321" s="543"/>
      <c r="I321" s="172"/>
      <c r="J321" s="543"/>
      <c r="K321" s="328">
        <v>3</v>
      </c>
      <c r="L321" s="514" t="s">
        <v>185</v>
      </c>
      <c r="M321" s="534">
        <f>M320</f>
        <v>32</v>
      </c>
      <c r="N321" s="514" t="s">
        <v>185</v>
      </c>
      <c r="O321" s="328">
        <v>7850</v>
      </c>
      <c r="P321" s="509" t="s">
        <v>185</v>
      </c>
      <c r="Q321" s="607">
        <f>Q320</f>
        <v>2.0114285714285715E-4</v>
      </c>
      <c r="R321" s="514" t="s">
        <v>114</v>
      </c>
      <c r="S321" s="596">
        <f t="shared" si="5"/>
        <v>497.18652342857143</v>
      </c>
      <c r="T321" s="53"/>
      <c r="U321" s="50"/>
      <c r="V321" s="51">
        <v>4</v>
      </c>
    </row>
    <row r="322" spans="2:25" x14ac:dyDescent="0.3">
      <c r="B322" s="341"/>
      <c r="C322" s="342"/>
      <c r="D322" s="279" t="s">
        <v>1321</v>
      </c>
      <c r="E322" s="534">
        <f>V322/2</f>
        <v>2</v>
      </c>
      <c r="F322" s="514" t="s">
        <v>185</v>
      </c>
      <c r="G322" s="172"/>
      <c r="H322" s="543"/>
      <c r="I322" s="172"/>
      <c r="J322" s="543"/>
      <c r="K322" s="328">
        <v>3</v>
      </c>
      <c r="L322" s="514" t="s">
        <v>185</v>
      </c>
      <c r="M322" s="534">
        <f>M321</f>
        <v>32</v>
      </c>
      <c r="N322" s="514" t="s">
        <v>185</v>
      </c>
      <c r="O322" s="328">
        <v>7850</v>
      </c>
      <c r="P322" s="509" t="s">
        <v>185</v>
      </c>
      <c r="Q322" s="607">
        <f>Q321</f>
        <v>2.0114285714285715E-4</v>
      </c>
      <c r="R322" s="514" t="s">
        <v>114</v>
      </c>
      <c r="S322" s="596">
        <f t="shared" si="5"/>
        <v>303.16251428571428</v>
      </c>
      <c r="T322" s="53"/>
      <c r="U322" s="50"/>
      <c r="V322" s="51">
        <v>4</v>
      </c>
    </row>
    <row r="323" spans="2:25" x14ac:dyDescent="0.3">
      <c r="B323" s="341"/>
      <c r="C323" s="342"/>
      <c r="D323" s="281" t="s">
        <v>1328</v>
      </c>
      <c r="E323" s="328">
        <f>E296</f>
        <v>1.375</v>
      </c>
      <c r="F323" s="509" t="s">
        <v>185</v>
      </c>
      <c r="G323" s="328"/>
      <c r="H323" s="510"/>
      <c r="I323" s="328"/>
      <c r="J323" s="510"/>
      <c r="K323" s="328">
        <v>9</v>
      </c>
      <c r="L323" s="509" t="s">
        <v>185</v>
      </c>
      <c r="M323" s="328">
        <f>K296*M296</f>
        <v>16</v>
      </c>
      <c r="N323" s="509" t="s">
        <v>185</v>
      </c>
      <c r="O323" s="328">
        <v>7850</v>
      </c>
      <c r="P323" s="509" t="s">
        <v>185</v>
      </c>
      <c r="Q323" s="1162">
        <f>22/7*0.008*0.008</f>
        <v>2.0114285714285715E-4</v>
      </c>
      <c r="R323" s="509" t="s">
        <v>114</v>
      </c>
      <c r="S323" s="596">
        <f t="shared" si="5"/>
        <v>312.63634285714284</v>
      </c>
      <c r="T323" s="53"/>
      <c r="U323" s="50"/>
      <c r="V323" s="51"/>
    </row>
    <row r="324" spans="2:25" x14ac:dyDescent="0.3">
      <c r="B324" s="341"/>
      <c r="C324" s="342"/>
      <c r="D324" s="466"/>
      <c r="E324" s="580"/>
      <c r="F324" s="605"/>
      <c r="G324" s="580"/>
      <c r="H324" s="581"/>
      <c r="I324" s="580"/>
      <c r="J324" s="581"/>
      <c r="K324" s="580"/>
      <c r="L324" s="605"/>
      <c r="M324" s="580"/>
      <c r="N324" s="605"/>
      <c r="O324" s="580"/>
      <c r="P324" s="605"/>
      <c r="Q324" s="503"/>
      <c r="R324" s="605"/>
      <c r="S324" s="597"/>
    </row>
    <row r="325" spans="2:25" s="1" customFormat="1" ht="17.25" thickBot="1" x14ac:dyDescent="0.35">
      <c r="B325" s="59"/>
      <c r="C325" s="60"/>
      <c r="D325" s="3093" t="s">
        <v>164</v>
      </c>
      <c r="E325" s="3093"/>
      <c r="F325" s="3093"/>
      <c r="G325" s="3093"/>
      <c r="H325" s="3093"/>
      <c r="I325" s="3093"/>
      <c r="J325" s="524"/>
      <c r="K325" s="183"/>
      <c r="L325" s="532"/>
      <c r="M325" s="180"/>
      <c r="N325" s="532"/>
      <c r="O325" s="183"/>
      <c r="P325" s="532"/>
      <c r="Q325" s="183"/>
      <c r="R325" s="532"/>
      <c r="S325" s="240">
        <f>SUM(S307:S324)</f>
        <v>5848.3838537142856</v>
      </c>
      <c r="T325" s="66"/>
      <c r="U325" s="2"/>
      <c r="V325" s="43"/>
    </row>
    <row r="326" spans="2:25" x14ac:dyDescent="0.3">
      <c r="B326" s="341"/>
      <c r="C326" s="342"/>
      <c r="D326" s="343"/>
      <c r="E326" s="471"/>
      <c r="F326" s="489"/>
      <c r="G326" s="471"/>
      <c r="H326" s="489"/>
      <c r="I326" s="471"/>
      <c r="J326" s="489"/>
      <c r="K326" s="458"/>
      <c r="L326" s="487"/>
      <c r="M326" s="459"/>
      <c r="N326" s="487"/>
      <c r="O326" s="458"/>
      <c r="P326" s="487"/>
      <c r="Q326" s="458"/>
      <c r="R326" s="487"/>
      <c r="S326" s="470"/>
    </row>
    <row r="327" spans="2:25" x14ac:dyDescent="0.3">
      <c r="B327" s="341"/>
      <c r="C327" s="342"/>
      <c r="D327" s="343"/>
      <c r="E327" s="534">
        <f>36+(40*0.016*18)</f>
        <v>47.519999999999996</v>
      </c>
      <c r="F327" s="514" t="s">
        <v>185</v>
      </c>
      <c r="G327" s="172"/>
      <c r="H327" s="543"/>
      <c r="I327" s="172"/>
      <c r="J327" s="543"/>
      <c r="K327" s="328">
        <v>3</v>
      </c>
      <c r="L327" s="514" t="s">
        <v>185</v>
      </c>
      <c r="M327" s="534">
        <v>2</v>
      </c>
      <c r="N327" s="514" t="s">
        <v>185</v>
      </c>
      <c r="O327" s="328">
        <v>7850</v>
      </c>
      <c r="P327" s="509" t="s">
        <v>185</v>
      </c>
      <c r="Q327" s="607">
        <f>Q308</f>
        <v>2.0114285714285715E-4</v>
      </c>
      <c r="R327" s="514" t="s">
        <v>114</v>
      </c>
      <c r="S327" s="596">
        <f>E327*K327*M327*O327*Q327</f>
        <v>450.19633371428574</v>
      </c>
    </row>
    <row r="328" spans="2:25" x14ac:dyDescent="0.3">
      <c r="B328" s="341"/>
      <c r="C328" s="342"/>
      <c r="D328" s="343"/>
      <c r="E328" s="534">
        <f>36</f>
        <v>36</v>
      </c>
      <c r="F328" s="514" t="s">
        <v>185</v>
      </c>
      <c r="G328" s="172"/>
      <c r="H328" s="543"/>
      <c r="I328" s="172"/>
      <c r="J328" s="543"/>
      <c r="K328" s="328">
        <v>6</v>
      </c>
      <c r="L328" s="514" t="s">
        <v>185</v>
      </c>
      <c r="M328" s="534">
        <f>M327</f>
        <v>2</v>
      </c>
      <c r="N328" s="514" t="s">
        <v>185</v>
      </c>
      <c r="O328" s="328">
        <v>7850</v>
      </c>
      <c r="P328" s="509" t="s">
        <v>185</v>
      </c>
      <c r="Q328" s="607">
        <f>Q327</f>
        <v>2.0114285714285715E-4</v>
      </c>
      <c r="R328" s="514" t="s">
        <v>114</v>
      </c>
      <c r="S328" s="596">
        <f>E328*K328*M328*O328*Q328</f>
        <v>682.11565714285712</v>
      </c>
    </row>
    <row r="329" spans="2:25" x14ac:dyDescent="0.3">
      <c r="B329" s="341"/>
      <c r="C329" s="342"/>
      <c r="D329" s="343"/>
      <c r="E329" s="471"/>
      <c r="F329" s="489"/>
      <c r="G329" s="471"/>
      <c r="H329" s="489"/>
      <c r="I329" s="471"/>
      <c r="J329" s="489"/>
      <c r="K329" s="458"/>
      <c r="L329" s="487"/>
      <c r="M329" s="459"/>
      <c r="N329" s="487"/>
      <c r="O329" s="458"/>
      <c r="P329" s="487"/>
      <c r="Q329" s="458"/>
      <c r="R329" s="487"/>
      <c r="S329" s="470">
        <f>SUM(S327:S328)</f>
        <v>1132.311990857143</v>
      </c>
    </row>
    <row r="330" spans="2:25" s="1" customFormat="1" ht="17.25" thickBot="1" x14ac:dyDescent="0.35">
      <c r="B330" s="59"/>
      <c r="C330" s="60" t="str">
        <f>RAB!D67</f>
        <v>Pembesian sengkang</v>
      </c>
      <c r="D330" s="16"/>
      <c r="E330" s="216"/>
      <c r="F330" s="602"/>
      <c r="G330" s="216"/>
      <c r="H330" s="602"/>
      <c r="I330" s="216"/>
      <c r="J330" s="602"/>
      <c r="K330" s="181"/>
      <c r="L330" s="529"/>
      <c r="M330" s="182"/>
      <c r="N330" s="529"/>
      <c r="O330" s="181"/>
      <c r="P330" s="529"/>
      <c r="Q330" s="181"/>
      <c r="R330" s="529"/>
      <c r="S330" s="239"/>
      <c r="T330" s="18">
        <f>ROUNDDOWN(S336,2)</f>
        <v>2083.65</v>
      </c>
      <c r="U330" s="2" t="s">
        <v>0</v>
      </c>
      <c r="V330" s="43"/>
    </row>
    <row r="331" spans="2:25" s="1" customFormat="1" x14ac:dyDescent="0.3">
      <c r="B331" s="59"/>
      <c r="C331" s="60"/>
      <c r="D331" s="8" t="s">
        <v>95</v>
      </c>
      <c r="E331" s="155" t="s">
        <v>150</v>
      </c>
      <c r="F331" s="505"/>
      <c r="G331" s="155" t="s">
        <v>151</v>
      </c>
      <c r="H331" s="505"/>
      <c r="I331" s="155" t="s">
        <v>152</v>
      </c>
      <c r="J331" s="505"/>
      <c r="K331" s="155" t="s">
        <v>153</v>
      </c>
      <c r="L331" s="506"/>
      <c r="M331" s="164" t="s">
        <v>32</v>
      </c>
      <c r="N331" s="506"/>
      <c r="O331" s="206" t="s">
        <v>163</v>
      </c>
      <c r="P331" s="506"/>
      <c r="Q331" s="206" t="s">
        <v>151</v>
      </c>
      <c r="R331" s="506"/>
      <c r="S331" s="230" t="s">
        <v>143</v>
      </c>
      <c r="T331" s="66"/>
      <c r="U331" s="2"/>
      <c r="V331" s="43"/>
      <c r="W331" s="37"/>
      <c r="Y331" s="37"/>
    </row>
    <row r="332" spans="2:25" s="1" customFormat="1" x14ac:dyDescent="0.3">
      <c r="B332" s="59"/>
      <c r="C332" s="60"/>
      <c r="D332" s="149" t="s">
        <v>237</v>
      </c>
      <c r="E332" s="566">
        <f>(0.34+0.14)*2+ (2*6*0.01)</f>
        <v>1.08</v>
      </c>
      <c r="F332" s="567" t="s">
        <v>185</v>
      </c>
      <c r="G332" s="117"/>
      <c r="H332" s="568"/>
      <c r="I332" s="117"/>
      <c r="J332" s="568"/>
      <c r="K332" s="117">
        <f>W332</f>
        <v>33</v>
      </c>
      <c r="L332" s="567" t="s">
        <v>185</v>
      </c>
      <c r="M332" s="117">
        <f>M307+M310+M313</f>
        <v>46</v>
      </c>
      <c r="N332" s="567" t="s">
        <v>185</v>
      </c>
      <c r="O332" s="117">
        <v>7850</v>
      </c>
      <c r="P332" s="567" t="s">
        <v>185</v>
      </c>
      <c r="Q332" s="569">
        <f>22/7*0.005*0.005</f>
        <v>7.857142857142858E-5</v>
      </c>
      <c r="R332" s="570" t="s">
        <v>114</v>
      </c>
      <c r="S332" s="62">
        <f>E332*K332*M332*O332*Q332</f>
        <v>1011.1831714285715</v>
      </c>
      <c r="T332" s="66"/>
      <c r="U332" s="2"/>
      <c r="V332" s="43"/>
      <c r="W332" s="132">
        <f>4/0.125+1</f>
        <v>33</v>
      </c>
      <c r="X332" s="37"/>
      <c r="Y332" s="37"/>
    </row>
    <row r="333" spans="2:25" s="1" customFormat="1" x14ac:dyDescent="0.3">
      <c r="B333" s="59"/>
      <c r="C333" s="60"/>
      <c r="D333" s="139" t="s">
        <v>238</v>
      </c>
      <c r="E333" s="35">
        <f>E332</f>
        <v>1.08</v>
      </c>
      <c r="F333" s="571" t="s">
        <v>185</v>
      </c>
      <c r="G333" s="29"/>
      <c r="H333" s="572"/>
      <c r="I333" s="29"/>
      <c r="J333" s="572"/>
      <c r="K333" s="29">
        <f>W333</f>
        <v>33</v>
      </c>
      <c r="L333" s="571" t="s">
        <v>185</v>
      </c>
      <c r="M333" s="29">
        <f>M317+M320</f>
        <v>42</v>
      </c>
      <c r="N333" s="571" t="s">
        <v>185</v>
      </c>
      <c r="O333" s="29">
        <f>O332</f>
        <v>7850</v>
      </c>
      <c r="P333" s="571" t="s">
        <v>185</v>
      </c>
      <c r="Q333" s="573">
        <f>Q332</f>
        <v>7.857142857142858E-5</v>
      </c>
      <c r="R333" s="574" t="s">
        <v>114</v>
      </c>
      <c r="S333" s="63">
        <f>E333*K333*M333*O333*Q333</f>
        <v>923.25420000000008</v>
      </c>
      <c r="T333" s="66"/>
      <c r="U333" s="2"/>
      <c r="V333" s="43"/>
      <c r="W333" s="132">
        <f>4/0.125+1</f>
        <v>33</v>
      </c>
      <c r="X333" s="37"/>
      <c r="Y333" s="37"/>
    </row>
    <row r="334" spans="2:25" s="1" customFormat="1" x14ac:dyDescent="0.3">
      <c r="B334" s="59"/>
      <c r="C334" s="60"/>
      <c r="D334" s="659"/>
      <c r="E334" s="35">
        <f>E333</f>
        <v>1.08</v>
      </c>
      <c r="F334" s="571" t="s">
        <v>185</v>
      </c>
      <c r="G334" s="29"/>
      <c r="H334" s="572"/>
      <c r="I334" s="29"/>
      <c r="J334" s="572"/>
      <c r="K334" s="29">
        <v>14</v>
      </c>
      <c r="L334" s="571" t="s">
        <v>185</v>
      </c>
      <c r="M334" s="29">
        <f>M323</f>
        <v>16</v>
      </c>
      <c r="N334" s="571" t="s">
        <v>185</v>
      </c>
      <c r="O334" s="29">
        <f>O333</f>
        <v>7850</v>
      </c>
      <c r="P334" s="571" t="s">
        <v>185</v>
      </c>
      <c r="Q334" s="573">
        <f>Q333</f>
        <v>7.857142857142858E-5</v>
      </c>
      <c r="R334" s="574" t="s">
        <v>114</v>
      </c>
      <c r="S334" s="63">
        <f>E334*K334*M334*O334*Q334</f>
        <v>149.21280000000004</v>
      </c>
      <c r="T334" s="66"/>
      <c r="U334" s="2"/>
      <c r="V334" s="43"/>
      <c r="W334" s="132">
        <f>1.375/0.1+1</f>
        <v>14.75</v>
      </c>
      <c r="X334" s="37"/>
      <c r="Y334" s="37"/>
    </row>
    <row r="335" spans="2:25" s="1" customFormat="1" x14ac:dyDescent="0.3">
      <c r="B335" s="59"/>
      <c r="C335" s="60"/>
      <c r="D335" s="150"/>
      <c r="E335" s="592"/>
      <c r="F335" s="593"/>
      <c r="G335" s="592"/>
      <c r="H335" s="593"/>
      <c r="I335" s="592"/>
      <c r="J335" s="593"/>
      <c r="K335" s="592"/>
      <c r="L335" s="593"/>
      <c r="M335" s="592"/>
      <c r="N335" s="593"/>
      <c r="O335" s="592"/>
      <c r="P335" s="593"/>
      <c r="Q335" s="592"/>
      <c r="R335" s="593"/>
      <c r="S335" s="599"/>
      <c r="T335" s="66"/>
      <c r="U335" s="2"/>
      <c r="V335" s="43"/>
    </row>
    <row r="336" spans="2:25" s="1" customFormat="1" ht="17.25" thickBot="1" x14ac:dyDescent="0.35">
      <c r="B336" s="59"/>
      <c r="C336" s="60"/>
      <c r="D336" s="3093" t="s">
        <v>164</v>
      </c>
      <c r="E336" s="3093"/>
      <c r="F336" s="3093"/>
      <c r="G336" s="3093"/>
      <c r="H336" s="3093"/>
      <c r="I336" s="3093"/>
      <c r="J336" s="524"/>
      <c r="K336" s="183"/>
      <c r="L336" s="532"/>
      <c r="M336" s="180"/>
      <c r="N336" s="532"/>
      <c r="O336" s="183"/>
      <c r="P336" s="532"/>
      <c r="Q336" s="183"/>
      <c r="R336" s="532"/>
      <c r="S336" s="240">
        <f>SUM(S332:S335)</f>
        <v>2083.6501714285719</v>
      </c>
      <c r="T336" s="66"/>
      <c r="U336" s="2"/>
      <c r="V336" s="43"/>
    </row>
    <row r="337" spans="2:25" x14ac:dyDescent="0.3">
      <c r="B337" s="341"/>
      <c r="C337" s="342"/>
      <c r="D337" s="343"/>
      <c r="E337" s="471"/>
      <c r="F337" s="489"/>
      <c r="G337" s="471"/>
      <c r="H337" s="489"/>
      <c r="I337" s="471"/>
      <c r="J337" s="489"/>
      <c r="K337" s="458"/>
      <c r="L337" s="487"/>
      <c r="M337" s="459"/>
      <c r="N337" s="487"/>
      <c r="O337" s="458"/>
      <c r="P337" s="487"/>
      <c r="Q337" s="458"/>
      <c r="R337" s="487"/>
      <c r="S337" s="470"/>
    </row>
    <row r="338" spans="2:25" s="1" customFormat="1" ht="17.25" thickBot="1" x14ac:dyDescent="0.35">
      <c r="B338" s="59"/>
      <c r="C338" s="60" t="str">
        <f>RAB!D68</f>
        <v>Bekisting Balok</v>
      </c>
      <c r="D338" s="16"/>
      <c r="E338" s="216"/>
      <c r="F338" s="602"/>
      <c r="G338" s="216"/>
      <c r="H338" s="602"/>
      <c r="I338" s="216"/>
      <c r="J338" s="602"/>
      <c r="K338" s="181"/>
      <c r="L338" s="529"/>
      <c r="M338" s="182"/>
      <c r="N338" s="529"/>
      <c r="O338" s="181"/>
      <c r="P338" s="529"/>
      <c r="Q338" s="181"/>
      <c r="R338" s="529"/>
      <c r="S338" s="239"/>
      <c r="T338" s="18">
        <f>ROUNDDOWN(Q344,2)</f>
        <v>257.48</v>
      </c>
      <c r="U338" s="2" t="s">
        <v>2</v>
      </c>
      <c r="V338" s="43"/>
    </row>
    <row r="339" spans="2:25" s="1" customFormat="1" x14ac:dyDescent="0.3">
      <c r="B339" s="59"/>
      <c r="C339" s="60"/>
      <c r="D339" s="8" t="s">
        <v>95</v>
      </c>
      <c r="E339" s="155" t="s">
        <v>150</v>
      </c>
      <c r="F339" s="505"/>
      <c r="G339" s="155" t="s">
        <v>151</v>
      </c>
      <c r="H339" s="505"/>
      <c r="I339" s="155" t="s">
        <v>152</v>
      </c>
      <c r="J339" s="505"/>
      <c r="K339" s="155" t="s">
        <v>153</v>
      </c>
      <c r="L339" s="506"/>
      <c r="M339" s="164" t="s">
        <v>32</v>
      </c>
      <c r="N339" s="506"/>
      <c r="O339" s="206" t="s">
        <v>163</v>
      </c>
      <c r="P339" s="506"/>
      <c r="Q339" s="206" t="s">
        <v>151</v>
      </c>
      <c r="R339" s="506"/>
      <c r="S339" s="230" t="s">
        <v>143</v>
      </c>
      <c r="T339" s="66"/>
      <c r="U339" s="2"/>
      <c r="V339" s="43"/>
    </row>
    <row r="340" spans="2:25" s="1" customFormat="1" x14ac:dyDescent="0.3">
      <c r="B340" s="59"/>
      <c r="C340" s="60"/>
      <c r="D340" s="149" t="s">
        <v>156</v>
      </c>
      <c r="E340" s="609">
        <f>E291</f>
        <v>3.6</v>
      </c>
      <c r="F340" s="610" t="s">
        <v>185</v>
      </c>
      <c r="G340" s="609">
        <f>G341</f>
        <v>0.76</v>
      </c>
      <c r="H340" s="610" t="s">
        <v>185</v>
      </c>
      <c r="I340" s="609"/>
      <c r="J340" s="610"/>
      <c r="K340" s="609">
        <f>M332</f>
        <v>46</v>
      </c>
      <c r="L340" s="610"/>
      <c r="M340" s="609"/>
      <c r="N340" s="610"/>
      <c r="O340" s="609"/>
      <c r="P340" s="610" t="s">
        <v>114</v>
      </c>
      <c r="Q340" s="609">
        <f>E340*G340*K340</f>
        <v>125.85600000000001</v>
      </c>
      <c r="R340" s="610"/>
      <c r="S340" s="611"/>
      <c r="T340" s="66"/>
      <c r="U340" s="2"/>
      <c r="V340" s="43"/>
    </row>
    <row r="341" spans="2:25" s="1" customFormat="1" x14ac:dyDescent="0.3">
      <c r="B341" s="59"/>
      <c r="C341" s="60"/>
      <c r="D341" s="139" t="s">
        <v>157</v>
      </c>
      <c r="E341" s="612">
        <f>E294</f>
        <v>3.6</v>
      </c>
      <c r="F341" s="613" t="s">
        <v>185</v>
      </c>
      <c r="G341" s="612">
        <f>(2*I294)+G294</f>
        <v>0.76</v>
      </c>
      <c r="H341" s="613" t="s">
        <v>185</v>
      </c>
      <c r="I341" s="612"/>
      <c r="J341" s="613"/>
      <c r="K341" s="612">
        <f>M333</f>
        <v>42</v>
      </c>
      <c r="L341" s="613"/>
      <c r="M341" s="612"/>
      <c r="N341" s="613"/>
      <c r="O341" s="612"/>
      <c r="P341" s="613" t="s">
        <v>114</v>
      </c>
      <c r="Q341" s="612">
        <f>E341*G341*K341</f>
        <v>114.91200000000001</v>
      </c>
      <c r="R341" s="613"/>
      <c r="S341" s="614"/>
      <c r="T341" s="66"/>
      <c r="U341" s="2"/>
      <c r="V341" s="43"/>
      <c r="X341" s="37"/>
      <c r="Y341" s="37"/>
    </row>
    <row r="342" spans="2:25" s="1" customFormat="1" x14ac:dyDescent="0.3">
      <c r="B342" s="59"/>
      <c r="C342" s="60"/>
      <c r="D342" s="659"/>
      <c r="E342" s="612">
        <f>E323</f>
        <v>1.375</v>
      </c>
      <c r="F342" s="613" t="s">
        <v>185</v>
      </c>
      <c r="G342" s="612">
        <f>(2*I295)+G295</f>
        <v>0.76</v>
      </c>
      <c r="H342" s="613" t="s">
        <v>185</v>
      </c>
      <c r="I342" s="612"/>
      <c r="J342" s="613"/>
      <c r="K342" s="612">
        <f>M334</f>
        <v>16</v>
      </c>
      <c r="L342" s="613"/>
      <c r="M342" s="612"/>
      <c r="N342" s="613"/>
      <c r="O342" s="612"/>
      <c r="P342" s="613" t="s">
        <v>114</v>
      </c>
      <c r="Q342" s="612">
        <f>E342*G342*K342</f>
        <v>16.72</v>
      </c>
      <c r="R342" s="660"/>
      <c r="S342" s="661"/>
      <c r="T342" s="66"/>
      <c r="U342" s="2"/>
      <c r="V342" s="43"/>
      <c r="X342" s="37"/>
      <c r="Y342" s="37"/>
    </row>
    <row r="343" spans="2:25" s="1" customFormat="1" x14ac:dyDescent="0.3">
      <c r="B343" s="59"/>
      <c r="C343" s="60"/>
      <c r="D343" s="150"/>
      <c r="E343" s="615"/>
      <c r="F343" s="616"/>
      <c r="G343" s="615"/>
      <c r="H343" s="616"/>
      <c r="I343" s="615"/>
      <c r="J343" s="616"/>
      <c r="K343" s="615"/>
      <c r="L343" s="616"/>
      <c r="M343" s="615"/>
      <c r="N343" s="616"/>
      <c r="O343" s="615"/>
      <c r="P343" s="616"/>
      <c r="Q343" s="615"/>
      <c r="R343" s="616"/>
      <c r="S343" s="617"/>
      <c r="T343" s="66"/>
      <c r="U343" s="2"/>
      <c r="V343" s="43"/>
    </row>
    <row r="344" spans="2:25" s="1" customFormat="1" ht="17.25" thickBot="1" x14ac:dyDescent="0.35">
      <c r="B344" s="59"/>
      <c r="C344" s="60"/>
      <c r="D344" s="3093" t="s">
        <v>164</v>
      </c>
      <c r="E344" s="3093"/>
      <c r="F344" s="3093"/>
      <c r="G344" s="3093"/>
      <c r="H344" s="3093"/>
      <c r="I344" s="3093"/>
      <c r="J344" s="524"/>
      <c r="K344" s="183"/>
      <c r="L344" s="532"/>
      <c r="M344" s="180"/>
      <c r="N344" s="532"/>
      <c r="O344" s="183"/>
      <c r="P344" s="532"/>
      <c r="Q344" s="1160">
        <f>SUM(Q340:Q343)</f>
        <v>257.48800000000006</v>
      </c>
      <c r="R344" s="532"/>
      <c r="S344" s="240"/>
      <c r="T344" s="66"/>
      <c r="U344" s="2"/>
      <c r="V344" s="43"/>
    </row>
    <row r="345" spans="2:25" s="1" customFormat="1" x14ac:dyDescent="0.3">
      <c r="B345" s="59"/>
      <c r="C345" s="60"/>
      <c r="D345" s="38"/>
      <c r="E345" s="38"/>
      <c r="F345" s="38"/>
      <c r="G345" s="38"/>
      <c r="H345" s="38"/>
      <c r="I345" s="38"/>
      <c r="J345" s="551"/>
      <c r="K345" s="181"/>
      <c r="L345" s="529"/>
      <c r="M345" s="182"/>
      <c r="N345" s="529"/>
      <c r="O345" s="181"/>
      <c r="P345" s="529"/>
      <c r="Q345" s="121"/>
      <c r="R345" s="529"/>
      <c r="S345" s="239"/>
      <c r="T345" s="66"/>
      <c r="U345" s="2"/>
      <c r="V345" s="43"/>
    </row>
    <row r="346" spans="2:25" s="1" customFormat="1" x14ac:dyDescent="0.3">
      <c r="B346" s="1170">
        <f>RAB!B69</f>
        <v>10</v>
      </c>
      <c r="C346" s="60" t="str">
        <f>RAB!C69</f>
        <v>Balok 15x30 Cm (B3)</v>
      </c>
      <c r="D346" s="38"/>
      <c r="E346" s="38"/>
      <c r="F346" s="38"/>
      <c r="G346" s="38"/>
      <c r="H346" s="38"/>
      <c r="I346" s="38"/>
      <c r="J346" s="551"/>
      <c r="K346" s="181"/>
      <c r="L346" s="529"/>
      <c r="M346" s="182"/>
      <c r="N346" s="529"/>
      <c r="O346" s="181"/>
      <c r="P346" s="529"/>
      <c r="Q346" s="121"/>
      <c r="R346" s="529"/>
      <c r="S346" s="239"/>
      <c r="T346" s="66"/>
      <c r="U346" s="2"/>
      <c r="V346" s="43"/>
    </row>
    <row r="347" spans="2:25" s="1" customFormat="1" ht="17.25" thickBot="1" x14ac:dyDescent="0.35">
      <c r="B347" s="59"/>
      <c r="C347" s="60" t="str">
        <f>RAB!D70</f>
        <v xml:space="preserve">Beton mutu f'c=26,4 Mpa </v>
      </c>
      <c r="D347" s="38"/>
      <c r="E347" s="38"/>
      <c r="F347" s="38"/>
      <c r="G347" s="38"/>
      <c r="H347" s="38"/>
      <c r="I347" s="38"/>
      <c r="J347" s="551"/>
      <c r="K347" s="181"/>
      <c r="L347" s="529"/>
      <c r="M347" s="182"/>
      <c r="N347" s="529"/>
      <c r="O347" s="181"/>
      <c r="P347" s="529"/>
      <c r="Q347" s="121"/>
      <c r="R347" s="529"/>
      <c r="S347" s="239"/>
      <c r="T347" s="18">
        <f>ROUNDDOWN(S358,2)</f>
        <v>4.08</v>
      </c>
      <c r="U347" s="2" t="s">
        <v>3</v>
      </c>
      <c r="V347" s="43"/>
    </row>
    <row r="348" spans="2:25" s="1" customFormat="1" x14ac:dyDescent="0.3">
      <c r="B348" s="59"/>
      <c r="C348" s="60"/>
      <c r="D348" s="8" t="s">
        <v>95</v>
      </c>
      <c r="E348" s="155" t="s">
        <v>150</v>
      </c>
      <c r="F348" s="505"/>
      <c r="G348" s="155" t="s">
        <v>151</v>
      </c>
      <c r="H348" s="505"/>
      <c r="I348" s="155" t="s">
        <v>152</v>
      </c>
      <c r="J348" s="505"/>
      <c r="K348" s="155" t="s">
        <v>153</v>
      </c>
      <c r="L348" s="506"/>
      <c r="M348" s="164" t="s">
        <v>32</v>
      </c>
      <c r="N348" s="506"/>
      <c r="O348" s="206" t="s">
        <v>163</v>
      </c>
      <c r="P348" s="506"/>
      <c r="Q348" s="206" t="s">
        <v>151</v>
      </c>
      <c r="R348" s="506"/>
      <c r="S348" s="230" t="s">
        <v>143</v>
      </c>
      <c r="T348" s="66"/>
      <c r="U348" s="2"/>
      <c r="V348" s="43"/>
    </row>
    <row r="349" spans="2:25" s="1" customFormat="1" x14ac:dyDescent="0.3">
      <c r="B349" s="59"/>
      <c r="C349" s="60"/>
      <c r="D349" s="274" t="s">
        <v>156</v>
      </c>
      <c r="E349" s="331">
        <f>4-(0.2*1)</f>
        <v>3.8</v>
      </c>
      <c r="F349" s="594" t="s">
        <v>185</v>
      </c>
      <c r="G349" s="578">
        <v>0.15</v>
      </c>
      <c r="H349" s="604" t="s">
        <v>185</v>
      </c>
      <c r="I349" s="578">
        <f>0.3-0.12</f>
        <v>0.18</v>
      </c>
      <c r="J349" s="594" t="s">
        <v>185</v>
      </c>
      <c r="K349" s="578">
        <v>4</v>
      </c>
      <c r="L349" s="594" t="s">
        <v>185</v>
      </c>
      <c r="M349" s="578">
        <v>4</v>
      </c>
      <c r="N349" s="594"/>
      <c r="O349" s="578"/>
      <c r="P349" s="594"/>
      <c r="Q349" s="578"/>
      <c r="R349" s="594" t="s">
        <v>114</v>
      </c>
      <c r="S349" s="595">
        <f>E349*G349*I349*K349*M349</f>
        <v>1.6415999999999997</v>
      </c>
      <c r="T349" s="66"/>
      <c r="U349" s="2"/>
      <c r="V349" s="43"/>
    </row>
    <row r="350" spans="2:25" s="1" customFormat="1" x14ac:dyDescent="0.3">
      <c r="B350" s="59"/>
      <c r="C350" s="60"/>
      <c r="D350" s="151" t="s">
        <v>157</v>
      </c>
      <c r="E350" s="1161">
        <f>4-(0.2*1)</f>
        <v>3.8</v>
      </c>
      <c r="F350" s="509" t="s">
        <v>185</v>
      </c>
      <c r="G350" s="328">
        <v>0.15</v>
      </c>
      <c r="H350" s="510" t="s">
        <v>185</v>
      </c>
      <c r="I350" s="328">
        <f>0.3-0.12</f>
        <v>0.18</v>
      </c>
      <c r="J350" s="509" t="s">
        <v>185</v>
      </c>
      <c r="K350" s="328">
        <v>6</v>
      </c>
      <c r="L350" s="509" t="s">
        <v>185</v>
      </c>
      <c r="M350" s="328">
        <v>4</v>
      </c>
      <c r="N350" s="509"/>
      <c r="O350" s="328"/>
      <c r="P350" s="509"/>
      <c r="Q350" s="328"/>
      <c r="R350" s="509" t="s">
        <v>114</v>
      </c>
      <c r="S350" s="596">
        <f>E350*G350*I350*K350*M350</f>
        <v>2.4623999999999997</v>
      </c>
      <c r="T350" s="66"/>
      <c r="U350" s="2"/>
      <c r="V350" s="43"/>
    </row>
    <row r="351" spans="2:25" s="1" customFormat="1" x14ac:dyDescent="0.3">
      <c r="B351" s="59"/>
      <c r="C351" s="60"/>
      <c r="D351" s="1178"/>
      <c r="E351" s="1161">
        <f>2-(0.2*1)</f>
        <v>1.8</v>
      </c>
      <c r="F351" s="509" t="s">
        <v>185</v>
      </c>
      <c r="G351" s="328">
        <v>0.15</v>
      </c>
      <c r="H351" s="510" t="s">
        <v>185</v>
      </c>
      <c r="I351" s="328">
        <f>0.3-0.12</f>
        <v>0.18</v>
      </c>
      <c r="J351" s="509" t="s">
        <v>185</v>
      </c>
      <c r="K351" s="328">
        <v>1</v>
      </c>
      <c r="L351" s="509" t="s">
        <v>185</v>
      </c>
      <c r="M351" s="328">
        <v>4</v>
      </c>
      <c r="N351" s="509"/>
      <c r="O351" s="328"/>
      <c r="P351" s="509"/>
      <c r="Q351" s="328"/>
      <c r="R351" s="509" t="s">
        <v>114</v>
      </c>
      <c r="S351" s="596">
        <f>E351*G351*I351*K351*M351</f>
        <v>0.19440000000000002</v>
      </c>
      <c r="T351" s="66"/>
      <c r="U351" s="2"/>
      <c r="V351" s="43"/>
    </row>
    <row r="352" spans="2:25" s="1" customFormat="1" x14ac:dyDescent="0.3">
      <c r="B352" s="59"/>
      <c r="C352" s="60"/>
      <c r="D352" s="1178"/>
      <c r="E352" s="1161"/>
      <c r="F352" s="509"/>
      <c r="G352" s="328"/>
      <c r="H352" s="510"/>
      <c r="I352" s="328"/>
      <c r="J352" s="509"/>
      <c r="K352" s="328"/>
      <c r="L352" s="509"/>
      <c r="M352" s="328"/>
      <c r="N352" s="509"/>
      <c r="O352" s="328"/>
      <c r="P352" s="509"/>
      <c r="Q352" s="328"/>
      <c r="R352" s="509"/>
      <c r="S352" s="1176">
        <f>SUM(S349:S351)</f>
        <v>4.2983999999999991</v>
      </c>
      <c r="T352" s="66"/>
      <c r="U352" s="2"/>
      <c r="V352" s="43"/>
    </row>
    <row r="353" spans="2:23" x14ac:dyDescent="0.3">
      <c r="B353" s="341"/>
      <c r="C353" s="342"/>
      <c r="D353" s="138" t="s">
        <v>244</v>
      </c>
      <c r="E353" s="328"/>
      <c r="F353" s="509"/>
      <c r="G353" s="328"/>
      <c r="H353" s="509"/>
      <c r="I353" s="328"/>
      <c r="J353" s="509"/>
      <c r="K353" s="328"/>
      <c r="L353" s="509"/>
      <c r="M353" s="328"/>
      <c r="N353" s="509"/>
      <c r="O353" s="328"/>
      <c r="P353" s="517"/>
      <c r="Q353" s="328"/>
      <c r="R353" s="517"/>
      <c r="S353" s="519"/>
    </row>
    <row r="354" spans="2:23" x14ac:dyDescent="0.3">
      <c r="B354" s="341"/>
      <c r="C354" s="342"/>
      <c r="D354" s="140" t="s">
        <v>733</v>
      </c>
      <c r="E354" s="328"/>
      <c r="F354" s="509"/>
      <c r="G354" s="328"/>
      <c r="H354" s="509"/>
      <c r="I354" s="328"/>
      <c r="J354" s="509"/>
      <c r="K354" s="328">
        <f>S371</f>
        <v>918.95150285714271</v>
      </c>
      <c r="L354" s="517" t="s">
        <v>253</v>
      </c>
      <c r="M354" s="328"/>
      <c r="N354" s="517"/>
      <c r="O354" s="328">
        <v>7850</v>
      </c>
      <c r="P354" s="517"/>
      <c r="Q354" s="328"/>
      <c r="R354" s="517" t="s">
        <v>149</v>
      </c>
      <c r="S354" s="519">
        <f>K354/O354</f>
        <v>0.11706388571428569</v>
      </c>
    </row>
    <row r="355" spans="2:23" s="1" customFormat="1" x14ac:dyDescent="0.3">
      <c r="B355" s="59"/>
      <c r="C355" s="60"/>
      <c r="D355" s="140" t="s">
        <v>734</v>
      </c>
      <c r="E355" s="328"/>
      <c r="F355" s="509"/>
      <c r="G355" s="328"/>
      <c r="H355" s="509"/>
      <c r="I355" s="328"/>
      <c r="J355" s="509"/>
      <c r="K355" s="328">
        <f>S379</f>
        <v>740.34022857142872</v>
      </c>
      <c r="L355" s="517" t="s">
        <v>253</v>
      </c>
      <c r="M355" s="328"/>
      <c r="N355" s="517"/>
      <c r="O355" s="328">
        <f>O354</f>
        <v>7850</v>
      </c>
      <c r="P355" s="517"/>
      <c r="Q355" s="328"/>
      <c r="R355" s="517" t="s">
        <v>149</v>
      </c>
      <c r="S355" s="519">
        <f>K355/O355</f>
        <v>9.4310857142857168E-2</v>
      </c>
      <c r="T355" s="66"/>
      <c r="U355" s="2"/>
      <c r="V355" s="43"/>
    </row>
    <row r="356" spans="2:23" s="1" customFormat="1" x14ac:dyDescent="0.3">
      <c r="B356" s="59"/>
      <c r="C356" s="60"/>
      <c r="D356" s="555"/>
      <c r="E356" s="554"/>
      <c r="F356" s="556"/>
      <c r="G356" s="554"/>
      <c r="H356" s="556"/>
      <c r="I356" s="554"/>
      <c r="J356" s="556"/>
      <c r="K356" s="554"/>
      <c r="L356" s="526"/>
      <c r="M356" s="554"/>
      <c r="N356" s="526"/>
      <c r="O356" s="554"/>
      <c r="P356" s="526"/>
      <c r="Q356" s="554"/>
      <c r="R356" s="526"/>
      <c r="S356" s="1177">
        <f>SUM(S354:S355)</f>
        <v>0.21137474285714286</v>
      </c>
      <c r="T356" s="66"/>
      <c r="U356" s="2"/>
      <c r="V356" s="43"/>
    </row>
    <row r="357" spans="2:23" x14ac:dyDescent="0.3">
      <c r="B357" s="341"/>
      <c r="C357" s="342"/>
      <c r="D357" s="466"/>
      <c r="E357" s="580"/>
      <c r="F357" s="581"/>
      <c r="G357" s="580"/>
      <c r="H357" s="581"/>
      <c r="I357" s="580"/>
      <c r="J357" s="581"/>
      <c r="K357" s="580"/>
      <c r="L357" s="581"/>
      <c r="M357" s="503"/>
      <c r="N357" s="581"/>
      <c r="O357" s="580"/>
      <c r="P357" s="581"/>
      <c r="Q357" s="580"/>
      <c r="R357" s="581"/>
      <c r="S357" s="550"/>
    </row>
    <row r="358" spans="2:23" s="1" customFormat="1" ht="17.25" thickBot="1" x14ac:dyDescent="0.35">
      <c r="B358" s="59"/>
      <c r="C358" s="60"/>
      <c r="D358" s="3093" t="s">
        <v>164</v>
      </c>
      <c r="E358" s="3093"/>
      <c r="F358" s="3093"/>
      <c r="G358" s="3093"/>
      <c r="H358" s="3093"/>
      <c r="I358" s="3093"/>
      <c r="J358" s="524"/>
      <c r="K358" s="183"/>
      <c r="L358" s="532"/>
      <c r="M358" s="180"/>
      <c r="N358" s="532"/>
      <c r="O358" s="183"/>
      <c r="P358" s="532"/>
      <c r="Q358" s="183"/>
      <c r="R358" s="532"/>
      <c r="S358" s="240">
        <f>S352-S356</f>
        <v>4.087025257142856</v>
      </c>
      <c r="T358" s="66"/>
      <c r="U358" s="2"/>
      <c r="V358" s="43"/>
    </row>
    <row r="359" spans="2:23" s="1" customFormat="1" x14ac:dyDescent="0.3">
      <c r="B359" s="59"/>
      <c r="C359" s="60"/>
      <c r="D359" s="38"/>
      <c r="E359" s="38"/>
      <c r="F359" s="38"/>
      <c r="G359" s="38"/>
      <c r="H359" s="38"/>
      <c r="I359" s="38"/>
      <c r="J359" s="551"/>
      <c r="K359" s="181"/>
      <c r="L359" s="529"/>
      <c r="M359" s="182"/>
      <c r="N359" s="529"/>
      <c r="O359" s="181"/>
      <c r="P359" s="529"/>
      <c r="Q359" s="181"/>
      <c r="R359" s="529"/>
      <c r="S359" s="239"/>
      <c r="T359" s="66"/>
      <c r="U359" s="2"/>
      <c r="V359" s="43"/>
    </row>
    <row r="360" spans="2:23" s="1" customFormat="1" ht="17.25" thickBot="1" x14ac:dyDescent="0.35">
      <c r="B360" s="59"/>
      <c r="C360" s="60" t="str">
        <f>RAB!D71</f>
        <v>Pembesian Ulir</v>
      </c>
      <c r="D360" s="38"/>
      <c r="E360" s="38"/>
      <c r="F360" s="38"/>
      <c r="G360" s="38"/>
      <c r="H360" s="38"/>
      <c r="I360" s="38"/>
      <c r="J360" s="551"/>
      <c r="K360" s="181"/>
      <c r="L360" s="529"/>
      <c r="M360" s="182"/>
      <c r="N360" s="529"/>
      <c r="O360" s="181"/>
      <c r="P360" s="529"/>
      <c r="Q360" s="121"/>
      <c r="R360" s="529"/>
      <c r="S360" s="239"/>
      <c r="T360" s="18">
        <f>ROUNDDOWN(S371,2)</f>
        <v>918.95</v>
      </c>
      <c r="U360" s="2" t="s">
        <v>0</v>
      </c>
      <c r="V360" s="43"/>
    </row>
    <row r="361" spans="2:23" s="1" customFormat="1" x14ac:dyDescent="0.3">
      <c r="B361" s="59"/>
      <c r="C361" s="60"/>
      <c r="D361" s="8" t="s">
        <v>95</v>
      </c>
      <c r="E361" s="155" t="s">
        <v>150</v>
      </c>
      <c r="F361" s="505"/>
      <c r="G361" s="155" t="s">
        <v>151</v>
      </c>
      <c r="H361" s="505"/>
      <c r="I361" s="155" t="s">
        <v>152</v>
      </c>
      <c r="J361" s="505"/>
      <c r="K361" s="155" t="s">
        <v>153</v>
      </c>
      <c r="L361" s="506"/>
      <c r="M361" s="164" t="s">
        <v>32</v>
      </c>
      <c r="N361" s="506"/>
      <c r="O361" s="206" t="s">
        <v>163</v>
      </c>
      <c r="P361" s="506"/>
      <c r="Q361" s="206" t="s">
        <v>151</v>
      </c>
      <c r="R361" s="506"/>
      <c r="S361" s="230" t="s">
        <v>143</v>
      </c>
      <c r="T361" s="66"/>
      <c r="U361" s="2"/>
      <c r="V361" s="43"/>
      <c r="W361" s="325"/>
    </row>
    <row r="362" spans="2:23" x14ac:dyDescent="0.3">
      <c r="B362" s="341"/>
      <c r="C362" s="342"/>
      <c r="D362" s="277" t="s">
        <v>1329</v>
      </c>
      <c r="E362" s="331"/>
      <c r="F362" s="565"/>
      <c r="G362" s="331"/>
      <c r="H362" s="575"/>
      <c r="I362" s="331"/>
      <c r="J362" s="575"/>
      <c r="K362" s="331"/>
      <c r="L362" s="565"/>
      <c r="M362" s="331"/>
      <c r="N362" s="565"/>
      <c r="O362" s="331"/>
      <c r="P362" s="565"/>
      <c r="Q362" s="606"/>
      <c r="R362" s="565"/>
      <c r="S362" s="577"/>
    </row>
    <row r="363" spans="2:23" x14ac:dyDescent="0.3">
      <c r="B363" s="341"/>
      <c r="C363" s="342"/>
      <c r="D363" s="279" t="s">
        <v>615</v>
      </c>
      <c r="E363" s="534">
        <f>16+(40*0.013*8)</f>
        <v>20.16</v>
      </c>
      <c r="F363" s="509" t="s">
        <v>185</v>
      </c>
      <c r="G363" s="328"/>
      <c r="H363" s="510"/>
      <c r="I363" s="328"/>
      <c r="J363" s="510"/>
      <c r="K363" s="328">
        <v>1</v>
      </c>
      <c r="L363" s="509" t="s">
        <v>185</v>
      </c>
      <c r="M363" s="328">
        <f>M349</f>
        <v>4</v>
      </c>
      <c r="N363" s="509" t="s">
        <v>185</v>
      </c>
      <c r="O363" s="328">
        <v>7850</v>
      </c>
      <c r="P363" s="509" t="s">
        <v>185</v>
      </c>
      <c r="Q363" s="1162">
        <f>22/7*0.0065*0.0065</f>
        <v>1.3278571428571427E-4</v>
      </c>
      <c r="R363" s="509" t="s">
        <v>114</v>
      </c>
      <c r="S363" s="596">
        <f>E363*K363*M363*O363*Q363</f>
        <v>84.056543999999988</v>
      </c>
    </row>
    <row r="364" spans="2:23" x14ac:dyDescent="0.3">
      <c r="B364" s="341"/>
      <c r="C364" s="342"/>
      <c r="D364" s="279" t="s">
        <v>616</v>
      </c>
      <c r="E364" s="328">
        <v>16</v>
      </c>
      <c r="F364" s="509" t="s">
        <v>185</v>
      </c>
      <c r="G364" s="328"/>
      <c r="H364" s="510"/>
      <c r="I364" s="328"/>
      <c r="J364" s="510"/>
      <c r="K364" s="328">
        <v>4</v>
      </c>
      <c r="L364" s="509" t="s">
        <v>185</v>
      </c>
      <c r="M364" s="328">
        <f>M350</f>
        <v>4</v>
      </c>
      <c r="N364" s="509" t="s">
        <v>185</v>
      </c>
      <c r="O364" s="328">
        <v>7850</v>
      </c>
      <c r="P364" s="509" t="s">
        <v>185</v>
      </c>
      <c r="Q364" s="1162">
        <f>22/7*0.0065*0.0065</f>
        <v>1.3278571428571427E-4</v>
      </c>
      <c r="R364" s="509" t="s">
        <v>114</v>
      </c>
      <c r="S364" s="596">
        <f>E364*K364*M364*O364*Q364</f>
        <v>266.84617142857138</v>
      </c>
    </row>
    <row r="365" spans="2:23" x14ac:dyDescent="0.3">
      <c r="B365" s="341"/>
      <c r="C365" s="342"/>
      <c r="D365" s="279"/>
      <c r="E365" s="328"/>
      <c r="F365" s="509"/>
      <c r="G365" s="328"/>
      <c r="H365" s="510"/>
      <c r="I365" s="328"/>
      <c r="J365" s="510"/>
      <c r="K365" s="328"/>
      <c r="L365" s="509"/>
      <c r="M365" s="328"/>
      <c r="N365" s="509"/>
      <c r="O365" s="328"/>
      <c r="P365" s="509"/>
      <c r="Q365" s="607"/>
      <c r="R365" s="509"/>
      <c r="S365" s="596"/>
    </row>
    <row r="366" spans="2:23" x14ac:dyDescent="0.3">
      <c r="B366" s="341"/>
      <c r="C366" s="342"/>
      <c r="D366" s="281" t="s">
        <v>1330</v>
      </c>
      <c r="E366" s="1161"/>
      <c r="F366" s="518"/>
      <c r="G366" s="1161"/>
      <c r="H366" s="517"/>
      <c r="I366" s="1161"/>
      <c r="J366" s="517"/>
      <c r="K366" s="1161"/>
      <c r="L366" s="518"/>
      <c r="M366" s="1161"/>
      <c r="N366" s="518"/>
      <c r="O366" s="1161"/>
      <c r="P366" s="518"/>
      <c r="Q366" s="608"/>
      <c r="R366" s="518"/>
      <c r="S366" s="519"/>
    </row>
    <row r="367" spans="2:23" x14ac:dyDescent="0.3">
      <c r="B367" s="341"/>
      <c r="C367" s="342"/>
      <c r="D367" s="279" t="s">
        <v>615</v>
      </c>
      <c r="E367" s="534">
        <f>(8*3)+(40*0.013*12)</f>
        <v>30.240000000000002</v>
      </c>
      <c r="F367" s="509" t="s">
        <v>185</v>
      </c>
      <c r="G367" s="328"/>
      <c r="H367" s="510"/>
      <c r="I367" s="328"/>
      <c r="J367" s="510"/>
      <c r="K367" s="328">
        <v>1</v>
      </c>
      <c r="L367" s="509" t="s">
        <v>185</v>
      </c>
      <c r="M367" s="328">
        <f>M350</f>
        <v>4</v>
      </c>
      <c r="N367" s="509" t="s">
        <v>185</v>
      </c>
      <c r="O367" s="328">
        <v>7850</v>
      </c>
      <c r="P367" s="509" t="s">
        <v>185</v>
      </c>
      <c r="Q367" s="1162">
        <f>22/7*0.0065*0.0065</f>
        <v>1.3278571428571427E-4</v>
      </c>
      <c r="R367" s="509" t="s">
        <v>114</v>
      </c>
      <c r="S367" s="596">
        <f>E367*K367*M367*O367*Q367</f>
        <v>126.084816</v>
      </c>
    </row>
    <row r="368" spans="2:23" x14ac:dyDescent="0.3">
      <c r="B368" s="341"/>
      <c r="C368" s="342"/>
      <c r="D368" s="279" t="s">
        <v>616</v>
      </c>
      <c r="E368" s="534">
        <f>(8*3)</f>
        <v>24</v>
      </c>
      <c r="F368" s="509" t="s">
        <v>185</v>
      </c>
      <c r="G368" s="328"/>
      <c r="H368" s="510"/>
      <c r="I368" s="328"/>
      <c r="J368" s="510"/>
      <c r="K368" s="328">
        <v>4</v>
      </c>
      <c r="L368" s="509" t="s">
        <v>185</v>
      </c>
      <c r="M368" s="328">
        <f>M367</f>
        <v>4</v>
      </c>
      <c r="N368" s="509" t="s">
        <v>185</v>
      </c>
      <c r="O368" s="328">
        <v>7850</v>
      </c>
      <c r="P368" s="509" t="s">
        <v>185</v>
      </c>
      <c r="Q368" s="1162">
        <f>22/7*0.0065*0.0065</f>
        <v>1.3278571428571427E-4</v>
      </c>
      <c r="R368" s="509" t="s">
        <v>114</v>
      </c>
      <c r="S368" s="596">
        <f>E368*K368*M368*O368*Q368</f>
        <v>400.2692571428571</v>
      </c>
    </row>
    <row r="369" spans="2:25" x14ac:dyDescent="0.3">
      <c r="B369" s="341"/>
      <c r="C369" s="342"/>
      <c r="D369" s="281" t="s">
        <v>1330</v>
      </c>
      <c r="E369" s="534">
        <f>2</f>
        <v>2</v>
      </c>
      <c r="F369" s="509" t="s">
        <v>185</v>
      </c>
      <c r="G369" s="328"/>
      <c r="H369" s="510"/>
      <c r="I369" s="328"/>
      <c r="J369" s="510"/>
      <c r="K369" s="328">
        <v>5</v>
      </c>
      <c r="L369" s="509" t="s">
        <v>185</v>
      </c>
      <c r="M369" s="328">
        <f>M351</f>
        <v>4</v>
      </c>
      <c r="N369" s="509" t="s">
        <v>185</v>
      </c>
      <c r="O369" s="328">
        <v>7850</v>
      </c>
      <c r="P369" s="509" t="s">
        <v>185</v>
      </c>
      <c r="Q369" s="1162">
        <f>22/7*0.0065*0.0065</f>
        <v>1.3278571428571427E-4</v>
      </c>
      <c r="R369" s="509" t="s">
        <v>114</v>
      </c>
      <c r="S369" s="596">
        <f>E369*K369*M369*O369*Q369</f>
        <v>41.694714285714284</v>
      </c>
    </row>
    <row r="370" spans="2:25" x14ac:dyDescent="0.3">
      <c r="B370" s="341"/>
      <c r="C370" s="342"/>
      <c r="D370" s="466"/>
      <c r="E370" s="580"/>
      <c r="F370" s="605"/>
      <c r="G370" s="580"/>
      <c r="H370" s="581"/>
      <c r="I370" s="580"/>
      <c r="J370" s="581"/>
      <c r="K370" s="580"/>
      <c r="L370" s="605"/>
      <c r="M370" s="580"/>
      <c r="N370" s="605"/>
      <c r="O370" s="580"/>
      <c r="P370" s="605"/>
      <c r="Q370" s="503"/>
      <c r="R370" s="605"/>
      <c r="S370" s="597"/>
    </row>
    <row r="371" spans="2:25" s="1" customFormat="1" ht="17.25" thickBot="1" x14ac:dyDescent="0.35">
      <c r="B371" s="59"/>
      <c r="C371" s="60"/>
      <c r="D371" s="3093" t="s">
        <v>164</v>
      </c>
      <c r="E371" s="3093"/>
      <c r="F371" s="3093"/>
      <c r="G371" s="3093"/>
      <c r="H371" s="3093"/>
      <c r="I371" s="3093"/>
      <c r="J371" s="524"/>
      <c r="K371" s="183"/>
      <c r="L371" s="532"/>
      <c r="M371" s="180"/>
      <c r="N371" s="532"/>
      <c r="O371" s="183"/>
      <c r="P371" s="532"/>
      <c r="Q371" s="183"/>
      <c r="R371" s="532"/>
      <c r="S371" s="240">
        <f>SUM(S362:S370)</f>
        <v>918.95150285714271</v>
      </c>
      <c r="T371" s="66"/>
      <c r="U371" s="2"/>
      <c r="V371" s="43"/>
    </row>
    <row r="372" spans="2:25" x14ac:dyDescent="0.3">
      <c r="B372" s="341"/>
      <c r="C372" s="342"/>
      <c r="D372" s="343"/>
      <c r="E372" s="471"/>
      <c r="F372" s="489"/>
      <c r="G372" s="471"/>
      <c r="H372" s="489"/>
      <c r="I372" s="471"/>
      <c r="J372" s="489"/>
      <c r="K372" s="458"/>
      <c r="L372" s="487"/>
      <c r="M372" s="459"/>
      <c r="N372" s="487"/>
      <c r="O372" s="458"/>
      <c r="P372" s="487"/>
      <c r="Q372" s="458"/>
      <c r="R372" s="487"/>
      <c r="S372" s="470"/>
    </row>
    <row r="373" spans="2:25" s="1" customFormat="1" ht="17.25" thickBot="1" x14ac:dyDescent="0.35">
      <c r="B373" s="59"/>
      <c r="C373" s="60" t="str">
        <f>RAB!D72</f>
        <v>Pembesian sengkang</v>
      </c>
      <c r="D373" s="38"/>
      <c r="E373" s="38"/>
      <c r="F373" s="38"/>
      <c r="G373" s="38"/>
      <c r="H373" s="38"/>
      <c r="I373" s="38"/>
      <c r="J373" s="551"/>
      <c r="K373" s="181"/>
      <c r="L373" s="529"/>
      <c r="M373" s="182"/>
      <c r="N373" s="529"/>
      <c r="O373" s="181"/>
      <c r="P373" s="529"/>
      <c r="Q373" s="121"/>
      <c r="R373" s="529"/>
      <c r="S373" s="239"/>
      <c r="T373" s="18">
        <f>ROUNDDOWN(S379,2)</f>
        <v>740.34</v>
      </c>
      <c r="U373" s="2" t="s">
        <v>0</v>
      </c>
      <c r="V373" s="43"/>
    </row>
    <row r="374" spans="2:25" s="1" customFormat="1" x14ac:dyDescent="0.3">
      <c r="B374" s="59"/>
      <c r="C374" s="60"/>
      <c r="D374" s="8" t="s">
        <v>95</v>
      </c>
      <c r="E374" s="155" t="s">
        <v>150</v>
      </c>
      <c r="F374" s="505"/>
      <c r="G374" s="155" t="s">
        <v>151</v>
      </c>
      <c r="H374" s="505"/>
      <c r="I374" s="155" t="s">
        <v>152</v>
      </c>
      <c r="J374" s="505"/>
      <c r="K374" s="155" t="s">
        <v>153</v>
      </c>
      <c r="L374" s="506"/>
      <c r="M374" s="164" t="s">
        <v>32</v>
      </c>
      <c r="N374" s="506"/>
      <c r="O374" s="206" t="s">
        <v>163</v>
      </c>
      <c r="P374" s="506"/>
      <c r="Q374" s="206" t="s">
        <v>151</v>
      </c>
      <c r="R374" s="506"/>
      <c r="S374" s="230" t="s">
        <v>143</v>
      </c>
      <c r="T374" s="66"/>
      <c r="U374" s="2"/>
      <c r="V374" s="43"/>
      <c r="W374" s="37"/>
      <c r="Y374" s="37"/>
    </row>
    <row r="375" spans="2:25" s="1" customFormat="1" x14ac:dyDescent="0.3">
      <c r="B375" s="59"/>
      <c r="C375" s="60"/>
      <c r="D375" s="149" t="s">
        <v>237</v>
      </c>
      <c r="E375" s="578">
        <f>(0.29+0.09)*2+ (2*6*0.01)</f>
        <v>0.88</v>
      </c>
      <c r="F375" s="565" t="s">
        <v>185</v>
      </c>
      <c r="G375" s="331"/>
      <c r="H375" s="575"/>
      <c r="I375" s="331"/>
      <c r="J375" s="575"/>
      <c r="K375" s="331">
        <f>W375</f>
        <v>129</v>
      </c>
      <c r="L375" s="565" t="s">
        <v>185</v>
      </c>
      <c r="M375" s="331">
        <f>M349</f>
        <v>4</v>
      </c>
      <c r="N375" s="565" t="s">
        <v>185</v>
      </c>
      <c r="O375" s="331">
        <v>7850</v>
      </c>
      <c r="P375" s="565" t="s">
        <v>185</v>
      </c>
      <c r="Q375" s="606">
        <f>22/7*0.005*0.005</f>
        <v>7.857142857142858E-5</v>
      </c>
      <c r="R375" s="1069" t="s">
        <v>114</v>
      </c>
      <c r="S375" s="577">
        <f>E375*K375*M375*O375*Q375</f>
        <v>280.07005714285719</v>
      </c>
      <c r="T375" s="66"/>
      <c r="U375" s="2"/>
      <c r="V375" s="43"/>
      <c r="W375" s="132">
        <f>16/0.125+1</f>
        <v>129</v>
      </c>
      <c r="X375" s="37"/>
      <c r="Y375" s="37"/>
    </row>
    <row r="376" spans="2:25" s="1" customFormat="1" x14ac:dyDescent="0.3">
      <c r="B376" s="59"/>
      <c r="C376" s="60"/>
      <c r="D376" s="139" t="s">
        <v>238</v>
      </c>
      <c r="E376" s="328">
        <f>(0.29+0.09)*2+ (2*6*0.01)</f>
        <v>0.88</v>
      </c>
      <c r="F376" s="518" t="s">
        <v>185</v>
      </c>
      <c r="G376" s="1161"/>
      <c r="H376" s="517"/>
      <c r="I376" s="1161"/>
      <c r="J376" s="517"/>
      <c r="K376" s="1161">
        <f>W376*3</f>
        <v>195</v>
      </c>
      <c r="L376" s="518" t="s">
        <v>185</v>
      </c>
      <c r="M376" s="1161">
        <f>M350</f>
        <v>4</v>
      </c>
      <c r="N376" s="518" t="s">
        <v>185</v>
      </c>
      <c r="O376" s="1161">
        <v>7850</v>
      </c>
      <c r="P376" s="518" t="s">
        <v>185</v>
      </c>
      <c r="Q376" s="608">
        <f>22/7*0.005*0.005</f>
        <v>7.857142857142858E-5</v>
      </c>
      <c r="R376" s="1070" t="s">
        <v>114</v>
      </c>
      <c r="S376" s="519">
        <f>E376*K376*M376*O376*Q376</f>
        <v>423.36171428571436</v>
      </c>
      <c r="T376" s="66"/>
      <c r="U376" s="2"/>
      <c r="V376" s="43"/>
      <c r="W376" s="132">
        <f>8/0.125+1</f>
        <v>65</v>
      </c>
      <c r="X376" s="37"/>
      <c r="Y376" s="37"/>
    </row>
    <row r="377" spans="2:25" s="1" customFormat="1" x14ac:dyDescent="0.3">
      <c r="B377" s="59"/>
      <c r="C377" s="60"/>
      <c r="D377" s="139"/>
      <c r="E377" s="328">
        <f>(0.29+0.09)*2+ (2*6*0.01)</f>
        <v>0.88</v>
      </c>
      <c r="F377" s="518" t="s">
        <v>185</v>
      </c>
      <c r="G377" s="1161"/>
      <c r="H377" s="517"/>
      <c r="I377" s="1161"/>
      <c r="J377" s="517"/>
      <c r="K377" s="1161">
        <f>W377</f>
        <v>17</v>
      </c>
      <c r="L377" s="518" t="s">
        <v>185</v>
      </c>
      <c r="M377" s="1161">
        <f>M351</f>
        <v>4</v>
      </c>
      <c r="N377" s="518" t="s">
        <v>185</v>
      </c>
      <c r="O377" s="1161">
        <v>7850</v>
      </c>
      <c r="P377" s="518" t="s">
        <v>185</v>
      </c>
      <c r="Q377" s="608">
        <f>22/7*0.005*0.005</f>
        <v>7.857142857142858E-5</v>
      </c>
      <c r="R377" s="1070" t="s">
        <v>114</v>
      </c>
      <c r="S377" s="519">
        <f>E377*K377*M377*O377*Q377</f>
        <v>36.908457142857145</v>
      </c>
      <c r="T377" s="66"/>
      <c r="U377" s="2"/>
      <c r="V377" s="43"/>
      <c r="W377" s="132">
        <f>2/0.125+1</f>
        <v>17</v>
      </c>
      <c r="X377" s="37"/>
      <c r="Y377" s="37"/>
    </row>
    <row r="378" spans="2:25" s="1" customFormat="1" x14ac:dyDescent="0.3">
      <c r="B378" s="59"/>
      <c r="C378" s="60"/>
      <c r="D378" s="150"/>
      <c r="E378" s="592"/>
      <c r="F378" s="593"/>
      <c r="G378" s="592"/>
      <c r="H378" s="593"/>
      <c r="I378" s="592"/>
      <c r="J378" s="593"/>
      <c r="K378" s="592"/>
      <c r="L378" s="593"/>
      <c r="M378" s="592"/>
      <c r="N378" s="593"/>
      <c r="O378" s="592"/>
      <c r="P378" s="593"/>
      <c r="Q378" s="592"/>
      <c r="R378" s="593"/>
      <c r="S378" s="599"/>
      <c r="T378" s="66"/>
      <c r="U378" s="2"/>
      <c r="V378" s="43"/>
    </row>
    <row r="379" spans="2:25" s="1" customFormat="1" ht="17.25" thickBot="1" x14ac:dyDescent="0.35">
      <c r="B379" s="59"/>
      <c r="C379" s="60"/>
      <c r="D379" s="3093" t="s">
        <v>164</v>
      </c>
      <c r="E379" s="3093"/>
      <c r="F379" s="3093"/>
      <c r="G379" s="3093"/>
      <c r="H379" s="3093"/>
      <c r="I379" s="3093"/>
      <c r="J379" s="524"/>
      <c r="K379" s="183"/>
      <c r="L379" s="532"/>
      <c r="M379" s="180"/>
      <c r="N379" s="532"/>
      <c r="O379" s="183"/>
      <c r="P379" s="532"/>
      <c r="Q379" s="183"/>
      <c r="R379" s="532"/>
      <c r="S379" s="240">
        <f>SUM(S375:S378)</f>
        <v>740.34022857142872</v>
      </c>
      <c r="T379" s="66"/>
      <c r="U379" s="2"/>
      <c r="V379" s="43"/>
    </row>
    <row r="380" spans="2:25" x14ac:dyDescent="0.3">
      <c r="B380" s="341"/>
      <c r="C380" s="342"/>
      <c r="D380" s="343"/>
      <c r="E380" s="471"/>
      <c r="F380" s="489"/>
      <c r="G380" s="471"/>
      <c r="H380" s="489"/>
      <c r="I380" s="471"/>
      <c r="J380" s="489"/>
      <c r="K380" s="458"/>
      <c r="L380" s="487"/>
      <c r="M380" s="459"/>
      <c r="N380" s="487"/>
      <c r="O380" s="458"/>
      <c r="P380" s="487"/>
      <c r="Q380" s="458"/>
      <c r="R380" s="487"/>
      <c r="S380" s="470"/>
    </row>
    <row r="381" spans="2:25" s="1" customFormat="1" ht="17.25" thickBot="1" x14ac:dyDescent="0.35">
      <c r="B381" s="59"/>
      <c r="C381" s="60" t="str">
        <f>RAB!D73</f>
        <v>Bekisting Balok</v>
      </c>
      <c r="D381" s="38"/>
      <c r="E381" s="38"/>
      <c r="F381" s="38"/>
      <c r="G381" s="38"/>
      <c r="H381" s="38"/>
      <c r="I381" s="38"/>
      <c r="J381" s="551"/>
      <c r="K381" s="181"/>
      <c r="L381" s="529"/>
      <c r="M381" s="182"/>
      <c r="N381" s="529"/>
      <c r="O381" s="181"/>
      <c r="P381" s="529"/>
      <c r="Q381" s="121"/>
      <c r="R381" s="529"/>
      <c r="S381" s="239"/>
      <c r="T381" s="18">
        <f>ROUNDDOWN(Q387,2)</f>
        <v>81.19</v>
      </c>
      <c r="U381" s="2" t="s">
        <v>2</v>
      </c>
      <c r="V381" s="43"/>
    </row>
    <row r="382" spans="2:25" s="1" customFormat="1" x14ac:dyDescent="0.3">
      <c r="B382" s="59"/>
      <c r="C382" s="60"/>
      <c r="D382" s="8" t="s">
        <v>95</v>
      </c>
      <c r="E382" s="155" t="s">
        <v>150</v>
      </c>
      <c r="F382" s="505"/>
      <c r="G382" s="155" t="s">
        <v>151</v>
      </c>
      <c r="H382" s="505"/>
      <c r="I382" s="155" t="s">
        <v>152</v>
      </c>
      <c r="J382" s="505"/>
      <c r="K382" s="155" t="s">
        <v>153</v>
      </c>
      <c r="L382" s="506"/>
      <c r="M382" s="164" t="s">
        <v>32</v>
      </c>
      <c r="N382" s="506"/>
      <c r="O382" s="206" t="s">
        <v>163</v>
      </c>
      <c r="P382" s="506"/>
      <c r="Q382" s="206" t="s">
        <v>151</v>
      </c>
      <c r="R382" s="506"/>
      <c r="S382" s="230" t="s">
        <v>143</v>
      </c>
      <c r="T382" s="66"/>
      <c r="U382" s="2"/>
      <c r="V382" s="43"/>
    </row>
    <row r="383" spans="2:25" s="1" customFormat="1" x14ac:dyDescent="0.3">
      <c r="B383" s="59"/>
      <c r="C383" s="60"/>
      <c r="D383" s="149" t="s">
        <v>156</v>
      </c>
      <c r="E383" s="609">
        <f>E349</f>
        <v>3.8</v>
      </c>
      <c r="F383" s="610" t="s">
        <v>185</v>
      </c>
      <c r="G383" s="609">
        <f>G349+2*I349</f>
        <v>0.51</v>
      </c>
      <c r="H383" s="610" t="s">
        <v>185</v>
      </c>
      <c r="I383" s="609"/>
      <c r="J383" s="610"/>
      <c r="K383" s="609">
        <f>K349</f>
        <v>4</v>
      </c>
      <c r="L383" s="610" t="s">
        <v>185</v>
      </c>
      <c r="M383" s="609">
        <f>M349</f>
        <v>4</v>
      </c>
      <c r="N383" s="610"/>
      <c r="O383" s="609"/>
      <c r="P383" s="610" t="s">
        <v>114</v>
      </c>
      <c r="Q383" s="609">
        <f>E383*G383*K383*M383</f>
        <v>31.007999999999999</v>
      </c>
      <c r="R383" s="610"/>
      <c r="S383" s="611"/>
      <c r="T383" s="66"/>
      <c r="U383" s="2"/>
      <c r="V383" s="43"/>
    </row>
    <row r="384" spans="2:25" s="1" customFormat="1" x14ac:dyDescent="0.3">
      <c r="B384" s="59"/>
      <c r="C384" s="60"/>
      <c r="D384" s="139" t="s">
        <v>157</v>
      </c>
      <c r="E384" s="612">
        <f>E350</f>
        <v>3.8</v>
      </c>
      <c r="F384" s="613" t="s">
        <v>185</v>
      </c>
      <c r="G384" s="612">
        <f>G350+2*I350</f>
        <v>0.51</v>
      </c>
      <c r="H384" s="613" t="s">
        <v>185</v>
      </c>
      <c r="I384" s="612"/>
      <c r="J384" s="613"/>
      <c r="K384" s="612">
        <f>K350</f>
        <v>6</v>
      </c>
      <c r="L384" s="613" t="s">
        <v>185</v>
      </c>
      <c r="M384" s="612">
        <f>M350</f>
        <v>4</v>
      </c>
      <c r="N384" s="613"/>
      <c r="O384" s="612"/>
      <c r="P384" s="613" t="s">
        <v>114</v>
      </c>
      <c r="Q384" s="612">
        <f>E384*G384*K384*M384</f>
        <v>46.512</v>
      </c>
      <c r="R384" s="613"/>
      <c r="S384" s="614"/>
      <c r="T384" s="66"/>
      <c r="U384" s="2"/>
      <c r="V384" s="43"/>
    </row>
    <row r="385" spans="2:22" s="1" customFormat="1" x14ac:dyDescent="0.3">
      <c r="B385" s="59"/>
      <c r="C385" s="60"/>
      <c r="D385" s="139"/>
      <c r="E385" s="612">
        <f>E351</f>
        <v>1.8</v>
      </c>
      <c r="F385" s="613" t="s">
        <v>185</v>
      </c>
      <c r="G385" s="612">
        <f>G351+2*I351</f>
        <v>0.51</v>
      </c>
      <c r="H385" s="613" t="s">
        <v>185</v>
      </c>
      <c r="I385" s="612"/>
      <c r="J385" s="613"/>
      <c r="K385" s="612">
        <f>K351</f>
        <v>1</v>
      </c>
      <c r="L385" s="613" t="s">
        <v>185</v>
      </c>
      <c r="M385" s="612">
        <f>M351</f>
        <v>4</v>
      </c>
      <c r="N385" s="613"/>
      <c r="O385" s="612"/>
      <c r="P385" s="613" t="s">
        <v>114</v>
      </c>
      <c r="Q385" s="612">
        <f>E385*G385*K385*M385</f>
        <v>3.6720000000000002</v>
      </c>
      <c r="R385" s="613"/>
      <c r="S385" s="614"/>
      <c r="T385" s="66"/>
      <c r="U385" s="2"/>
      <c r="V385" s="43"/>
    </row>
    <row r="386" spans="2:22" s="1" customFormat="1" x14ac:dyDescent="0.3">
      <c r="B386" s="59"/>
      <c r="C386" s="60"/>
      <c r="D386" s="150"/>
      <c r="E386" s="615"/>
      <c r="F386" s="616"/>
      <c r="G386" s="615"/>
      <c r="H386" s="616"/>
      <c r="I386" s="615"/>
      <c r="J386" s="616"/>
      <c r="K386" s="615"/>
      <c r="L386" s="616"/>
      <c r="M386" s="615"/>
      <c r="N386" s="616"/>
      <c r="O386" s="615"/>
      <c r="P386" s="616"/>
      <c r="Q386" s="615"/>
      <c r="R386" s="616"/>
      <c r="S386" s="617"/>
      <c r="T386" s="66"/>
      <c r="U386" s="2"/>
      <c r="V386" s="43"/>
    </row>
    <row r="387" spans="2:22" s="1" customFormat="1" ht="17.25" thickBot="1" x14ac:dyDescent="0.35">
      <c r="B387" s="59"/>
      <c r="C387" s="60"/>
      <c r="D387" s="3093" t="s">
        <v>164</v>
      </c>
      <c r="E387" s="3093"/>
      <c r="F387" s="3093"/>
      <c r="G387" s="3093"/>
      <c r="H387" s="3093"/>
      <c r="I387" s="3093"/>
      <c r="J387" s="524"/>
      <c r="K387" s="183"/>
      <c r="L387" s="532"/>
      <c r="M387" s="180"/>
      <c r="N387" s="532"/>
      <c r="O387" s="183"/>
      <c r="P387" s="532"/>
      <c r="Q387" s="1160">
        <f>SUM(Q383:Q386)</f>
        <v>81.191999999999993</v>
      </c>
      <c r="R387" s="532"/>
      <c r="S387" s="240"/>
      <c r="T387" s="66"/>
      <c r="U387" s="2"/>
      <c r="V387" s="43"/>
    </row>
    <row r="388" spans="2:22" x14ac:dyDescent="0.3">
      <c r="B388" s="464"/>
      <c r="C388" s="465"/>
      <c r="D388" s="453"/>
      <c r="E388" s="455"/>
      <c r="F388" s="485"/>
      <c r="G388" s="455"/>
      <c r="H388" s="485"/>
      <c r="I388" s="455"/>
      <c r="J388" s="485"/>
      <c r="K388" s="438"/>
      <c r="L388" s="482"/>
      <c r="M388" s="439"/>
      <c r="N388" s="482"/>
      <c r="O388" s="438"/>
      <c r="P388" s="482"/>
      <c r="Q388" s="440"/>
      <c r="R388" s="482"/>
      <c r="S388" s="454"/>
    </row>
    <row r="389" spans="2:22" s="1" customFormat="1" x14ac:dyDescent="0.3">
      <c r="B389" s="1149">
        <f>RAB!B74</f>
        <v>11</v>
      </c>
      <c r="C389" s="17" t="str">
        <f>RAB!C74</f>
        <v xml:space="preserve">Tangga </v>
      </c>
      <c r="E389" s="153"/>
      <c r="F389" s="480"/>
      <c r="G389" s="153"/>
      <c r="H389" s="480"/>
      <c r="I389" s="153"/>
      <c r="J389" s="480"/>
      <c r="K389" s="153"/>
      <c r="L389" s="480"/>
      <c r="M389" s="162"/>
      <c r="N389" s="480"/>
      <c r="O389" s="153"/>
      <c r="P389" s="480"/>
      <c r="Q389" s="200"/>
      <c r="R389" s="480"/>
      <c r="S389" s="224"/>
      <c r="T389" s="134"/>
      <c r="U389" s="2"/>
      <c r="V389" s="43"/>
    </row>
    <row r="390" spans="2:22" s="1" customFormat="1" ht="17.25" thickBot="1" x14ac:dyDescent="0.35">
      <c r="B390" s="36"/>
      <c r="C390" s="17" t="str">
        <f>RAB!D75</f>
        <v xml:space="preserve">Beton mutu f'c=26,4 Mpa </v>
      </c>
      <c r="E390" s="153"/>
      <c r="F390" s="480"/>
      <c r="G390" s="153"/>
      <c r="H390" s="480"/>
      <c r="I390" s="153"/>
      <c r="J390" s="480"/>
      <c r="K390" s="153"/>
      <c r="L390" s="480"/>
      <c r="M390" s="162"/>
      <c r="N390" s="480"/>
      <c r="O390" s="153"/>
      <c r="P390" s="480"/>
      <c r="Q390" s="200"/>
      <c r="R390" s="480"/>
      <c r="S390" s="224"/>
      <c r="T390" s="18">
        <f>ROUNDDOWN(S399,2)</f>
        <v>22.26</v>
      </c>
      <c r="U390" s="2" t="s">
        <v>3</v>
      </c>
      <c r="V390" s="43"/>
    </row>
    <row r="391" spans="2:22" s="1" customFormat="1" x14ac:dyDescent="0.3">
      <c r="B391" s="36"/>
      <c r="C391" s="17"/>
      <c r="D391" s="623" t="s">
        <v>95</v>
      </c>
      <c r="E391" s="624" t="s">
        <v>150</v>
      </c>
      <c r="F391" s="625"/>
      <c r="G391" s="624" t="s">
        <v>151</v>
      </c>
      <c r="H391" s="625"/>
      <c r="I391" s="624" t="s">
        <v>152</v>
      </c>
      <c r="J391" s="625"/>
      <c r="K391" s="624" t="s">
        <v>153</v>
      </c>
      <c r="L391" s="625"/>
      <c r="M391" s="626" t="s">
        <v>32</v>
      </c>
      <c r="N391" s="625"/>
      <c r="O391" s="624" t="s">
        <v>163</v>
      </c>
      <c r="P391" s="625"/>
      <c r="Q391" s="627" t="s">
        <v>151</v>
      </c>
      <c r="R391" s="625"/>
      <c r="S391" s="628" t="s">
        <v>143</v>
      </c>
      <c r="T391" s="66"/>
      <c r="U391" s="2"/>
      <c r="V391" s="43"/>
    </row>
    <row r="392" spans="2:22" s="1" customFormat="1" x14ac:dyDescent="0.3">
      <c r="B392" s="36"/>
      <c r="C392" s="17"/>
      <c r="D392" s="144" t="s">
        <v>155</v>
      </c>
      <c r="E392" s="589">
        <v>1.82</v>
      </c>
      <c r="F392" s="629" t="s">
        <v>185</v>
      </c>
      <c r="G392" s="589">
        <v>0.3</v>
      </c>
      <c r="H392" s="629" t="s">
        <v>185</v>
      </c>
      <c r="I392" s="589">
        <f>0.18</f>
        <v>0.18</v>
      </c>
      <c r="J392" s="629" t="s">
        <v>185</v>
      </c>
      <c r="K392" s="589">
        <v>20</v>
      </c>
      <c r="L392" s="629"/>
      <c r="M392" s="589">
        <v>4</v>
      </c>
      <c r="N392" s="629" t="s">
        <v>185</v>
      </c>
      <c r="O392" s="589">
        <v>0.5</v>
      </c>
      <c r="P392" s="629"/>
      <c r="Q392" s="589"/>
      <c r="R392" s="629" t="s">
        <v>114</v>
      </c>
      <c r="S392" s="590">
        <f>K392*I392*G392*E392*O392*M392</f>
        <v>3.9311999999999996</v>
      </c>
      <c r="T392" s="66"/>
      <c r="U392" s="2"/>
      <c r="V392" s="43"/>
    </row>
    <row r="393" spans="2:22" s="1" customFormat="1" x14ac:dyDescent="0.3">
      <c r="B393" s="36"/>
      <c r="C393" s="17"/>
      <c r="D393" s="138" t="s">
        <v>270</v>
      </c>
      <c r="E393" s="1161">
        <f>4.3+2.5</f>
        <v>6.8</v>
      </c>
      <c r="F393" s="518" t="s">
        <v>185</v>
      </c>
      <c r="G393" s="1161">
        <v>1.82</v>
      </c>
      <c r="H393" s="518" t="s">
        <v>185</v>
      </c>
      <c r="I393" s="1161">
        <v>0.15</v>
      </c>
      <c r="J393" s="518"/>
      <c r="K393" s="1161"/>
      <c r="L393" s="517"/>
      <c r="M393" s="1161">
        <v>4</v>
      </c>
      <c r="N393" s="517"/>
      <c r="O393" s="1161"/>
      <c r="P393" s="517"/>
      <c r="Q393" s="1161"/>
      <c r="R393" s="518" t="s">
        <v>114</v>
      </c>
      <c r="S393" s="519">
        <f>I393*G393*E393*M393</f>
        <v>7.4256000000000002</v>
      </c>
      <c r="T393" s="66"/>
      <c r="U393" s="2"/>
      <c r="V393" s="43"/>
    </row>
    <row r="394" spans="2:22" s="1" customFormat="1" x14ac:dyDescent="0.3">
      <c r="B394" s="36"/>
      <c r="C394" s="17"/>
      <c r="D394" s="139" t="s">
        <v>158</v>
      </c>
      <c r="E394" s="328">
        <v>4</v>
      </c>
      <c r="F394" s="518" t="s">
        <v>185</v>
      </c>
      <c r="G394" s="1161">
        <v>4</v>
      </c>
      <c r="H394" s="518" t="s">
        <v>185</v>
      </c>
      <c r="I394" s="1161">
        <v>0.15</v>
      </c>
      <c r="J394" s="518"/>
      <c r="K394" s="1161"/>
      <c r="L394" s="518"/>
      <c r="M394" s="1161">
        <v>4</v>
      </c>
      <c r="N394" s="518"/>
      <c r="O394" s="1161"/>
      <c r="P394" s="517"/>
      <c r="Q394" s="1161"/>
      <c r="R394" s="518" t="s">
        <v>114</v>
      </c>
      <c r="S394" s="519">
        <f>I394*G394*E394*M394</f>
        <v>9.6</v>
      </c>
      <c r="T394" s="66"/>
      <c r="U394" s="2"/>
      <c r="V394" s="43"/>
    </row>
    <row r="395" spans="2:22" s="1" customFormat="1" x14ac:dyDescent="0.3">
      <c r="B395" s="36"/>
      <c r="C395" s="17"/>
      <c r="D395" s="138" t="s">
        <v>271</v>
      </c>
      <c r="E395" s="328">
        <f>E392</f>
        <v>1.82</v>
      </c>
      <c r="F395" s="518" t="s">
        <v>185</v>
      </c>
      <c r="G395" s="1161">
        <v>1.6</v>
      </c>
      <c r="H395" s="518" t="s">
        <v>185</v>
      </c>
      <c r="I395" s="1161">
        <f>0.15</f>
        <v>0.15</v>
      </c>
      <c r="J395" s="518"/>
      <c r="K395" s="1161"/>
      <c r="L395" s="518"/>
      <c r="M395" s="1161">
        <v>4</v>
      </c>
      <c r="N395" s="518"/>
      <c r="O395" s="1161"/>
      <c r="P395" s="517"/>
      <c r="Q395" s="1161"/>
      <c r="R395" s="518" t="s">
        <v>114</v>
      </c>
      <c r="S395" s="519">
        <f>I395*G395*E395*M395</f>
        <v>1.7472000000000001</v>
      </c>
      <c r="T395" s="66"/>
      <c r="U395" s="2"/>
      <c r="V395" s="43"/>
    </row>
    <row r="396" spans="2:22" s="1" customFormat="1" x14ac:dyDescent="0.3">
      <c r="B396" s="36"/>
      <c r="C396" s="17"/>
      <c r="D396" s="138" t="s">
        <v>244</v>
      </c>
      <c r="E396" s="328"/>
      <c r="F396" s="518"/>
      <c r="G396" s="1161"/>
      <c r="H396" s="518"/>
      <c r="I396" s="1161"/>
      <c r="J396" s="518"/>
      <c r="K396" s="1161"/>
      <c r="L396" s="518"/>
      <c r="M396" s="1161"/>
      <c r="N396" s="518"/>
      <c r="O396" s="1161"/>
      <c r="P396" s="517"/>
      <c r="Q396" s="1161"/>
      <c r="R396" s="518"/>
      <c r="S396" s="519"/>
      <c r="T396" s="66"/>
      <c r="U396" s="2"/>
      <c r="V396" s="43"/>
    </row>
    <row r="397" spans="2:22" s="1" customFormat="1" x14ac:dyDescent="0.3">
      <c r="B397" s="36"/>
      <c r="C397" s="17"/>
      <c r="D397" s="140" t="s">
        <v>255</v>
      </c>
      <c r="E397" s="328"/>
      <c r="F397" s="518"/>
      <c r="G397" s="1161"/>
      <c r="H397" s="518"/>
      <c r="I397" s="1161"/>
      <c r="J397" s="518"/>
      <c r="K397" s="1161">
        <f>S411</f>
        <v>3461.8287377142856</v>
      </c>
      <c r="L397" s="517" t="s">
        <v>253</v>
      </c>
      <c r="M397" s="328"/>
      <c r="N397" s="517"/>
      <c r="O397" s="328">
        <f>O404</f>
        <v>7850</v>
      </c>
      <c r="P397" s="517"/>
      <c r="Q397" s="1161"/>
      <c r="R397" s="518" t="s">
        <v>149</v>
      </c>
      <c r="S397" s="519">
        <f>K397/O397</f>
        <v>0.44099729142857141</v>
      </c>
      <c r="T397" s="66"/>
      <c r="U397" s="2"/>
      <c r="V397" s="43"/>
    </row>
    <row r="398" spans="2:22" s="1" customFormat="1" x14ac:dyDescent="0.3">
      <c r="B398" s="36"/>
      <c r="C398" s="17"/>
      <c r="D398" s="143"/>
      <c r="E398" s="330"/>
      <c r="F398" s="512"/>
      <c r="G398" s="330"/>
      <c r="H398" s="512"/>
      <c r="I398" s="330"/>
      <c r="J398" s="512"/>
      <c r="K398" s="330"/>
      <c r="L398" s="512"/>
      <c r="M398" s="330"/>
      <c r="N398" s="512"/>
      <c r="O398" s="330"/>
      <c r="P398" s="512"/>
      <c r="Q398" s="330"/>
      <c r="R398" s="512"/>
      <c r="S398" s="559"/>
      <c r="T398" s="66"/>
      <c r="U398" s="2"/>
      <c r="V398" s="43"/>
    </row>
    <row r="399" spans="2:22" s="1" customFormat="1" ht="17.25" thickBot="1" x14ac:dyDescent="0.35">
      <c r="B399" s="36"/>
      <c r="C399" s="17"/>
      <c r="D399" s="3089" t="s">
        <v>164</v>
      </c>
      <c r="E399" s="3090"/>
      <c r="F399" s="3090"/>
      <c r="G399" s="3090"/>
      <c r="H399" s="3090"/>
      <c r="I399" s="3090"/>
      <c r="J399" s="622"/>
      <c r="K399" s="190"/>
      <c r="L399" s="622"/>
      <c r="M399" s="190"/>
      <c r="N399" s="622"/>
      <c r="O399" s="190"/>
      <c r="P399" s="622"/>
      <c r="Q399" s="190"/>
      <c r="R399" s="622"/>
      <c r="S399" s="247">
        <f>SUM(S392:S395)-SUM(S397)</f>
        <v>22.263002708571427</v>
      </c>
      <c r="T399" s="66"/>
      <c r="U399" s="2"/>
      <c r="V399" s="43"/>
    </row>
    <row r="400" spans="2:22" x14ac:dyDescent="0.3">
      <c r="B400" s="464"/>
      <c r="C400" s="465"/>
      <c r="T400" s="474"/>
    </row>
    <row r="401" spans="2:23" s="1" customFormat="1" ht="17.25" thickBot="1" x14ac:dyDescent="0.35">
      <c r="B401" s="36"/>
      <c r="C401" s="17" t="str">
        <f>RAB!D76</f>
        <v>Pembesian Ulir</v>
      </c>
      <c r="E401" s="153"/>
      <c r="F401" s="480"/>
      <c r="G401" s="153"/>
      <c r="H401" s="480"/>
      <c r="I401" s="153"/>
      <c r="J401" s="480"/>
      <c r="K401" s="153"/>
      <c r="L401" s="480"/>
      <c r="M401" s="162"/>
      <c r="N401" s="480"/>
      <c r="O401" s="153"/>
      <c r="P401" s="480"/>
      <c r="Q401" s="200"/>
      <c r="R401" s="480"/>
      <c r="S401" s="224"/>
      <c r="T401" s="18">
        <f>ROUNDDOWN(S411,2)</f>
        <v>3461.82</v>
      </c>
      <c r="U401" s="2" t="s">
        <v>0</v>
      </c>
      <c r="V401" s="43"/>
    </row>
    <row r="402" spans="2:23" s="1" customFormat="1" x14ac:dyDescent="0.3">
      <c r="B402" s="36"/>
      <c r="C402" s="17"/>
      <c r="D402" s="8" t="s">
        <v>95</v>
      </c>
      <c r="E402" s="154" t="s">
        <v>150</v>
      </c>
      <c r="F402" s="493"/>
      <c r="G402" s="154" t="s">
        <v>151</v>
      </c>
      <c r="H402" s="493"/>
      <c r="I402" s="154" t="s">
        <v>294</v>
      </c>
      <c r="J402" s="493"/>
      <c r="K402" s="154" t="s">
        <v>153</v>
      </c>
      <c r="L402" s="494"/>
      <c r="M402" s="163" t="s">
        <v>32</v>
      </c>
      <c r="N402" s="494"/>
      <c r="O402" s="201" t="s">
        <v>163</v>
      </c>
      <c r="P402" s="494"/>
      <c r="Q402" s="202" t="s">
        <v>151</v>
      </c>
      <c r="R402" s="494"/>
      <c r="S402" s="226" t="s">
        <v>143</v>
      </c>
      <c r="T402" s="66"/>
      <c r="U402" s="2"/>
      <c r="V402" s="43"/>
    </row>
    <row r="403" spans="2:23" s="1" customFormat="1" x14ac:dyDescent="0.3">
      <c r="B403" s="36"/>
      <c r="C403" s="17"/>
      <c r="D403" s="145" t="s">
        <v>716</v>
      </c>
      <c r="E403" s="578"/>
      <c r="F403" s="565"/>
      <c r="G403" s="331"/>
      <c r="H403" s="575"/>
      <c r="I403" s="331"/>
      <c r="J403" s="575"/>
      <c r="K403" s="331"/>
      <c r="L403" s="565"/>
      <c r="M403" s="331"/>
      <c r="N403" s="565"/>
      <c r="O403" s="331"/>
      <c r="P403" s="565"/>
      <c r="Q403" s="331"/>
      <c r="R403" s="565"/>
      <c r="S403" s="577"/>
      <c r="T403" s="66"/>
      <c r="U403" s="2"/>
      <c r="V403" s="43"/>
    </row>
    <row r="404" spans="2:23" s="1" customFormat="1" x14ac:dyDescent="0.3">
      <c r="B404" s="36"/>
      <c r="C404" s="17"/>
      <c r="D404" s="139" t="s">
        <v>272</v>
      </c>
      <c r="E404" s="328">
        <v>4</v>
      </c>
      <c r="F404" s="518" t="s">
        <v>185</v>
      </c>
      <c r="G404" s="1161"/>
      <c r="H404" s="517"/>
      <c r="I404" s="1161">
        <f t="shared" ref="I404:I409" si="6">$M$392</f>
        <v>4</v>
      </c>
      <c r="J404" s="517"/>
      <c r="K404" s="1161">
        <v>2</v>
      </c>
      <c r="L404" s="518" t="s">
        <v>185</v>
      </c>
      <c r="M404" s="1161">
        <v>26</v>
      </c>
      <c r="N404" s="518" t="s">
        <v>185</v>
      </c>
      <c r="O404" s="1161">
        <v>7850</v>
      </c>
      <c r="P404" s="518" t="s">
        <v>185</v>
      </c>
      <c r="Q404" s="608">
        <f>22/7*0.0065*0.0065</f>
        <v>1.3278571428571427E-4</v>
      </c>
      <c r="R404" s="518" t="s">
        <v>114</v>
      </c>
      <c r="S404" s="519">
        <f t="shared" ref="S404:S409" si="7">E404*K404*M404*O404*Q404*I404</f>
        <v>867.25005714285703</v>
      </c>
      <c r="T404" s="66"/>
      <c r="U404" s="2"/>
      <c r="V404" s="43"/>
      <c r="W404" s="37">
        <f>E394/0.15</f>
        <v>26.666666666666668</v>
      </c>
    </row>
    <row r="405" spans="2:23" s="1" customFormat="1" x14ac:dyDescent="0.3">
      <c r="B405" s="36"/>
      <c r="C405" s="17"/>
      <c r="D405" s="139" t="s">
        <v>273</v>
      </c>
      <c r="E405" s="328">
        <v>4</v>
      </c>
      <c r="F405" s="518" t="s">
        <v>185</v>
      </c>
      <c r="G405" s="1161"/>
      <c r="H405" s="517"/>
      <c r="I405" s="1161">
        <f t="shared" si="6"/>
        <v>4</v>
      </c>
      <c r="J405" s="517"/>
      <c r="K405" s="1161">
        <v>2</v>
      </c>
      <c r="L405" s="518" t="s">
        <v>185</v>
      </c>
      <c r="M405" s="1161">
        <v>26</v>
      </c>
      <c r="N405" s="518" t="s">
        <v>185</v>
      </c>
      <c r="O405" s="1161">
        <v>7850</v>
      </c>
      <c r="P405" s="518" t="s">
        <v>185</v>
      </c>
      <c r="Q405" s="608">
        <f>22/7*0.0065*0.0065</f>
        <v>1.3278571428571427E-4</v>
      </c>
      <c r="R405" s="518" t="s">
        <v>114</v>
      </c>
      <c r="S405" s="519">
        <f t="shared" si="7"/>
        <v>867.25005714285703</v>
      </c>
      <c r="T405" s="66"/>
      <c r="U405" s="2"/>
      <c r="V405" s="43"/>
      <c r="W405" s="37">
        <f>G394/0.15</f>
        <v>26.666666666666668</v>
      </c>
    </row>
    <row r="406" spans="2:23" s="1" customFormat="1" x14ac:dyDescent="0.3">
      <c r="B406" s="36"/>
      <c r="C406" s="17"/>
      <c r="D406" s="139" t="s">
        <v>274</v>
      </c>
      <c r="E406" s="328">
        <f>E393+(40*0.01+(2*6*0.01))</f>
        <v>7.32</v>
      </c>
      <c r="F406" s="518" t="s">
        <v>185</v>
      </c>
      <c r="G406" s="1161"/>
      <c r="H406" s="517"/>
      <c r="I406" s="1161">
        <f t="shared" si="6"/>
        <v>4</v>
      </c>
      <c r="J406" s="517"/>
      <c r="K406" s="1161">
        <v>2</v>
      </c>
      <c r="L406" s="518" t="s">
        <v>185</v>
      </c>
      <c r="M406" s="1161">
        <v>12</v>
      </c>
      <c r="N406" s="518" t="s">
        <v>185</v>
      </c>
      <c r="O406" s="1161">
        <v>7850</v>
      </c>
      <c r="P406" s="518" t="s">
        <v>185</v>
      </c>
      <c r="Q406" s="608">
        <f>Q405</f>
        <v>1.3278571428571427E-4</v>
      </c>
      <c r="R406" s="518" t="s">
        <v>114</v>
      </c>
      <c r="S406" s="519">
        <f t="shared" si="7"/>
        <v>732.4927405714285</v>
      </c>
      <c r="T406" s="66"/>
      <c r="U406" s="2"/>
      <c r="V406" s="43"/>
      <c r="W406" s="37">
        <f>E392/0.15</f>
        <v>12.133333333333335</v>
      </c>
    </row>
    <row r="407" spans="2:23" s="1" customFormat="1" x14ac:dyDescent="0.3">
      <c r="B407" s="36"/>
      <c r="C407" s="17"/>
      <c r="D407" s="139"/>
      <c r="E407" s="328">
        <f>E392</f>
        <v>1.82</v>
      </c>
      <c r="F407" s="518" t="s">
        <v>185</v>
      </c>
      <c r="G407" s="1161"/>
      <c r="H407" s="517"/>
      <c r="I407" s="1161">
        <f t="shared" si="6"/>
        <v>4</v>
      </c>
      <c r="J407" s="517"/>
      <c r="K407" s="1161">
        <v>2</v>
      </c>
      <c r="L407" s="518" t="s">
        <v>185</v>
      </c>
      <c r="M407" s="1161">
        <v>45</v>
      </c>
      <c r="N407" s="518" t="s">
        <v>185</v>
      </c>
      <c r="O407" s="1161">
        <v>7850</v>
      </c>
      <c r="P407" s="518" t="s">
        <v>185</v>
      </c>
      <c r="Q407" s="608">
        <f>Q406</f>
        <v>1.3278571428571427E-4</v>
      </c>
      <c r="R407" s="518" t="s">
        <v>114</v>
      </c>
      <c r="S407" s="519">
        <f t="shared" si="7"/>
        <v>682.95941999999991</v>
      </c>
      <c r="T407" s="66"/>
      <c r="U407" s="2"/>
      <c r="V407" s="43"/>
      <c r="W407" s="37">
        <f>E393/0.15</f>
        <v>45.333333333333336</v>
      </c>
    </row>
    <row r="408" spans="2:23" s="1" customFormat="1" x14ac:dyDescent="0.3">
      <c r="B408" s="36"/>
      <c r="C408" s="17"/>
      <c r="D408" s="146" t="s">
        <v>275</v>
      </c>
      <c r="E408" s="328">
        <f>E395</f>
        <v>1.82</v>
      </c>
      <c r="F408" s="518" t="s">
        <v>185</v>
      </c>
      <c r="G408" s="1161"/>
      <c r="H408" s="517"/>
      <c r="I408" s="1161">
        <f t="shared" si="6"/>
        <v>4</v>
      </c>
      <c r="J408" s="517"/>
      <c r="K408" s="1161">
        <v>2</v>
      </c>
      <c r="L408" s="518" t="s">
        <v>185</v>
      </c>
      <c r="M408" s="1161">
        <v>10</v>
      </c>
      <c r="N408" s="518" t="s">
        <v>185</v>
      </c>
      <c r="O408" s="1161">
        <v>7850</v>
      </c>
      <c r="P408" s="518" t="s">
        <v>185</v>
      </c>
      <c r="Q408" s="608">
        <f>Q407</f>
        <v>1.3278571428571427E-4</v>
      </c>
      <c r="R408" s="518" t="s">
        <v>114</v>
      </c>
      <c r="S408" s="519">
        <f t="shared" si="7"/>
        <v>151.76875999999999</v>
      </c>
      <c r="T408" s="66"/>
      <c r="U408" s="2"/>
      <c r="V408" s="43"/>
      <c r="W408" s="37">
        <f>G395/0.15</f>
        <v>10.666666666666668</v>
      </c>
    </row>
    <row r="409" spans="2:23" s="1" customFormat="1" x14ac:dyDescent="0.3">
      <c r="B409" s="36"/>
      <c r="C409" s="17"/>
      <c r="D409" s="146"/>
      <c r="E409" s="328">
        <f>G395</f>
        <v>1.6</v>
      </c>
      <c r="F409" s="518" t="s">
        <v>185</v>
      </c>
      <c r="G409" s="1161"/>
      <c r="H409" s="517"/>
      <c r="I409" s="1161">
        <f t="shared" si="6"/>
        <v>4</v>
      </c>
      <c r="J409" s="517"/>
      <c r="K409" s="1161">
        <v>2</v>
      </c>
      <c r="L409" s="518" t="s">
        <v>185</v>
      </c>
      <c r="M409" s="1161">
        <v>12</v>
      </c>
      <c r="N409" s="518" t="s">
        <v>185</v>
      </c>
      <c r="O409" s="1161">
        <v>7850</v>
      </c>
      <c r="P409" s="518" t="s">
        <v>185</v>
      </c>
      <c r="Q409" s="608">
        <f>Q408</f>
        <v>1.3278571428571427E-4</v>
      </c>
      <c r="R409" s="518" t="s">
        <v>114</v>
      </c>
      <c r="S409" s="519">
        <f t="shared" si="7"/>
        <v>160.10770285714287</v>
      </c>
      <c r="T409" s="66"/>
      <c r="U409" s="2"/>
      <c r="V409" s="43"/>
      <c r="W409" s="37">
        <f>E385/0.15</f>
        <v>12</v>
      </c>
    </row>
    <row r="410" spans="2:23" s="1" customFormat="1" ht="17.25" thickBot="1" x14ac:dyDescent="0.35">
      <c r="B410" s="36"/>
      <c r="C410" s="17"/>
      <c r="D410" s="148"/>
      <c r="E410" s="619"/>
      <c r="F410" s="526"/>
      <c r="G410" s="619"/>
      <c r="H410" s="526"/>
      <c r="I410" s="619"/>
      <c r="J410" s="526"/>
      <c r="K410" s="619"/>
      <c r="L410" s="526"/>
      <c r="M410" s="619"/>
      <c r="N410" s="526"/>
      <c r="O410" s="619"/>
      <c r="P410" s="526"/>
      <c r="Q410" s="619"/>
      <c r="R410" s="526"/>
      <c r="S410" s="620"/>
      <c r="T410" s="66"/>
      <c r="U410" s="2"/>
      <c r="V410" s="43"/>
    </row>
    <row r="411" spans="2:23" s="1" customFormat="1" ht="17.25" thickBot="1" x14ac:dyDescent="0.35">
      <c r="B411" s="36"/>
      <c r="C411" s="17"/>
      <c r="D411" s="3109" t="s">
        <v>164</v>
      </c>
      <c r="E411" s="3110"/>
      <c r="F411" s="3110"/>
      <c r="G411" s="3110"/>
      <c r="H411" s="3110"/>
      <c r="I411" s="3110"/>
      <c r="J411" s="621"/>
      <c r="K411" s="193"/>
      <c r="L411" s="621"/>
      <c r="M411" s="194"/>
      <c r="N411" s="621"/>
      <c r="O411" s="194"/>
      <c r="P411" s="621"/>
      <c r="Q411" s="194"/>
      <c r="R411" s="621"/>
      <c r="S411" s="250">
        <f>SUM(S403:S410)</f>
        <v>3461.8287377142856</v>
      </c>
      <c r="T411" s="66"/>
      <c r="U411" s="2"/>
      <c r="V411" s="43"/>
    </row>
    <row r="412" spans="2:23" x14ac:dyDescent="0.3">
      <c r="B412" s="464"/>
      <c r="C412" s="465"/>
      <c r="T412" s="474"/>
    </row>
    <row r="413" spans="2:23" s="1" customFormat="1" ht="17.25" thickBot="1" x14ac:dyDescent="0.35">
      <c r="B413" s="36"/>
      <c r="C413" s="17" t="str">
        <f>RAB!D77</f>
        <v>Bekisting Tangga</v>
      </c>
      <c r="E413" s="153"/>
      <c r="F413" s="480"/>
      <c r="G413" s="153"/>
      <c r="H413" s="480"/>
      <c r="I413" s="153"/>
      <c r="J413" s="480"/>
      <c r="K413" s="153"/>
      <c r="L413" s="480"/>
      <c r="M413" s="162"/>
      <c r="N413" s="480"/>
      <c r="O413" s="153"/>
      <c r="P413" s="480"/>
      <c r="Q413" s="200"/>
      <c r="R413" s="480"/>
      <c r="S413" s="224"/>
      <c r="T413" s="18">
        <f>ROUNDDOWN(Q420,2)</f>
        <v>151.36000000000001</v>
      </c>
      <c r="U413" s="2" t="s">
        <v>2</v>
      </c>
      <c r="V413" s="43"/>
    </row>
    <row r="414" spans="2:23" s="1" customFormat="1" x14ac:dyDescent="0.3">
      <c r="B414" s="36"/>
      <c r="C414" s="17"/>
      <c r="D414" s="8" t="s">
        <v>95</v>
      </c>
      <c r="E414" s="154" t="s">
        <v>150</v>
      </c>
      <c r="F414" s="493"/>
      <c r="G414" s="154" t="s">
        <v>151</v>
      </c>
      <c r="H414" s="493"/>
      <c r="I414" s="154" t="s">
        <v>152</v>
      </c>
      <c r="J414" s="493"/>
      <c r="K414" s="154" t="s">
        <v>153</v>
      </c>
      <c r="L414" s="494"/>
      <c r="M414" s="163" t="s">
        <v>32</v>
      </c>
      <c r="N414" s="494"/>
      <c r="O414" s="201" t="s">
        <v>163</v>
      </c>
      <c r="P414" s="494"/>
      <c r="Q414" s="202" t="s">
        <v>151</v>
      </c>
      <c r="R414" s="494"/>
      <c r="S414" s="226" t="s">
        <v>143</v>
      </c>
      <c r="T414" s="66"/>
      <c r="U414" s="2"/>
      <c r="V414" s="43"/>
    </row>
    <row r="415" spans="2:23" s="1" customFormat="1" x14ac:dyDescent="0.3">
      <c r="B415" s="36"/>
      <c r="C415" s="17"/>
      <c r="D415" s="149" t="s">
        <v>293</v>
      </c>
      <c r="E415" s="578">
        <f>E393</f>
        <v>6.8</v>
      </c>
      <c r="F415" s="565" t="s">
        <v>185</v>
      </c>
      <c r="G415" s="331">
        <f>G393</f>
        <v>1.82</v>
      </c>
      <c r="H415" s="565" t="s">
        <v>185</v>
      </c>
      <c r="I415" s="331"/>
      <c r="J415" s="565"/>
      <c r="K415" s="331">
        <v>1</v>
      </c>
      <c r="L415" s="565" t="s">
        <v>185</v>
      </c>
      <c r="M415" s="331">
        <f>M393</f>
        <v>4</v>
      </c>
      <c r="N415" s="565"/>
      <c r="O415" s="331"/>
      <c r="P415" s="565" t="s">
        <v>114</v>
      </c>
      <c r="Q415" s="331">
        <f>E415*G415*K415*M415</f>
        <v>49.503999999999998</v>
      </c>
      <c r="R415" s="565"/>
      <c r="S415" s="577"/>
      <c r="T415" s="66"/>
      <c r="U415" s="2"/>
      <c r="V415" s="43"/>
    </row>
    <row r="416" spans="2:23" s="1" customFormat="1" x14ac:dyDescent="0.3">
      <c r="B416" s="36"/>
      <c r="C416" s="17"/>
      <c r="D416" s="139" t="s">
        <v>158</v>
      </c>
      <c r="E416" s="328">
        <f>E394</f>
        <v>4</v>
      </c>
      <c r="F416" s="518" t="s">
        <v>185</v>
      </c>
      <c r="G416" s="1161">
        <f>G394</f>
        <v>4</v>
      </c>
      <c r="H416" s="518"/>
      <c r="I416" s="1161"/>
      <c r="J416" s="518"/>
      <c r="K416" s="1161">
        <v>1</v>
      </c>
      <c r="L416" s="518" t="s">
        <v>185</v>
      </c>
      <c r="M416" s="1161">
        <f>M394</f>
        <v>4</v>
      </c>
      <c r="N416" s="518"/>
      <c r="O416" s="1161"/>
      <c r="P416" s="518" t="s">
        <v>114</v>
      </c>
      <c r="Q416" s="1161">
        <f>G416*E416*K416*M416</f>
        <v>64</v>
      </c>
      <c r="R416" s="518"/>
      <c r="S416" s="519"/>
      <c r="T416" s="66"/>
      <c r="U416" s="2"/>
      <c r="V416" s="43"/>
    </row>
    <row r="417" spans="2:22" s="1" customFormat="1" x14ac:dyDescent="0.3">
      <c r="B417" s="36"/>
      <c r="C417" s="17"/>
      <c r="D417" s="146" t="s">
        <v>276</v>
      </c>
      <c r="E417" s="328">
        <f>E392</f>
        <v>1.82</v>
      </c>
      <c r="F417" s="518" t="s">
        <v>185</v>
      </c>
      <c r="G417" s="1161">
        <v>0.18</v>
      </c>
      <c r="H417" s="518"/>
      <c r="I417" s="1161"/>
      <c r="J417" s="518"/>
      <c r="K417" s="1161">
        <f>K392</f>
        <v>20</v>
      </c>
      <c r="L417" s="518" t="s">
        <v>185</v>
      </c>
      <c r="M417" s="1161">
        <f>M392</f>
        <v>4</v>
      </c>
      <c r="N417" s="518"/>
      <c r="O417" s="1161"/>
      <c r="P417" s="518" t="s">
        <v>114</v>
      </c>
      <c r="Q417" s="1161">
        <f>E417*G417*K417*M417</f>
        <v>26.207999999999998</v>
      </c>
      <c r="R417" s="517"/>
      <c r="S417" s="519"/>
      <c r="T417" s="66"/>
      <c r="U417" s="2"/>
      <c r="V417" s="43"/>
    </row>
    <row r="418" spans="2:22" s="1" customFormat="1" x14ac:dyDescent="0.3">
      <c r="B418" s="36"/>
      <c r="C418" s="17"/>
      <c r="D418" s="146" t="str">
        <f>D408</f>
        <v xml:space="preserve">Vertikal </v>
      </c>
      <c r="E418" s="328"/>
      <c r="F418" s="518" t="s">
        <v>185</v>
      </c>
      <c r="G418" s="1161">
        <f>G395</f>
        <v>1.6</v>
      </c>
      <c r="H418" s="518" t="s">
        <v>185</v>
      </c>
      <c r="I418" s="1161">
        <f>E395</f>
        <v>1.82</v>
      </c>
      <c r="J418" s="518"/>
      <c r="K418" s="1161">
        <v>1</v>
      </c>
      <c r="L418" s="518" t="s">
        <v>185</v>
      </c>
      <c r="M418" s="1161">
        <v>4</v>
      </c>
      <c r="N418" s="518"/>
      <c r="O418" s="1161"/>
      <c r="P418" s="518" t="s">
        <v>114</v>
      </c>
      <c r="Q418" s="1161">
        <f>G418*I418*K418*M418</f>
        <v>11.648000000000001</v>
      </c>
      <c r="R418" s="517"/>
      <c r="S418" s="519"/>
      <c r="T418" s="66"/>
      <c r="U418" s="2"/>
      <c r="V418" s="43"/>
    </row>
    <row r="419" spans="2:22" s="1" customFormat="1" x14ac:dyDescent="0.3">
      <c r="B419" s="36"/>
      <c r="C419" s="17"/>
      <c r="D419" s="150"/>
      <c r="E419" s="592"/>
      <c r="F419" s="512"/>
      <c r="G419" s="330"/>
      <c r="H419" s="512"/>
      <c r="I419" s="330"/>
      <c r="J419" s="512"/>
      <c r="K419" s="330"/>
      <c r="L419" s="512"/>
      <c r="M419" s="330"/>
      <c r="N419" s="512"/>
      <c r="O419" s="330"/>
      <c r="P419" s="512"/>
      <c r="Q419" s="330"/>
      <c r="R419" s="512"/>
      <c r="S419" s="559"/>
      <c r="T419" s="66"/>
      <c r="U419" s="2"/>
      <c r="V419" s="43"/>
    </row>
    <row r="420" spans="2:22" s="1" customFormat="1" ht="17.25" thickBot="1" x14ac:dyDescent="0.35">
      <c r="B420" s="36"/>
      <c r="C420" s="17"/>
      <c r="D420" s="3089" t="s">
        <v>164</v>
      </c>
      <c r="E420" s="3090"/>
      <c r="F420" s="3090"/>
      <c r="G420" s="3090"/>
      <c r="H420" s="3090"/>
      <c r="I420" s="3090"/>
      <c r="J420" s="622"/>
      <c r="K420" s="190"/>
      <c r="L420" s="622"/>
      <c r="M420" s="190"/>
      <c r="N420" s="622"/>
      <c r="O420" s="190"/>
      <c r="P420" s="622"/>
      <c r="Q420" s="273">
        <f>SUM(Q415:Q419)</f>
        <v>151.35999999999999</v>
      </c>
      <c r="R420" s="622"/>
      <c r="S420" s="247"/>
      <c r="T420" s="66"/>
      <c r="U420" s="2"/>
      <c r="V420" s="43"/>
    </row>
    <row r="421" spans="2:22" x14ac:dyDescent="0.3">
      <c r="B421" s="464"/>
      <c r="C421" s="465"/>
      <c r="D421" s="453"/>
      <c r="E421" s="455"/>
      <c r="F421" s="485"/>
      <c r="G421" s="455"/>
      <c r="H421" s="485"/>
      <c r="I421" s="455"/>
      <c r="J421" s="485"/>
      <c r="K421" s="438"/>
      <c r="L421" s="482"/>
      <c r="M421" s="439"/>
      <c r="N421" s="482"/>
      <c r="O421" s="438"/>
      <c r="P421" s="482"/>
      <c r="Q421" s="477"/>
      <c r="R421" s="482"/>
      <c r="S421" s="454"/>
    </row>
    <row r="422" spans="2:22" s="1" customFormat="1" x14ac:dyDescent="0.3">
      <c r="B422" s="36">
        <f>RAB!B78</f>
        <v>12</v>
      </c>
      <c r="C422" s="17" t="str">
        <f>RAB!C78</f>
        <v>Plat Lantai</v>
      </c>
      <c r="D422" s="38"/>
      <c r="E422" s="208"/>
      <c r="F422" s="551"/>
      <c r="G422" s="208"/>
      <c r="H422" s="551"/>
      <c r="I422" s="208"/>
      <c r="J422" s="551"/>
      <c r="K422" s="156"/>
      <c r="L422" s="501"/>
      <c r="M422" s="165"/>
      <c r="N422" s="501"/>
      <c r="O422" s="156"/>
      <c r="P422" s="501"/>
      <c r="Q422" s="204"/>
      <c r="R422" s="501"/>
      <c r="S422" s="232"/>
      <c r="T422" s="66"/>
      <c r="U422" s="2"/>
      <c r="V422" s="43"/>
    </row>
    <row r="423" spans="2:22" s="1" customFormat="1" ht="17.25" thickBot="1" x14ac:dyDescent="0.35">
      <c r="B423" s="36"/>
      <c r="C423" s="17" t="str">
        <f>RAB!D79</f>
        <v xml:space="preserve">Beton mutu f'c=26,4 Mpa </v>
      </c>
      <c r="D423" s="38"/>
      <c r="E423" s="208"/>
      <c r="F423" s="551"/>
      <c r="G423" s="208"/>
      <c r="H423" s="551"/>
      <c r="I423" s="208"/>
      <c r="J423" s="551"/>
      <c r="K423" s="156"/>
      <c r="L423" s="501"/>
      <c r="M423" s="165"/>
      <c r="N423" s="501"/>
      <c r="O423" s="156"/>
      <c r="P423" s="501"/>
      <c r="Q423" s="204"/>
      <c r="R423" s="501"/>
      <c r="S423" s="232"/>
      <c r="T423" s="18">
        <f>ROUNDDOWN(S431,2)</f>
        <v>69.69</v>
      </c>
      <c r="U423" s="2" t="s">
        <v>3</v>
      </c>
      <c r="V423" s="43"/>
    </row>
    <row r="424" spans="2:22" s="1" customFormat="1" x14ac:dyDescent="0.3">
      <c r="B424" s="36"/>
      <c r="C424" s="17"/>
      <c r="D424" s="8" t="s">
        <v>95</v>
      </c>
      <c r="E424" s="154" t="s">
        <v>150</v>
      </c>
      <c r="F424" s="493"/>
      <c r="G424" s="154" t="s">
        <v>151</v>
      </c>
      <c r="H424" s="493"/>
      <c r="I424" s="154" t="s">
        <v>152</v>
      </c>
      <c r="J424" s="493"/>
      <c r="K424" s="154" t="s">
        <v>153</v>
      </c>
      <c r="L424" s="494"/>
      <c r="M424" s="163" t="s">
        <v>32</v>
      </c>
      <c r="N424" s="494"/>
      <c r="O424" s="201" t="s">
        <v>163</v>
      </c>
      <c r="P424" s="494"/>
      <c r="Q424" s="202" t="s">
        <v>151</v>
      </c>
      <c r="R424" s="494"/>
      <c r="S424" s="226" t="s">
        <v>143</v>
      </c>
      <c r="T424" s="66"/>
      <c r="U424" s="2"/>
      <c r="V424" s="43"/>
    </row>
    <row r="425" spans="2:22" s="1" customFormat="1" x14ac:dyDescent="0.3">
      <c r="B425" s="36"/>
      <c r="C425" s="17"/>
      <c r="D425" s="149" t="s">
        <v>239</v>
      </c>
      <c r="E425" s="578"/>
      <c r="F425" s="565"/>
      <c r="G425" s="578"/>
      <c r="H425" s="565"/>
      <c r="I425" s="331">
        <v>0.1</v>
      </c>
      <c r="J425" s="565" t="s">
        <v>185</v>
      </c>
      <c r="K425" s="331">
        <v>1</v>
      </c>
      <c r="L425" s="565"/>
      <c r="M425" s="331"/>
      <c r="N425" s="565"/>
      <c r="O425" s="331"/>
      <c r="P425" s="565"/>
      <c r="Q425" s="331">
        <v>711.62</v>
      </c>
      <c r="R425" s="565" t="s">
        <v>114</v>
      </c>
      <c r="S425" s="577">
        <f>K425*I425*Q425</f>
        <v>71.162000000000006</v>
      </c>
      <c r="T425" s="66"/>
      <c r="U425" s="2"/>
      <c r="V425" s="43"/>
    </row>
    <row r="426" spans="2:22" s="1" customFormat="1" x14ac:dyDescent="0.3">
      <c r="B426" s="36"/>
      <c r="C426" s="17"/>
      <c r="D426" s="138" t="s">
        <v>244</v>
      </c>
      <c r="E426" s="1161"/>
      <c r="F426" s="517"/>
      <c r="G426" s="1161"/>
      <c r="H426" s="517"/>
      <c r="I426" s="1161"/>
      <c r="J426" s="517"/>
      <c r="K426" s="1161"/>
      <c r="L426" s="517"/>
      <c r="M426" s="1161"/>
      <c r="N426" s="517"/>
      <c r="O426" s="1161"/>
      <c r="P426" s="517"/>
      <c r="Q426" s="1161"/>
      <c r="R426" s="517"/>
      <c r="S426" s="519"/>
      <c r="T426" s="66"/>
      <c r="U426" s="2"/>
      <c r="V426" s="43"/>
    </row>
    <row r="427" spans="2:22" s="1" customFormat="1" x14ac:dyDescent="0.3">
      <c r="B427" s="36"/>
      <c r="C427" s="17"/>
      <c r="D427" s="139" t="s">
        <v>719</v>
      </c>
      <c r="E427" s="328">
        <v>0.4</v>
      </c>
      <c r="F427" s="518" t="s">
        <v>185</v>
      </c>
      <c r="G427" s="328">
        <v>0.4</v>
      </c>
      <c r="H427" s="518" t="s">
        <v>185</v>
      </c>
      <c r="I427" s="1161">
        <v>0.1</v>
      </c>
      <c r="J427" s="518" t="s">
        <v>185</v>
      </c>
      <c r="K427" s="1161">
        <f>9*5</f>
        <v>45</v>
      </c>
      <c r="L427" s="518"/>
      <c r="M427" s="1161"/>
      <c r="N427" s="518"/>
      <c r="O427" s="1161"/>
      <c r="P427" s="518"/>
      <c r="Q427" s="1161">
        <f>K427*G427*E427</f>
        <v>7.2</v>
      </c>
      <c r="R427" s="518" t="s">
        <v>114</v>
      </c>
      <c r="S427" s="519">
        <f>I427*G427*E427*K427</f>
        <v>0.7200000000000002</v>
      </c>
      <c r="T427" s="66"/>
      <c r="U427" s="2"/>
      <c r="V427" s="43"/>
    </row>
    <row r="428" spans="2:22" s="1" customFormat="1" x14ac:dyDescent="0.3">
      <c r="B428" s="36"/>
      <c r="C428" s="17"/>
      <c r="D428" s="139"/>
      <c r="E428" s="328"/>
      <c r="F428" s="518"/>
      <c r="G428" s="328"/>
      <c r="H428" s="518"/>
      <c r="I428" s="1161"/>
      <c r="J428" s="518"/>
      <c r="K428" s="1161"/>
      <c r="L428" s="518"/>
      <c r="M428" s="1161"/>
      <c r="N428" s="518"/>
      <c r="O428" s="1161"/>
      <c r="P428" s="518"/>
      <c r="Q428" s="1161"/>
      <c r="R428" s="518"/>
      <c r="S428" s="519"/>
      <c r="T428" s="66"/>
      <c r="U428" s="2"/>
      <c r="V428" s="43"/>
    </row>
    <row r="429" spans="2:22" s="1" customFormat="1" x14ac:dyDescent="0.3">
      <c r="B429" s="36"/>
      <c r="C429" s="17"/>
      <c r="D429" s="140" t="s">
        <v>735</v>
      </c>
      <c r="E429" s="328"/>
      <c r="F429" s="518"/>
      <c r="G429" s="1161"/>
      <c r="H429" s="518"/>
      <c r="I429" s="1161"/>
      <c r="J429" s="518"/>
      <c r="K429" s="1161">
        <f>S441</f>
        <v>5891.5371428571434</v>
      </c>
      <c r="L429" s="517" t="s">
        <v>253</v>
      </c>
      <c r="M429" s="328"/>
      <c r="N429" s="517"/>
      <c r="O429" s="328">
        <f>O437</f>
        <v>7850</v>
      </c>
      <c r="P429" s="517"/>
      <c r="Q429" s="1161"/>
      <c r="R429" s="518" t="s">
        <v>114</v>
      </c>
      <c r="S429" s="519">
        <f>K429/O429</f>
        <v>0.7505142857142858</v>
      </c>
      <c r="T429" s="66"/>
      <c r="U429" s="2"/>
      <c r="V429" s="43"/>
    </row>
    <row r="430" spans="2:22" s="1" customFormat="1" x14ac:dyDescent="0.3">
      <c r="B430" s="36"/>
      <c r="C430" s="17"/>
      <c r="D430" s="150"/>
      <c r="E430" s="592"/>
      <c r="F430" s="593"/>
      <c r="G430" s="330"/>
      <c r="H430" s="512"/>
      <c r="I430" s="330"/>
      <c r="J430" s="512"/>
      <c r="K430" s="330"/>
      <c r="L430" s="512"/>
      <c r="M430" s="330"/>
      <c r="N430" s="512"/>
      <c r="O430" s="330"/>
      <c r="P430" s="512"/>
      <c r="Q430" s="330"/>
      <c r="R430" s="512" t="s">
        <v>149</v>
      </c>
      <c r="S430" s="559"/>
      <c r="T430" s="66"/>
      <c r="U430" s="2"/>
      <c r="V430" s="43"/>
    </row>
    <row r="431" spans="2:22" s="1" customFormat="1" ht="17.25" thickBot="1" x14ac:dyDescent="0.35">
      <c r="B431" s="36"/>
      <c r="C431" s="17"/>
      <c r="D431" s="3093" t="s">
        <v>164</v>
      </c>
      <c r="E431" s="3094"/>
      <c r="F431" s="3094"/>
      <c r="G431" s="3094"/>
      <c r="H431" s="3094"/>
      <c r="I431" s="3095"/>
      <c r="J431" s="524"/>
      <c r="K431" s="178"/>
      <c r="L431" s="500"/>
      <c r="M431" s="175"/>
      <c r="N431" s="500"/>
      <c r="O431" s="178"/>
      <c r="P431" s="500"/>
      <c r="Q431" s="203"/>
      <c r="R431" s="500"/>
      <c r="S431" s="231">
        <f>SUM(S425)-SUM(S427:S429)</f>
        <v>69.691485714285719</v>
      </c>
      <c r="T431" s="66"/>
      <c r="U431" s="2"/>
      <c r="V431" s="43"/>
    </row>
    <row r="432" spans="2:22" s="1" customFormat="1" x14ac:dyDescent="0.3">
      <c r="B432" s="36"/>
      <c r="C432" s="17"/>
      <c r="D432" s="38"/>
      <c r="E432" s="208"/>
      <c r="F432" s="551"/>
      <c r="G432" s="208"/>
      <c r="H432" s="551"/>
      <c r="I432" s="208"/>
      <c r="J432" s="551"/>
      <c r="K432" s="156"/>
      <c r="L432" s="501"/>
      <c r="M432" s="165"/>
      <c r="N432" s="501"/>
      <c r="O432" s="156"/>
      <c r="P432" s="501"/>
      <c r="Q432" s="204"/>
      <c r="R432" s="501"/>
      <c r="S432" s="232"/>
      <c r="T432" s="66"/>
      <c r="U432" s="2"/>
      <c r="V432" s="43"/>
    </row>
    <row r="433" spans="2:23" ht="17.25" thickBot="1" x14ac:dyDescent="0.35">
      <c r="B433" s="464"/>
      <c r="C433" s="17" t="str">
        <f>RAB!D80</f>
        <v>Pembesian Polos</v>
      </c>
      <c r="D433" s="38"/>
      <c r="E433" s="208"/>
      <c r="F433" s="551"/>
      <c r="G433" s="208"/>
      <c r="H433" s="551"/>
      <c r="I433" s="208"/>
      <c r="J433" s="551"/>
      <c r="K433" s="156"/>
      <c r="L433" s="501"/>
      <c r="M433" s="165"/>
      <c r="N433" s="501"/>
      <c r="O433" s="156"/>
      <c r="P433" s="501"/>
      <c r="Q433" s="204"/>
      <c r="R433" s="501"/>
      <c r="S433" s="232"/>
      <c r="T433" s="18">
        <f>ROUNDDOWN(S441,2)</f>
        <v>5891.53</v>
      </c>
      <c r="U433" s="2" t="s">
        <v>0</v>
      </c>
      <c r="W433" s="351">
        <v>3972.96</v>
      </c>
    </row>
    <row r="434" spans="2:23" x14ac:dyDescent="0.3">
      <c r="B434" s="464"/>
      <c r="C434" s="17"/>
      <c r="D434" s="8" t="s">
        <v>95</v>
      </c>
      <c r="E434" s="154" t="s">
        <v>150</v>
      </c>
      <c r="F434" s="493"/>
      <c r="G434" s="154" t="s">
        <v>151</v>
      </c>
      <c r="H434" s="493"/>
      <c r="I434" s="154" t="s">
        <v>152</v>
      </c>
      <c r="J434" s="493"/>
      <c r="K434" s="154" t="s">
        <v>153</v>
      </c>
      <c r="L434" s="494"/>
      <c r="M434" s="163" t="s">
        <v>32</v>
      </c>
      <c r="N434" s="494"/>
      <c r="O434" s="201" t="s">
        <v>163</v>
      </c>
      <c r="P434" s="494"/>
      <c r="Q434" s="202" t="s">
        <v>151</v>
      </c>
      <c r="R434" s="494"/>
      <c r="S434" s="226" t="s">
        <v>143</v>
      </c>
      <c r="T434" s="66"/>
      <c r="U434" s="2"/>
    </row>
    <row r="435" spans="2:23" x14ac:dyDescent="0.3">
      <c r="B435" s="464"/>
      <c r="C435" s="17"/>
      <c r="D435" s="142" t="s">
        <v>291</v>
      </c>
      <c r="E435" s="331"/>
      <c r="F435" s="575"/>
      <c r="G435" s="331"/>
      <c r="H435" s="575"/>
      <c r="I435" s="331"/>
      <c r="J435" s="575"/>
      <c r="K435" s="331"/>
      <c r="L435" s="575"/>
      <c r="M435" s="331"/>
      <c r="N435" s="575"/>
      <c r="O435" s="331"/>
      <c r="P435" s="575"/>
      <c r="Q435" s="331"/>
      <c r="R435" s="575"/>
      <c r="S435" s="577"/>
      <c r="T435" s="66"/>
      <c r="U435" s="2"/>
    </row>
    <row r="436" spans="2:23" x14ac:dyDescent="0.3">
      <c r="B436" s="464"/>
      <c r="C436" s="17"/>
      <c r="D436" s="138" t="s">
        <v>286</v>
      </c>
      <c r="E436" s="1161"/>
      <c r="F436" s="517"/>
      <c r="G436" s="1161"/>
      <c r="H436" s="517"/>
      <c r="I436" s="1161"/>
      <c r="J436" s="517"/>
      <c r="K436" s="1161"/>
      <c r="L436" s="518"/>
      <c r="M436" s="1161"/>
      <c r="N436" s="518"/>
      <c r="O436" s="1161"/>
      <c r="P436" s="518"/>
      <c r="Q436" s="1161"/>
      <c r="R436" s="518"/>
      <c r="S436" s="519"/>
      <c r="T436" s="66"/>
      <c r="U436" s="2"/>
    </row>
    <row r="437" spans="2:23" x14ac:dyDescent="0.3">
      <c r="B437" s="464"/>
      <c r="C437" s="17"/>
      <c r="D437" s="138" t="s">
        <v>292</v>
      </c>
      <c r="E437" s="1161">
        <f>36</f>
        <v>36</v>
      </c>
      <c r="F437" s="517" t="s">
        <v>185</v>
      </c>
      <c r="G437" s="1161"/>
      <c r="H437" s="517"/>
      <c r="I437" s="1161"/>
      <c r="J437" s="517"/>
      <c r="K437" s="1161">
        <v>132</v>
      </c>
      <c r="L437" s="518" t="s">
        <v>185</v>
      </c>
      <c r="M437" s="1161">
        <v>1</v>
      </c>
      <c r="N437" s="518"/>
      <c r="O437" s="1161">
        <v>7850</v>
      </c>
      <c r="P437" s="518" t="s">
        <v>185</v>
      </c>
      <c r="Q437" s="608">
        <f>22/7*0.005*0.005</f>
        <v>7.857142857142858E-5</v>
      </c>
      <c r="R437" s="518" t="s">
        <v>114</v>
      </c>
      <c r="S437" s="519">
        <f>E437*K437*O437*Q437*M437</f>
        <v>2930.9657142857145</v>
      </c>
      <c r="T437" s="66"/>
      <c r="U437" s="2"/>
      <c r="W437" s="351">
        <f>20/0.15</f>
        <v>133.33333333333334</v>
      </c>
    </row>
    <row r="438" spans="2:23" x14ac:dyDescent="0.3">
      <c r="B438" s="464"/>
      <c r="C438" s="17"/>
      <c r="D438" s="138" t="s">
        <v>252</v>
      </c>
      <c r="E438" s="1161"/>
      <c r="F438" s="517"/>
      <c r="G438" s="1161"/>
      <c r="H438" s="517"/>
      <c r="I438" s="1161"/>
      <c r="J438" s="517"/>
      <c r="K438" s="1161"/>
      <c r="L438" s="518"/>
      <c r="M438" s="1161"/>
      <c r="N438" s="518"/>
      <c r="O438" s="1161"/>
      <c r="P438" s="518"/>
      <c r="Q438" s="608"/>
      <c r="R438" s="518"/>
      <c r="S438" s="519"/>
      <c r="T438" s="66"/>
      <c r="U438" s="2"/>
    </row>
    <row r="439" spans="2:23" x14ac:dyDescent="0.3">
      <c r="B439" s="464"/>
      <c r="C439" s="17"/>
      <c r="D439" s="138" t="s">
        <v>292</v>
      </c>
      <c r="E439" s="1161">
        <v>20</v>
      </c>
      <c r="F439" s="517" t="s">
        <v>185</v>
      </c>
      <c r="G439" s="1161"/>
      <c r="H439" s="517"/>
      <c r="I439" s="1161"/>
      <c r="J439" s="517"/>
      <c r="K439" s="1161">
        <v>240</v>
      </c>
      <c r="L439" s="518" t="s">
        <v>185</v>
      </c>
      <c r="M439" s="1161">
        <v>1</v>
      </c>
      <c r="N439" s="518"/>
      <c r="O439" s="1161">
        <v>7850</v>
      </c>
      <c r="P439" s="518" t="s">
        <v>185</v>
      </c>
      <c r="Q439" s="608">
        <f>22/7*0.005*0.005</f>
        <v>7.857142857142858E-5</v>
      </c>
      <c r="R439" s="518" t="s">
        <v>114</v>
      </c>
      <c r="S439" s="519">
        <f>E439*K439*O439*Q439*M439</f>
        <v>2960.5714285714289</v>
      </c>
      <c r="T439" s="66"/>
      <c r="U439" s="2"/>
      <c r="W439" s="351">
        <f>36/0.15</f>
        <v>240</v>
      </c>
    </row>
    <row r="440" spans="2:23" x14ac:dyDescent="0.3">
      <c r="B440" s="464"/>
      <c r="C440" s="17"/>
      <c r="D440" s="150"/>
      <c r="E440" s="199"/>
      <c r="F440" s="630"/>
      <c r="G440" s="160"/>
      <c r="H440" s="523"/>
      <c r="I440" s="160"/>
      <c r="J440" s="523"/>
      <c r="K440" s="160"/>
      <c r="L440" s="630"/>
      <c r="M440" s="160"/>
      <c r="N440" s="630"/>
      <c r="O440" s="160"/>
      <c r="P440" s="630"/>
      <c r="Q440" s="220"/>
      <c r="R440" s="630"/>
      <c r="S440" s="251"/>
      <c r="T440" s="66"/>
      <c r="U440" s="2"/>
    </row>
    <row r="441" spans="2:23" ht="17.25" thickBot="1" x14ac:dyDescent="0.35">
      <c r="B441" s="464"/>
      <c r="C441" s="17"/>
      <c r="D441" s="3093" t="s">
        <v>164</v>
      </c>
      <c r="E441" s="3094"/>
      <c r="F441" s="3094"/>
      <c r="G441" s="3094"/>
      <c r="H441" s="3094"/>
      <c r="I441" s="3095"/>
      <c r="J441" s="524"/>
      <c r="K441" s="178"/>
      <c r="L441" s="500"/>
      <c r="M441" s="175"/>
      <c r="N441" s="500"/>
      <c r="O441" s="178"/>
      <c r="P441" s="500"/>
      <c r="Q441" s="203"/>
      <c r="R441" s="500"/>
      <c r="S441" s="231">
        <f>SUM(S435:S440)</f>
        <v>5891.5371428571434</v>
      </c>
      <c r="T441" s="66"/>
      <c r="U441" s="2"/>
    </row>
    <row r="442" spans="2:23" x14ac:dyDescent="0.3">
      <c r="B442" s="464"/>
      <c r="C442" s="465"/>
      <c r="D442" s="453"/>
      <c r="E442" s="455"/>
      <c r="F442" s="485"/>
      <c r="G442" s="455"/>
      <c r="H442" s="485"/>
      <c r="I442" s="455"/>
      <c r="J442" s="485"/>
      <c r="K442" s="438"/>
      <c r="L442" s="482"/>
      <c r="M442" s="439"/>
      <c r="N442" s="482"/>
      <c r="O442" s="438"/>
      <c r="P442" s="482"/>
      <c r="Q442" s="440"/>
      <c r="R442" s="482"/>
      <c r="S442" s="454"/>
    </row>
    <row r="443" spans="2:23" x14ac:dyDescent="0.3">
      <c r="B443" s="464"/>
      <c r="C443" s="465"/>
      <c r="D443" s="453"/>
      <c r="E443" s="455"/>
      <c r="F443" s="485"/>
      <c r="G443" s="455"/>
      <c r="H443" s="485"/>
      <c r="I443" s="455"/>
      <c r="J443" s="485"/>
      <c r="K443" s="438"/>
      <c r="L443" s="482"/>
      <c r="M443" s="439"/>
      <c r="N443" s="482"/>
      <c r="O443" s="438"/>
      <c r="P443" s="482"/>
      <c r="Q443" s="440"/>
      <c r="R443" s="482"/>
      <c r="S443" s="454"/>
    </row>
    <row r="444" spans="2:23" s="1" customFormat="1" x14ac:dyDescent="0.3">
      <c r="B444" s="134" t="str">
        <f>RAB!B83</f>
        <v>III</v>
      </c>
      <c r="C444" s="134" t="str">
        <f>RAB!C83</f>
        <v>PEKERJAAN DINDING &amp; PLESTERAN</v>
      </c>
      <c r="D444" s="66"/>
      <c r="E444" s="153"/>
      <c r="F444" s="480"/>
      <c r="G444" s="153"/>
      <c r="H444" s="480"/>
      <c r="I444" s="153"/>
      <c r="J444" s="480"/>
      <c r="K444" s="153"/>
      <c r="L444" s="480"/>
      <c r="M444" s="162"/>
      <c r="N444" s="480"/>
      <c r="O444" s="153"/>
      <c r="P444" s="480"/>
      <c r="Q444" s="200"/>
      <c r="R444" s="480"/>
      <c r="S444" s="224"/>
      <c r="T444" s="66"/>
      <c r="U444" s="2"/>
      <c r="V444" s="43"/>
    </row>
    <row r="445" spans="2:23" s="1" customFormat="1" ht="17.25" thickBot="1" x14ac:dyDescent="0.35">
      <c r="B445" s="59" t="e">
        <f>RAB!#REF!</f>
        <v>#REF!</v>
      </c>
      <c r="C445" s="60" t="e">
        <f>RAB!#REF!</f>
        <v>#REF!</v>
      </c>
      <c r="E445" s="153"/>
      <c r="F445" s="480"/>
      <c r="G445" s="153"/>
      <c r="H445" s="480"/>
      <c r="I445" s="153"/>
      <c r="J445" s="480"/>
      <c r="K445" s="153"/>
      <c r="L445" s="480"/>
      <c r="M445" s="162"/>
      <c r="N445" s="480"/>
      <c r="O445" s="153"/>
      <c r="P445" s="480"/>
      <c r="Q445" s="153"/>
      <c r="R445" s="480"/>
      <c r="S445" s="224"/>
      <c r="T445" s="18"/>
      <c r="U445" s="2" t="s">
        <v>2</v>
      </c>
      <c r="V445" s="43"/>
    </row>
    <row r="446" spans="2:23" s="1" customFormat="1" x14ac:dyDescent="0.3">
      <c r="B446" s="59"/>
      <c r="C446" s="60"/>
      <c r="D446" s="8" t="s">
        <v>95</v>
      </c>
      <c r="E446" s="154" t="s">
        <v>150</v>
      </c>
      <c r="F446" s="493"/>
      <c r="G446" s="154" t="s">
        <v>151</v>
      </c>
      <c r="H446" s="493"/>
      <c r="I446" s="154" t="s">
        <v>152</v>
      </c>
      <c r="J446" s="493"/>
      <c r="K446" s="154" t="s">
        <v>153</v>
      </c>
      <c r="L446" s="494"/>
      <c r="M446" s="163" t="s">
        <v>32</v>
      </c>
      <c r="N446" s="494"/>
      <c r="O446" s="201" t="s">
        <v>163</v>
      </c>
      <c r="P446" s="494"/>
      <c r="Q446" s="201" t="s">
        <v>151</v>
      </c>
      <c r="R446" s="494"/>
      <c r="S446" s="226" t="s">
        <v>143</v>
      </c>
      <c r="T446" s="66"/>
      <c r="U446" s="2"/>
      <c r="V446" s="43"/>
    </row>
    <row r="447" spans="2:23" s="1" customFormat="1" x14ac:dyDescent="0.3">
      <c r="B447" s="59"/>
      <c r="C447" s="60"/>
      <c r="D447" s="274" t="s">
        <v>1332</v>
      </c>
      <c r="E447" s="331"/>
      <c r="F447" s="565"/>
      <c r="G447" s="331"/>
      <c r="H447" s="565"/>
      <c r="I447" s="331"/>
      <c r="J447" s="565"/>
      <c r="K447" s="331"/>
      <c r="L447" s="565"/>
      <c r="M447" s="331"/>
      <c r="N447" s="575"/>
      <c r="O447" s="331"/>
      <c r="P447" s="565"/>
      <c r="Q447" s="331"/>
      <c r="R447" s="565"/>
      <c r="S447" s="577"/>
      <c r="T447" s="66"/>
      <c r="U447" s="2"/>
      <c r="V447" s="43"/>
    </row>
    <row r="448" spans="2:23" s="1" customFormat="1" x14ac:dyDescent="0.3">
      <c r="B448" s="59"/>
      <c r="C448" s="60"/>
      <c r="D448" s="139" t="s">
        <v>194</v>
      </c>
      <c r="E448" s="1161">
        <f>36</f>
        <v>36</v>
      </c>
      <c r="F448" s="518" t="s">
        <v>185</v>
      </c>
      <c r="G448" s="1161"/>
      <c r="H448" s="518"/>
      <c r="I448" s="1161">
        <v>4</v>
      </c>
      <c r="J448" s="518" t="s">
        <v>185</v>
      </c>
      <c r="K448" s="1161">
        <v>2</v>
      </c>
      <c r="L448" s="518"/>
      <c r="M448" s="1161"/>
      <c r="N448" s="517"/>
      <c r="O448" s="1161"/>
      <c r="P448" s="518" t="s">
        <v>114</v>
      </c>
      <c r="Q448" s="1161">
        <f>K448*I448*E448</f>
        <v>288</v>
      </c>
      <c r="R448" s="518"/>
      <c r="S448" s="519"/>
      <c r="T448" s="66"/>
      <c r="U448" s="2"/>
      <c r="V448" s="43"/>
    </row>
    <row r="449" spans="2:23" s="1" customFormat="1" x14ac:dyDescent="0.3">
      <c r="B449" s="59"/>
      <c r="C449" s="60"/>
      <c r="D449" s="139" t="s">
        <v>257</v>
      </c>
      <c r="E449" s="1161">
        <v>1.35</v>
      </c>
      <c r="F449" s="518" t="s">
        <v>185</v>
      </c>
      <c r="G449" s="1161"/>
      <c r="H449" s="518"/>
      <c r="I449" s="1161">
        <v>1</v>
      </c>
      <c r="J449" s="518" t="s">
        <v>185</v>
      </c>
      <c r="K449" s="1161">
        <v>2</v>
      </c>
      <c r="L449" s="518"/>
      <c r="M449" s="1161"/>
      <c r="N449" s="517"/>
      <c r="O449" s="1161"/>
      <c r="P449" s="518" t="s">
        <v>114</v>
      </c>
      <c r="Q449" s="1161">
        <f>K449*I449*E449</f>
        <v>2.7</v>
      </c>
      <c r="R449" s="518"/>
      <c r="S449" s="519"/>
      <c r="T449" s="66"/>
      <c r="U449" s="2"/>
      <c r="V449" s="43"/>
      <c r="W449" s="37"/>
    </row>
    <row r="450" spans="2:23" s="1" customFormat="1" x14ac:dyDescent="0.3">
      <c r="B450" s="59"/>
      <c r="C450" s="60"/>
      <c r="D450" s="150"/>
      <c r="E450" s="592"/>
      <c r="F450" s="512"/>
      <c r="G450" s="330"/>
      <c r="H450" s="512"/>
      <c r="I450" s="330"/>
      <c r="J450" s="512"/>
      <c r="K450" s="330"/>
      <c r="L450" s="512"/>
      <c r="M450" s="330"/>
      <c r="N450" s="512"/>
      <c r="O450" s="330"/>
      <c r="P450" s="512"/>
      <c r="Q450" s="330"/>
      <c r="R450" s="512"/>
      <c r="S450" s="559"/>
      <c r="T450" s="66"/>
      <c r="U450" s="2"/>
      <c r="V450" s="43"/>
    </row>
    <row r="451" spans="2:23" s="1" customFormat="1" ht="17.25" thickBot="1" x14ac:dyDescent="0.35">
      <c r="B451" s="59"/>
      <c r="C451" s="60"/>
      <c r="D451" s="3093" t="s">
        <v>164</v>
      </c>
      <c r="E451" s="3093"/>
      <c r="F451" s="3093"/>
      <c r="G451" s="3093"/>
      <c r="H451" s="3093"/>
      <c r="I451" s="3093"/>
      <c r="J451" s="524"/>
      <c r="K451" s="178"/>
      <c r="L451" s="500"/>
      <c r="M451" s="175"/>
      <c r="N451" s="500"/>
      <c r="O451" s="178"/>
      <c r="P451" s="500"/>
      <c r="Q451" s="579">
        <f>SUM(Q448:Q449)</f>
        <v>290.7</v>
      </c>
      <c r="R451" s="500"/>
      <c r="S451" s="231"/>
      <c r="T451" s="66"/>
      <c r="U451" s="2"/>
      <c r="V451" s="43"/>
    </row>
    <row r="452" spans="2:23" x14ac:dyDescent="0.3">
      <c r="B452" s="473"/>
      <c r="C452" s="473"/>
      <c r="Q452" s="430"/>
    </row>
    <row r="453" spans="2:23" s="1" customFormat="1" ht="17.25" thickBot="1" x14ac:dyDescent="0.35">
      <c r="B453" s="59">
        <f>RAB!B84</f>
        <v>1</v>
      </c>
      <c r="C453" s="60" t="str">
        <f>RAB!C84</f>
        <v xml:space="preserve">Pasangan 1/2 bata camp. 1 : 4 </v>
      </c>
      <c r="E453" s="153"/>
      <c r="F453" s="480"/>
      <c r="G453" s="153"/>
      <c r="H453" s="480"/>
      <c r="I453" s="153"/>
      <c r="J453" s="480"/>
      <c r="K453" s="153"/>
      <c r="L453" s="480"/>
      <c r="M453" s="162"/>
      <c r="N453" s="480"/>
      <c r="O453" s="153"/>
      <c r="P453" s="480"/>
      <c r="Q453" s="153"/>
      <c r="R453" s="480"/>
      <c r="S453" s="224"/>
      <c r="T453" s="18">
        <f>ROUNDDOWN(Q465,2)</f>
        <v>776.56</v>
      </c>
      <c r="U453" s="2" t="s">
        <v>2</v>
      </c>
      <c r="V453" s="43"/>
    </row>
    <row r="454" spans="2:23" s="1" customFormat="1" x14ac:dyDescent="0.3">
      <c r="B454" s="59"/>
      <c r="C454" s="60"/>
      <c r="D454" s="8" t="s">
        <v>95</v>
      </c>
      <c r="E454" s="154" t="s">
        <v>150</v>
      </c>
      <c r="F454" s="493"/>
      <c r="G454" s="154" t="s">
        <v>151</v>
      </c>
      <c r="H454" s="493"/>
      <c r="I454" s="155" t="s">
        <v>152</v>
      </c>
      <c r="J454" s="493"/>
      <c r="K454" s="154" t="s">
        <v>153</v>
      </c>
      <c r="L454" s="494"/>
      <c r="M454" s="163" t="s">
        <v>32</v>
      </c>
      <c r="N454" s="494"/>
      <c r="O454" s="201" t="s">
        <v>163</v>
      </c>
      <c r="P454" s="494"/>
      <c r="Q454" s="201" t="s">
        <v>151</v>
      </c>
      <c r="R454" s="494"/>
      <c r="S454" s="226" t="s">
        <v>143</v>
      </c>
      <c r="T454" s="66"/>
      <c r="U454" s="2"/>
      <c r="V454" s="43"/>
    </row>
    <row r="455" spans="2:23" s="1" customFormat="1" x14ac:dyDescent="0.3">
      <c r="B455" s="59"/>
      <c r="C455" s="60"/>
      <c r="D455" s="636" t="s">
        <v>193</v>
      </c>
      <c r="E455" s="331"/>
      <c r="F455" s="575"/>
      <c r="G455" s="331"/>
      <c r="H455" s="575"/>
      <c r="I455" s="331"/>
      <c r="J455" s="575"/>
      <c r="K455" s="331"/>
      <c r="L455" s="575"/>
      <c r="M455" s="331"/>
      <c r="N455" s="575"/>
      <c r="O455" s="331"/>
      <c r="P455" s="575"/>
      <c r="Q455" s="331"/>
      <c r="R455" s="575"/>
      <c r="S455" s="577"/>
      <c r="T455" s="66"/>
      <c r="U455" s="2"/>
      <c r="V455" s="43"/>
    </row>
    <row r="456" spans="2:23" s="1" customFormat="1" x14ac:dyDescent="0.3">
      <c r="B456" s="59"/>
      <c r="C456" s="60"/>
      <c r="D456" s="146" t="s">
        <v>194</v>
      </c>
      <c r="E456" s="1161">
        <f>36</f>
        <v>36</v>
      </c>
      <c r="F456" s="518" t="s">
        <v>185</v>
      </c>
      <c r="G456" s="1161"/>
      <c r="H456" s="518"/>
      <c r="I456" s="1161">
        <v>3.6</v>
      </c>
      <c r="J456" s="518" t="s">
        <v>185</v>
      </c>
      <c r="K456" s="1161">
        <v>4</v>
      </c>
      <c r="L456" s="518"/>
      <c r="M456" s="1161"/>
      <c r="N456" s="517"/>
      <c r="O456" s="1161"/>
      <c r="P456" s="518" t="s">
        <v>114</v>
      </c>
      <c r="Q456" s="1161">
        <f>K456*I456*E456</f>
        <v>518.4</v>
      </c>
      <c r="R456" s="518"/>
      <c r="S456" s="519"/>
      <c r="T456" s="66"/>
      <c r="U456" s="2"/>
      <c r="V456" s="43"/>
    </row>
    <row r="457" spans="2:23" s="1" customFormat="1" x14ac:dyDescent="0.3">
      <c r="B457" s="59"/>
      <c r="C457" s="60"/>
      <c r="D457" s="146" t="s">
        <v>165</v>
      </c>
      <c r="E457" s="1161">
        <v>20</v>
      </c>
      <c r="F457" s="518" t="s">
        <v>185</v>
      </c>
      <c r="G457" s="1161"/>
      <c r="H457" s="518"/>
      <c r="I457" s="1161">
        <v>3.6</v>
      </c>
      <c r="J457" s="518" t="s">
        <v>185</v>
      </c>
      <c r="K457" s="1161">
        <v>6</v>
      </c>
      <c r="L457" s="518"/>
      <c r="M457" s="1161"/>
      <c r="N457" s="517"/>
      <c r="O457" s="1161"/>
      <c r="P457" s="518" t="s">
        <v>114</v>
      </c>
      <c r="Q457" s="1161">
        <f>K457*I457*E457</f>
        <v>432</v>
      </c>
      <c r="R457" s="518"/>
      <c r="S457" s="519"/>
      <c r="T457" s="134"/>
      <c r="U457" s="2"/>
      <c r="V457" s="43"/>
    </row>
    <row r="458" spans="2:23" s="1" customFormat="1" x14ac:dyDescent="0.3">
      <c r="B458" s="59"/>
      <c r="C458" s="60"/>
      <c r="D458" s="258" t="s">
        <v>154</v>
      </c>
      <c r="E458" s="328"/>
      <c r="F458" s="517"/>
      <c r="G458" s="328"/>
      <c r="H458" s="517"/>
      <c r="I458" s="328"/>
      <c r="J458" s="517"/>
      <c r="K458" s="328"/>
      <c r="L458" s="517"/>
      <c r="M458" s="328"/>
      <c r="N458" s="517"/>
      <c r="O458" s="328"/>
      <c r="P458" s="517"/>
      <c r="Q458" s="328"/>
      <c r="R458" s="517"/>
      <c r="S458" s="519"/>
      <c r="T458" s="66"/>
      <c r="U458" s="2"/>
      <c r="V458" s="43"/>
    </row>
    <row r="459" spans="2:23" s="1" customFormat="1" x14ac:dyDescent="0.3">
      <c r="B459" s="59"/>
      <c r="C459" s="60"/>
      <c r="D459" s="146" t="s">
        <v>712</v>
      </c>
      <c r="E459" s="1161">
        <v>3</v>
      </c>
      <c r="F459" s="518" t="s">
        <v>185</v>
      </c>
      <c r="G459" s="1161"/>
      <c r="H459" s="518"/>
      <c r="I459" s="1161">
        <v>1.5</v>
      </c>
      <c r="J459" s="518" t="s">
        <v>185</v>
      </c>
      <c r="K459" s="1161">
        <v>8</v>
      </c>
      <c r="L459" s="517"/>
      <c r="M459" s="1161"/>
      <c r="N459" s="517"/>
      <c r="O459" s="1161"/>
      <c r="P459" s="518" t="s">
        <v>114</v>
      </c>
      <c r="Q459" s="1161">
        <f>K459*I459*E459</f>
        <v>36</v>
      </c>
      <c r="R459" s="517"/>
      <c r="S459" s="519"/>
      <c r="T459" s="66"/>
      <c r="U459" s="2"/>
      <c r="V459" s="43"/>
    </row>
    <row r="460" spans="2:23" s="1" customFormat="1" x14ac:dyDescent="0.3">
      <c r="B460" s="59"/>
      <c r="C460" s="60"/>
      <c r="D460" s="146" t="s">
        <v>585</v>
      </c>
      <c r="E460" s="1161">
        <v>3</v>
      </c>
      <c r="F460" s="518" t="s">
        <v>185</v>
      </c>
      <c r="G460" s="1161"/>
      <c r="H460" s="518"/>
      <c r="I460" s="1161">
        <v>2</v>
      </c>
      <c r="J460" s="518" t="s">
        <v>185</v>
      </c>
      <c r="K460" s="1161">
        <v>1</v>
      </c>
      <c r="L460" s="517"/>
      <c r="M460" s="1161"/>
      <c r="N460" s="517"/>
      <c r="O460" s="1161"/>
      <c r="P460" s="518" t="s">
        <v>114</v>
      </c>
      <c r="Q460" s="1161">
        <f>K460*I460*E460</f>
        <v>6</v>
      </c>
      <c r="R460" s="517"/>
      <c r="S460" s="519"/>
      <c r="T460" s="66"/>
      <c r="U460" s="2"/>
      <c r="V460" s="43"/>
    </row>
    <row r="461" spans="2:23" s="1" customFormat="1" x14ac:dyDescent="0.3">
      <c r="B461" s="59"/>
      <c r="C461" s="60"/>
      <c r="D461" s="146" t="s">
        <v>1333</v>
      </c>
      <c r="E461" s="1161">
        <v>2</v>
      </c>
      <c r="F461" s="518" t="s">
        <v>185</v>
      </c>
      <c r="G461" s="1161"/>
      <c r="H461" s="518"/>
      <c r="I461" s="1161">
        <v>0.7</v>
      </c>
      <c r="J461" s="518" t="s">
        <v>185</v>
      </c>
      <c r="K461" s="1161">
        <v>8</v>
      </c>
      <c r="L461" s="517"/>
      <c r="M461" s="1161"/>
      <c r="N461" s="517"/>
      <c r="O461" s="1161"/>
      <c r="P461" s="518" t="s">
        <v>114</v>
      </c>
      <c r="Q461" s="1161">
        <f>K461*I461*E461</f>
        <v>11.2</v>
      </c>
      <c r="R461" s="517"/>
      <c r="S461" s="519"/>
      <c r="T461" s="66"/>
      <c r="U461" s="2"/>
      <c r="V461" s="43"/>
    </row>
    <row r="462" spans="2:23" s="1" customFormat="1" x14ac:dyDescent="0.3">
      <c r="B462" s="59"/>
      <c r="C462" s="60"/>
      <c r="D462" s="146" t="s">
        <v>595</v>
      </c>
      <c r="E462" s="1161">
        <v>2</v>
      </c>
      <c r="F462" s="518" t="s">
        <v>185</v>
      </c>
      <c r="G462" s="1161"/>
      <c r="H462" s="518"/>
      <c r="I462" s="1161">
        <v>2.6</v>
      </c>
      <c r="J462" s="518" t="s">
        <v>185</v>
      </c>
      <c r="K462" s="1161">
        <f>12+10</f>
        <v>22</v>
      </c>
      <c r="L462" s="517"/>
      <c r="M462" s="1161"/>
      <c r="N462" s="517"/>
      <c r="O462" s="1161"/>
      <c r="P462" s="518" t="s">
        <v>114</v>
      </c>
      <c r="Q462" s="1161">
        <f>K462*I462*E462</f>
        <v>114.4</v>
      </c>
      <c r="R462" s="517"/>
      <c r="S462" s="519"/>
      <c r="T462" s="66"/>
      <c r="U462" s="2"/>
      <c r="V462" s="43"/>
    </row>
    <row r="463" spans="2:23" s="1" customFormat="1" x14ac:dyDescent="0.3">
      <c r="B463" s="59"/>
      <c r="C463" s="60"/>
      <c r="D463" s="146" t="s">
        <v>713</v>
      </c>
      <c r="E463" s="1161">
        <v>0.6</v>
      </c>
      <c r="F463" s="518" t="s">
        <v>185</v>
      </c>
      <c r="G463" s="1161"/>
      <c r="H463" s="518"/>
      <c r="I463" s="1161">
        <v>2.6</v>
      </c>
      <c r="J463" s="518" t="s">
        <v>185</v>
      </c>
      <c r="K463" s="1161">
        <v>4</v>
      </c>
      <c r="L463" s="517"/>
      <c r="M463" s="1161"/>
      <c r="N463" s="517"/>
      <c r="O463" s="1161"/>
      <c r="P463" s="518" t="s">
        <v>114</v>
      </c>
      <c r="Q463" s="1161">
        <f>K463*I463*E463</f>
        <v>6.24</v>
      </c>
      <c r="R463" s="517"/>
      <c r="S463" s="519"/>
      <c r="T463" s="66"/>
      <c r="U463" s="2"/>
      <c r="V463" s="43"/>
      <c r="W463" s="1">
        <f>I463*E463</f>
        <v>1.56</v>
      </c>
    </row>
    <row r="464" spans="2:23" s="1" customFormat="1" x14ac:dyDescent="0.3">
      <c r="B464" s="59"/>
      <c r="C464" s="60"/>
      <c r="D464" s="148"/>
      <c r="E464" s="619"/>
      <c r="F464" s="526"/>
      <c r="G464" s="619"/>
      <c r="H464" s="526"/>
      <c r="I464" s="619"/>
      <c r="J464" s="526"/>
      <c r="K464" s="619"/>
      <c r="L464" s="526"/>
      <c r="M464" s="619"/>
      <c r="N464" s="526"/>
      <c r="O464" s="619"/>
      <c r="P464" s="526"/>
      <c r="Q464" s="619"/>
      <c r="R464" s="526"/>
      <c r="S464" s="620"/>
      <c r="T464" s="66"/>
      <c r="U464" s="2"/>
      <c r="V464" s="43"/>
    </row>
    <row r="465" spans="2:22" s="1" customFormat="1" ht="17.25" thickBot="1" x14ac:dyDescent="0.35">
      <c r="B465" s="59"/>
      <c r="C465" s="60"/>
      <c r="D465" s="3096" t="s">
        <v>164</v>
      </c>
      <c r="E465" s="3097"/>
      <c r="F465" s="3097"/>
      <c r="G465" s="3097"/>
      <c r="H465" s="3097"/>
      <c r="I465" s="3097"/>
      <c r="J465" s="637"/>
      <c r="K465" s="196"/>
      <c r="L465" s="637"/>
      <c r="M465" s="196"/>
      <c r="N465" s="637"/>
      <c r="O465" s="196"/>
      <c r="P465" s="637"/>
      <c r="Q465" s="670">
        <f>SUM(Q455:Q457)-SUM(Q459:Q464)</f>
        <v>776.56</v>
      </c>
      <c r="R465" s="637"/>
      <c r="S465" s="253"/>
      <c r="T465" s="66"/>
      <c r="U465" s="2"/>
      <c r="V465" s="43"/>
    </row>
    <row r="466" spans="2:22" s="1" customFormat="1" x14ac:dyDescent="0.3">
      <c r="B466" s="59"/>
      <c r="C466" s="60"/>
      <c r="D466" s="338"/>
      <c r="E466" s="338"/>
      <c r="F466" s="338"/>
      <c r="G466" s="338"/>
      <c r="H466" s="338"/>
      <c r="I466" s="338"/>
      <c r="J466" s="638"/>
      <c r="K466" s="339"/>
      <c r="L466" s="638"/>
      <c r="M466" s="339"/>
      <c r="N466" s="638"/>
      <c r="O466" s="339"/>
      <c r="P466" s="638"/>
      <c r="Q466" s="657"/>
      <c r="R466" s="638"/>
      <c r="S466" s="340"/>
      <c r="T466" s="66"/>
      <c r="U466" s="2"/>
      <c r="V466" s="43"/>
    </row>
    <row r="467" spans="2:22" ht="17.25" thickBot="1" x14ac:dyDescent="0.35">
      <c r="B467" s="59" t="e">
        <f>RAB!#REF!</f>
        <v>#REF!</v>
      </c>
      <c r="C467" s="60" t="e">
        <f>RAB!#REF!</f>
        <v>#REF!</v>
      </c>
      <c r="Q467" s="430"/>
      <c r="T467" s="18">
        <v>0</v>
      </c>
      <c r="U467" s="2" t="s">
        <v>2</v>
      </c>
    </row>
    <row r="468" spans="2:22" s="1" customFormat="1" x14ac:dyDescent="0.3">
      <c r="B468" s="59"/>
      <c r="C468" s="60"/>
      <c r="D468" s="8" t="s">
        <v>95</v>
      </c>
      <c r="E468" s="154" t="s">
        <v>150</v>
      </c>
      <c r="F468" s="493"/>
      <c r="G468" s="154" t="s">
        <v>151</v>
      </c>
      <c r="H468" s="493"/>
      <c r="I468" s="154" t="s">
        <v>152</v>
      </c>
      <c r="J468" s="493"/>
      <c r="K468" s="154" t="s">
        <v>153</v>
      </c>
      <c r="L468" s="493"/>
      <c r="M468" s="169" t="s">
        <v>32</v>
      </c>
      <c r="N468" s="493"/>
      <c r="O468" s="154" t="s">
        <v>163</v>
      </c>
      <c r="P468" s="493"/>
      <c r="Q468" s="154" t="s">
        <v>151</v>
      </c>
      <c r="R468" s="493"/>
      <c r="S468" s="226" t="s">
        <v>143</v>
      </c>
      <c r="T468" s="66"/>
      <c r="U468" s="2"/>
      <c r="V468" s="43"/>
    </row>
    <row r="469" spans="2:22" s="1" customFormat="1" x14ac:dyDescent="0.3">
      <c r="B469" s="59"/>
      <c r="C469" s="60"/>
      <c r="D469" s="318" t="s">
        <v>762</v>
      </c>
      <c r="E469" s="159"/>
      <c r="F469" s="582"/>
      <c r="G469" s="159"/>
      <c r="H469" s="582"/>
      <c r="I469" s="159"/>
      <c r="J469" s="582"/>
      <c r="K469" s="159"/>
      <c r="L469" s="582"/>
      <c r="M469" s="168"/>
      <c r="N469" s="582"/>
      <c r="O469" s="159"/>
      <c r="P469" s="582"/>
      <c r="Q469" s="159"/>
      <c r="R469" s="582"/>
      <c r="S469" s="243"/>
      <c r="T469" s="66"/>
      <c r="U469" s="2"/>
      <c r="V469" s="43"/>
    </row>
    <row r="470" spans="2:22" s="1" customFormat="1" x14ac:dyDescent="0.3">
      <c r="B470" s="59"/>
      <c r="C470" s="60"/>
      <c r="D470" s="139" t="s">
        <v>756</v>
      </c>
      <c r="E470" s="1161">
        <v>2.4</v>
      </c>
      <c r="F470" s="518" t="s">
        <v>185</v>
      </c>
      <c r="G470" s="1161"/>
      <c r="H470" s="518"/>
      <c r="I470" s="1161">
        <v>2.4</v>
      </c>
      <c r="J470" s="518" t="s">
        <v>185</v>
      </c>
      <c r="K470" s="1161">
        <v>1</v>
      </c>
      <c r="L470" s="517"/>
      <c r="M470" s="1161"/>
      <c r="N470" s="518"/>
      <c r="O470" s="1161"/>
      <c r="P470" s="518" t="s">
        <v>114</v>
      </c>
      <c r="Q470" s="1161">
        <f>K470*I470*E470</f>
        <v>5.76</v>
      </c>
      <c r="R470" s="518"/>
      <c r="S470" s="519"/>
      <c r="T470" s="66"/>
      <c r="U470" s="2"/>
      <c r="V470" s="43"/>
    </row>
    <row r="471" spans="2:22" s="1" customFormat="1" x14ac:dyDescent="0.3">
      <c r="B471" s="59"/>
      <c r="C471" s="60"/>
      <c r="D471" s="139" t="s">
        <v>757</v>
      </c>
      <c r="E471" s="1161">
        <v>2.1</v>
      </c>
      <c r="F471" s="518" t="s">
        <v>185</v>
      </c>
      <c r="G471" s="1161"/>
      <c r="H471" s="518"/>
      <c r="I471" s="1161">
        <v>0.6</v>
      </c>
      <c r="J471" s="518" t="s">
        <v>185</v>
      </c>
      <c r="K471" s="1161">
        <v>1</v>
      </c>
      <c r="L471" s="517"/>
      <c r="M471" s="1161"/>
      <c r="N471" s="518"/>
      <c r="O471" s="1161"/>
      <c r="P471" s="518" t="s">
        <v>114</v>
      </c>
      <c r="Q471" s="1161">
        <f>K471*I471*E471</f>
        <v>1.26</v>
      </c>
      <c r="R471" s="518"/>
      <c r="S471" s="519"/>
      <c r="T471" s="66"/>
      <c r="U471" s="2"/>
      <c r="V471" s="43"/>
    </row>
    <row r="472" spans="2:22" s="1" customFormat="1" x14ac:dyDescent="0.3">
      <c r="B472" s="59"/>
      <c r="C472" s="60"/>
      <c r="D472" s="292" t="s">
        <v>763</v>
      </c>
      <c r="E472" s="319"/>
      <c r="F472" s="671"/>
      <c r="G472" s="319"/>
      <c r="H472" s="671"/>
      <c r="I472" s="319"/>
      <c r="J472" s="671"/>
      <c r="K472" s="319"/>
      <c r="L472" s="671"/>
      <c r="M472" s="320"/>
      <c r="N472" s="671"/>
      <c r="O472" s="319"/>
      <c r="P472" s="671"/>
      <c r="Q472" s="319"/>
      <c r="R472" s="671"/>
      <c r="S472" s="321"/>
      <c r="T472" s="66"/>
      <c r="U472" s="2"/>
      <c r="V472" s="43"/>
    </row>
    <row r="473" spans="2:22" s="1" customFormat="1" x14ac:dyDescent="0.3">
      <c r="B473" s="59"/>
      <c r="C473" s="60"/>
      <c r="D473" s="139" t="s">
        <v>758</v>
      </c>
      <c r="E473" s="1161">
        <v>2.1</v>
      </c>
      <c r="F473" s="518" t="s">
        <v>185</v>
      </c>
      <c r="G473" s="1161"/>
      <c r="H473" s="518"/>
      <c r="I473" s="1161">
        <v>0.9</v>
      </c>
      <c r="J473" s="518" t="s">
        <v>185</v>
      </c>
      <c r="K473" s="1161">
        <v>4</v>
      </c>
      <c r="L473" s="517"/>
      <c r="M473" s="1161"/>
      <c r="N473" s="518"/>
      <c r="O473" s="1161"/>
      <c r="P473" s="518" t="s">
        <v>114</v>
      </c>
      <c r="Q473" s="1161">
        <f>K473*I473*E473</f>
        <v>7.5600000000000005</v>
      </c>
      <c r="R473" s="518"/>
      <c r="S473" s="519"/>
      <c r="T473" s="66"/>
      <c r="U473" s="2"/>
      <c r="V473" s="43"/>
    </row>
    <row r="474" spans="2:22" s="1" customFormat="1" x14ac:dyDescent="0.3">
      <c r="B474" s="59"/>
      <c r="C474" s="60"/>
      <c r="D474" s="139" t="s">
        <v>759</v>
      </c>
      <c r="E474" s="1161">
        <v>2.1</v>
      </c>
      <c r="F474" s="518" t="s">
        <v>185</v>
      </c>
      <c r="G474" s="1161"/>
      <c r="H474" s="518"/>
      <c r="I474" s="1161">
        <v>2.1</v>
      </c>
      <c r="J474" s="518" t="s">
        <v>185</v>
      </c>
      <c r="K474" s="1161">
        <v>1</v>
      </c>
      <c r="L474" s="517"/>
      <c r="M474" s="1161"/>
      <c r="N474" s="518"/>
      <c r="O474" s="1161"/>
      <c r="P474" s="518" t="s">
        <v>114</v>
      </c>
      <c r="Q474" s="1161">
        <f>K474*I474*E474</f>
        <v>4.41</v>
      </c>
      <c r="R474" s="518"/>
      <c r="S474" s="519"/>
      <c r="T474" s="66"/>
      <c r="U474" s="2"/>
      <c r="V474" s="43"/>
    </row>
    <row r="475" spans="2:22" s="1" customFormat="1" x14ac:dyDescent="0.3">
      <c r="B475" s="59"/>
      <c r="C475" s="60"/>
      <c r="D475" s="292" t="s">
        <v>764</v>
      </c>
      <c r="E475" s="319"/>
      <c r="F475" s="671"/>
      <c r="G475" s="319"/>
      <c r="H475" s="671"/>
      <c r="I475" s="319"/>
      <c r="J475" s="671"/>
      <c r="K475" s="319"/>
      <c r="L475" s="671"/>
      <c r="M475" s="320"/>
      <c r="N475" s="671"/>
      <c r="O475" s="319"/>
      <c r="P475" s="671"/>
      <c r="Q475" s="319"/>
      <c r="R475" s="671"/>
      <c r="S475" s="321"/>
      <c r="T475" s="66"/>
      <c r="U475" s="2"/>
      <c r="V475" s="43"/>
    </row>
    <row r="476" spans="2:22" s="1" customFormat="1" x14ac:dyDescent="0.3">
      <c r="B476" s="59"/>
      <c r="C476" s="60"/>
      <c r="D476" s="139" t="s">
        <v>760</v>
      </c>
      <c r="E476" s="1161">
        <v>1.5</v>
      </c>
      <c r="F476" s="518" t="s">
        <v>185</v>
      </c>
      <c r="G476" s="1161"/>
      <c r="H476" s="518"/>
      <c r="I476" s="1161">
        <v>0.6</v>
      </c>
      <c r="J476" s="518" t="s">
        <v>185</v>
      </c>
      <c r="K476" s="1161">
        <v>1</v>
      </c>
      <c r="L476" s="517"/>
      <c r="M476" s="1161"/>
      <c r="N476" s="518"/>
      <c r="O476" s="1161"/>
      <c r="P476" s="518" t="s">
        <v>114</v>
      </c>
      <c r="Q476" s="1161">
        <f>K476*I476*E476</f>
        <v>0.89999999999999991</v>
      </c>
      <c r="R476" s="518"/>
      <c r="S476" s="519"/>
      <c r="T476" s="66"/>
      <c r="U476" s="2"/>
      <c r="V476" s="43"/>
    </row>
    <row r="477" spans="2:22" s="1" customFormat="1" x14ac:dyDescent="0.3">
      <c r="B477" s="59"/>
      <c r="C477" s="60"/>
      <c r="D477" s="139" t="s">
        <v>765</v>
      </c>
      <c r="E477" s="1161">
        <v>2.4</v>
      </c>
      <c r="F477" s="518" t="s">
        <v>185</v>
      </c>
      <c r="G477" s="1161"/>
      <c r="H477" s="518"/>
      <c r="I477" s="1161">
        <v>0.9</v>
      </c>
      <c r="J477" s="518" t="s">
        <v>185</v>
      </c>
      <c r="K477" s="1161">
        <v>1</v>
      </c>
      <c r="L477" s="517"/>
      <c r="M477" s="1161"/>
      <c r="N477" s="518"/>
      <c r="O477" s="1161"/>
      <c r="P477" s="518" t="s">
        <v>114</v>
      </c>
      <c r="Q477" s="1161">
        <f>K477*I477*E477</f>
        <v>2.16</v>
      </c>
      <c r="R477" s="518"/>
      <c r="S477" s="519"/>
      <c r="T477" s="66"/>
      <c r="U477" s="2"/>
      <c r="V477" s="43"/>
    </row>
    <row r="478" spans="2:22" s="1" customFormat="1" x14ac:dyDescent="0.3">
      <c r="B478" s="59"/>
      <c r="C478" s="60"/>
      <c r="D478" s="143"/>
      <c r="E478" s="330"/>
      <c r="F478" s="512"/>
      <c r="G478" s="330"/>
      <c r="H478" s="512"/>
      <c r="I478" s="330"/>
      <c r="J478" s="512"/>
      <c r="K478" s="330"/>
      <c r="L478" s="512"/>
      <c r="M478" s="330"/>
      <c r="N478" s="512"/>
      <c r="O478" s="330"/>
      <c r="P478" s="512"/>
      <c r="Q478" s="330"/>
      <c r="R478" s="512"/>
      <c r="S478" s="559"/>
      <c r="T478" s="66"/>
      <c r="U478" s="2"/>
      <c r="V478" s="43"/>
    </row>
    <row r="479" spans="2:22" s="1" customFormat="1" ht="17.25" thickBot="1" x14ac:dyDescent="0.35">
      <c r="B479" s="59"/>
      <c r="C479" s="60"/>
      <c r="D479" s="3096" t="s">
        <v>164</v>
      </c>
      <c r="E479" s="3097"/>
      <c r="F479" s="3097"/>
      <c r="G479" s="3097"/>
      <c r="H479" s="3097"/>
      <c r="I479" s="3097"/>
      <c r="J479" s="637"/>
      <c r="K479" s="196"/>
      <c r="L479" s="637"/>
      <c r="M479" s="196"/>
      <c r="N479" s="637"/>
      <c r="O479" s="196"/>
      <c r="P479" s="637"/>
      <c r="Q479" s="639">
        <f>SUM(Q470:Q478)</f>
        <v>22.05</v>
      </c>
      <c r="R479" s="637"/>
      <c r="S479" s="253"/>
      <c r="T479" s="66"/>
      <c r="U479" s="2"/>
      <c r="V479" s="43"/>
    </row>
    <row r="480" spans="2:22" s="1" customFormat="1" x14ac:dyDescent="0.3">
      <c r="B480" s="59"/>
      <c r="C480" s="60"/>
      <c r="D480" s="338"/>
      <c r="E480" s="338"/>
      <c r="F480" s="338"/>
      <c r="G480" s="338"/>
      <c r="H480" s="338"/>
      <c r="I480" s="338"/>
      <c r="J480" s="638"/>
      <c r="K480" s="339"/>
      <c r="L480" s="638"/>
      <c r="M480" s="339"/>
      <c r="N480" s="638"/>
      <c r="O480" s="339"/>
      <c r="P480" s="638"/>
      <c r="Q480" s="339"/>
      <c r="R480" s="638"/>
      <c r="S480" s="340"/>
      <c r="T480" s="66"/>
      <c r="U480" s="2"/>
      <c r="V480" s="43"/>
    </row>
    <row r="481" spans="2:22" s="1" customFormat="1" ht="13.5" customHeight="1" thickBot="1" x14ac:dyDescent="0.35">
      <c r="B481" s="59">
        <f>RAB!B85</f>
        <v>2</v>
      </c>
      <c r="C481" s="60" t="str">
        <f>RAB!C85</f>
        <v>Plesteran 1 PC : 4 PP, tebal 15 mm</v>
      </c>
      <c r="E481" s="153"/>
      <c r="F481" s="480"/>
      <c r="G481" s="153"/>
      <c r="H481" s="480"/>
      <c r="I481" s="153"/>
      <c r="J481" s="480"/>
      <c r="K481" s="153"/>
      <c r="L481" s="480"/>
      <c r="M481" s="162"/>
      <c r="N481" s="480"/>
      <c r="O481" s="153"/>
      <c r="P481" s="480"/>
      <c r="Q481" s="153"/>
      <c r="R481" s="480"/>
      <c r="S481" s="224"/>
      <c r="T481" s="18">
        <f>ROUNDDOWN(Q485,2)</f>
        <v>1553.12</v>
      </c>
      <c r="U481" s="2" t="s">
        <v>2</v>
      </c>
      <c r="V481" s="43"/>
    </row>
    <row r="482" spans="2:22" s="1" customFormat="1" x14ac:dyDescent="0.3">
      <c r="B482" s="59"/>
      <c r="C482" s="60"/>
      <c r="D482" s="8" t="s">
        <v>95</v>
      </c>
      <c r="E482" s="154" t="s">
        <v>150</v>
      </c>
      <c r="F482" s="493"/>
      <c r="G482" s="154" t="s">
        <v>151</v>
      </c>
      <c r="H482" s="493"/>
      <c r="I482" s="154" t="s">
        <v>152</v>
      </c>
      <c r="J482" s="493"/>
      <c r="K482" s="154" t="s">
        <v>153</v>
      </c>
      <c r="L482" s="493"/>
      <c r="M482" s="169" t="s">
        <v>32</v>
      </c>
      <c r="N482" s="493"/>
      <c r="O482" s="154" t="s">
        <v>163</v>
      </c>
      <c r="P482" s="493"/>
      <c r="Q482" s="154" t="s">
        <v>151</v>
      </c>
      <c r="R482" s="493"/>
      <c r="S482" s="226" t="s">
        <v>143</v>
      </c>
      <c r="T482" s="66"/>
      <c r="U482" s="2"/>
      <c r="V482" s="43"/>
    </row>
    <row r="483" spans="2:22" s="1" customFormat="1" x14ac:dyDescent="0.3">
      <c r="B483" s="59"/>
      <c r="C483" s="60"/>
      <c r="D483" s="149" t="s">
        <v>240</v>
      </c>
      <c r="E483" s="152"/>
      <c r="F483" s="516"/>
      <c r="G483" s="152"/>
      <c r="H483" s="516"/>
      <c r="I483" s="152"/>
      <c r="J483" s="516"/>
      <c r="K483" s="152">
        <f>Q465</f>
        <v>776.56</v>
      </c>
      <c r="L483" s="496"/>
      <c r="M483" s="173"/>
      <c r="N483" s="516" t="s">
        <v>185</v>
      </c>
      <c r="O483" s="152">
        <v>2</v>
      </c>
      <c r="P483" s="516" t="s">
        <v>114</v>
      </c>
      <c r="Q483" s="152">
        <f>O483*K483</f>
        <v>1553.12</v>
      </c>
      <c r="R483" s="516"/>
      <c r="S483" s="248"/>
      <c r="T483" s="66"/>
      <c r="U483" s="2"/>
      <c r="V483" s="43"/>
    </row>
    <row r="484" spans="2:22" s="1" customFormat="1" x14ac:dyDescent="0.3">
      <c r="B484" s="59"/>
      <c r="C484" s="60"/>
      <c r="D484" s="148"/>
      <c r="E484" s="191"/>
      <c r="F484" s="631"/>
      <c r="G484" s="191"/>
      <c r="H484" s="631"/>
      <c r="I484" s="191"/>
      <c r="J484" s="631"/>
      <c r="K484" s="191"/>
      <c r="L484" s="631"/>
      <c r="M484" s="192"/>
      <c r="N484" s="631"/>
      <c r="O484" s="191"/>
      <c r="P484" s="631"/>
      <c r="Q484" s="191"/>
      <c r="R484" s="631"/>
      <c r="S484" s="249"/>
      <c r="T484" s="66"/>
      <c r="U484" s="2"/>
      <c r="V484" s="43"/>
    </row>
    <row r="485" spans="2:22" s="1" customFormat="1" ht="17.25" thickBot="1" x14ac:dyDescent="0.35">
      <c r="B485" s="59"/>
      <c r="C485" s="60"/>
      <c r="D485" s="3096" t="s">
        <v>164</v>
      </c>
      <c r="E485" s="3097"/>
      <c r="F485" s="3097"/>
      <c r="G485" s="3097"/>
      <c r="H485" s="3097"/>
      <c r="I485" s="3097"/>
      <c r="J485" s="637"/>
      <c r="K485" s="196"/>
      <c r="L485" s="637"/>
      <c r="M485" s="196"/>
      <c r="N485" s="637"/>
      <c r="O485" s="196"/>
      <c r="P485" s="637"/>
      <c r="Q485" s="196">
        <f>Q483</f>
        <v>1553.12</v>
      </c>
      <c r="R485" s="637"/>
      <c r="S485" s="253"/>
      <c r="T485" s="66"/>
      <c r="U485" s="2"/>
      <c r="V485" s="43"/>
    </row>
    <row r="486" spans="2:22" s="1" customFormat="1" x14ac:dyDescent="0.3">
      <c r="B486" s="59"/>
      <c r="C486" s="60"/>
      <c r="D486" s="338"/>
      <c r="E486" s="338"/>
      <c r="F486" s="338"/>
      <c r="G486" s="338"/>
      <c r="H486" s="338"/>
      <c r="I486" s="338"/>
      <c r="J486" s="638"/>
      <c r="K486" s="339"/>
      <c r="L486" s="638"/>
      <c r="M486" s="339"/>
      <c r="N486" s="638"/>
      <c r="O486" s="339"/>
      <c r="P486" s="638"/>
      <c r="Q486" s="339"/>
      <c r="R486" s="638"/>
      <c r="S486" s="340"/>
      <c r="T486" s="66"/>
      <c r="U486" s="2"/>
      <c r="V486" s="43"/>
    </row>
    <row r="487" spans="2:22" s="1" customFormat="1" ht="17.25" thickBot="1" x14ac:dyDescent="0.35">
      <c r="B487" s="59">
        <f>RAB!B86</f>
        <v>3</v>
      </c>
      <c r="C487" s="60" t="str">
        <f>RAB!C86</f>
        <v>Acian</v>
      </c>
      <c r="D487" s="338"/>
      <c r="E487" s="338"/>
      <c r="F487" s="338"/>
      <c r="G487" s="338"/>
      <c r="H487" s="338"/>
      <c r="I487" s="338"/>
      <c r="J487" s="638"/>
      <c r="K487" s="339"/>
      <c r="L487" s="638"/>
      <c r="M487" s="339"/>
      <c r="N487" s="638"/>
      <c r="O487" s="339"/>
      <c r="P487" s="638"/>
      <c r="Q487" s="339"/>
      <c r="R487" s="638"/>
      <c r="S487" s="340"/>
      <c r="T487" s="18">
        <f>ROUNDDOWN(Q494,2)</f>
        <v>546.52</v>
      </c>
      <c r="U487" s="2" t="s">
        <v>2</v>
      </c>
      <c r="V487" s="43"/>
    </row>
    <row r="488" spans="2:22" s="1" customFormat="1" x14ac:dyDescent="0.3">
      <c r="B488" s="59"/>
      <c r="C488" s="60"/>
      <c r="D488" s="8" t="s">
        <v>95</v>
      </c>
      <c r="E488" s="154" t="s">
        <v>150</v>
      </c>
      <c r="F488" s="493"/>
      <c r="G488" s="154" t="s">
        <v>151</v>
      </c>
      <c r="H488" s="493"/>
      <c r="I488" s="154" t="s">
        <v>152</v>
      </c>
      <c r="J488" s="493"/>
      <c r="K488" s="154" t="s">
        <v>153</v>
      </c>
      <c r="L488" s="493"/>
      <c r="M488" s="169" t="s">
        <v>32</v>
      </c>
      <c r="N488" s="493"/>
      <c r="O488" s="154" t="s">
        <v>163</v>
      </c>
      <c r="P488" s="493"/>
      <c r="Q488" s="154" t="s">
        <v>151</v>
      </c>
      <c r="R488" s="493"/>
      <c r="S488" s="226" t="s">
        <v>143</v>
      </c>
      <c r="T488" s="66"/>
      <c r="U488" s="2"/>
      <c r="V488" s="43"/>
    </row>
    <row r="489" spans="2:22" s="1" customFormat="1" x14ac:dyDescent="0.3">
      <c r="B489" s="59"/>
      <c r="C489" s="60"/>
      <c r="D489" s="647" t="s">
        <v>719</v>
      </c>
      <c r="E489" s="632"/>
      <c r="F489" s="633"/>
      <c r="G489" s="632"/>
      <c r="H489" s="633"/>
      <c r="I489" s="632"/>
      <c r="J489" s="633"/>
      <c r="K489" s="632"/>
      <c r="L489" s="633"/>
      <c r="M489" s="632"/>
      <c r="N489" s="633"/>
      <c r="O489" s="632"/>
      <c r="P489" s="633"/>
      <c r="Q489" s="632"/>
      <c r="R489" s="633"/>
      <c r="S489" s="634"/>
      <c r="T489" s="66"/>
      <c r="U489" s="2"/>
      <c r="V489" s="43"/>
    </row>
    <row r="490" spans="2:22" s="1" customFormat="1" x14ac:dyDescent="0.3">
      <c r="B490" s="59"/>
      <c r="C490" s="60"/>
      <c r="D490" s="648" t="s">
        <v>730</v>
      </c>
      <c r="E490" s="1161"/>
      <c r="F490" s="518"/>
      <c r="G490" s="1161"/>
      <c r="H490" s="518"/>
      <c r="I490" s="1161"/>
      <c r="J490" s="518"/>
      <c r="K490" s="1161"/>
      <c r="L490" s="517"/>
      <c r="M490" s="1161"/>
      <c r="N490" s="518"/>
      <c r="O490" s="1161"/>
      <c r="P490" s="518"/>
      <c r="Q490" s="1161">
        <f>Q235</f>
        <v>433.024</v>
      </c>
      <c r="R490" s="518"/>
      <c r="S490" s="519"/>
      <c r="T490" s="66"/>
      <c r="U490" s="2"/>
      <c r="V490" s="43"/>
    </row>
    <row r="491" spans="2:22" s="1" customFormat="1" x14ac:dyDescent="0.3">
      <c r="B491" s="36"/>
      <c r="C491" s="17"/>
      <c r="D491" s="651" t="s">
        <v>742</v>
      </c>
      <c r="E491" s="554"/>
      <c r="F491" s="558"/>
      <c r="G491" s="554"/>
      <c r="H491" s="558"/>
      <c r="I491" s="619"/>
      <c r="J491" s="558"/>
      <c r="K491" s="619"/>
      <c r="L491" s="558"/>
      <c r="M491" s="619"/>
      <c r="N491" s="558"/>
      <c r="O491" s="619"/>
      <c r="P491" s="558"/>
      <c r="Q491" s="619"/>
      <c r="R491" s="558"/>
      <c r="S491" s="620"/>
      <c r="T491" s="66"/>
      <c r="U491" s="2"/>
      <c r="V491" s="43"/>
    </row>
    <row r="492" spans="2:22" s="1" customFormat="1" x14ac:dyDescent="0.3">
      <c r="B492" s="36"/>
      <c r="C492" s="17"/>
      <c r="D492" s="650" t="s">
        <v>1331</v>
      </c>
      <c r="E492" s="554"/>
      <c r="F492" s="558"/>
      <c r="G492" s="554"/>
      <c r="H492" s="558"/>
      <c r="I492" s="619"/>
      <c r="J492" s="558"/>
      <c r="K492" s="619">
        <f>Q415+Q416</f>
        <v>113.50399999999999</v>
      </c>
      <c r="L492" s="558"/>
      <c r="M492" s="619"/>
      <c r="N492" s="558"/>
      <c r="O492" s="619"/>
      <c r="P492" s="518" t="s">
        <v>114</v>
      </c>
      <c r="Q492" s="619">
        <f>K492</f>
        <v>113.50399999999999</v>
      </c>
      <c r="R492" s="558"/>
      <c r="S492" s="620"/>
      <c r="T492" s="66"/>
      <c r="U492" s="2"/>
      <c r="V492" s="43"/>
    </row>
    <row r="493" spans="2:22" s="1" customFormat="1" x14ac:dyDescent="0.3">
      <c r="B493" s="59"/>
      <c r="C493" s="60"/>
      <c r="D493" s="649"/>
      <c r="E493" s="330"/>
      <c r="F493" s="512"/>
      <c r="G493" s="330"/>
      <c r="H493" s="512"/>
      <c r="I493" s="330"/>
      <c r="J493" s="512"/>
      <c r="K493" s="330"/>
      <c r="L493" s="512"/>
      <c r="M493" s="330"/>
      <c r="N493" s="512"/>
      <c r="O493" s="330"/>
      <c r="P493" s="512"/>
      <c r="Q493" s="330"/>
      <c r="R493" s="512"/>
      <c r="S493" s="559"/>
      <c r="T493" s="66"/>
      <c r="U493" s="2"/>
      <c r="V493" s="43"/>
    </row>
    <row r="494" spans="2:22" s="1" customFormat="1" ht="17.25" thickBot="1" x14ac:dyDescent="0.35">
      <c r="B494" s="59"/>
      <c r="C494" s="60"/>
      <c r="D494" s="3096" t="s">
        <v>164</v>
      </c>
      <c r="E494" s="3097"/>
      <c r="F494" s="3097"/>
      <c r="G494" s="3097"/>
      <c r="H494" s="3097"/>
      <c r="I494" s="3097"/>
      <c r="J494" s="637"/>
      <c r="K494" s="196"/>
      <c r="L494" s="637"/>
      <c r="M494" s="196"/>
      <c r="N494" s="637"/>
      <c r="O494" s="196"/>
      <c r="P494" s="637"/>
      <c r="Q494" s="639">
        <f>SUM(Q490:Q493)</f>
        <v>546.52800000000002</v>
      </c>
      <c r="R494" s="637"/>
      <c r="S494" s="253"/>
      <c r="T494" s="66"/>
      <c r="U494" s="2"/>
      <c r="V494" s="43"/>
    </row>
    <row r="495" spans="2:22" s="1" customFormat="1" x14ac:dyDescent="0.3">
      <c r="B495" s="59"/>
      <c r="C495" s="60"/>
      <c r="D495" s="338"/>
      <c r="E495" s="338"/>
      <c r="F495" s="338"/>
      <c r="G495" s="338"/>
      <c r="H495" s="338"/>
      <c r="I495" s="338"/>
      <c r="J495" s="638"/>
      <c r="K495" s="339"/>
      <c r="L495" s="638"/>
      <c r="M495" s="339"/>
      <c r="N495" s="638"/>
      <c r="O495" s="339"/>
      <c r="P495" s="638"/>
      <c r="Q495" s="339"/>
      <c r="R495" s="638"/>
      <c r="S495" s="340"/>
      <c r="T495" s="66"/>
      <c r="U495" s="2"/>
      <c r="V495" s="43"/>
    </row>
    <row r="496" spans="2:22" s="1" customFormat="1" ht="17.25" thickBot="1" x14ac:dyDescent="0.35">
      <c r="B496" s="59">
        <f>RAB!B87</f>
        <v>4</v>
      </c>
      <c r="C496" s="60" t="str">
        <f>RAB!C87</f>
        <v>Pekerjaan Benangan Lobang Kusen Alumunium</v>
      </c>
      <c r="E496" s="153"/>
      <c r="F496" s="480"/>
      <c r="G496" s="153"/>
      <c r="H496" s="480"/>
      <c r="I496" s="153"/>
      <c r="J496" s="480"/>
      <c r="K496" s="153"/>
      <c r="L496" s="480"/>
      <c r="M496" s="162"/>
      <c r="N496" s="480"/>
      <c r="O496" s="153"/>
      <c r="P496" s="480"/>
      <c r="Q496" s="153"/>
      <c r="R496" s="480"/>
      <c r="S496" s="224"/>
      <c r="T496" s="18">
        <f>ROUNDDOWN(S501,2)</f>
        <v>228</v>
      </c>
      <c r="U496" s="2" t="s">
        <v>27</v>
      </c>
      <c r="V496" s="43"/>
    </row>
    <row r="497" spans="2:22" s="1" customFormat="1" x14ac:dyDescent="0.3">
      <c r="B497" s="59"/>
      <c r="C497" s="60"/>
      <c r="D497" s="8" t="s">
        <v>95</v>
      </c>
      <c r="E497" s="154" t="s">
        <v>150</v>
      </c>
      <c r="F497" s="493"/>
      <c r="G497" s="154" t="s">
        <v>151</v>
      </c>
      <c r="H497" s="493"/>
      <c r="I497" s="154" t="s">
        <v>152</v>
      </c>
      <c r="J497" s="493"/>
      <c r="K497" s="154" t="s">
        <v>153</v>
      </c>
      <c r="L497" s="493"/>
      <c r="M497" s="169" t="s">
        <v>32</v>
      </c>
      <c r="N497" s="493"/>
      <c r="O497" s="154" t="s">
        <v>163</v>
      </c>
      <c r="P497" s="493"/>
      <c r="Q497" s="154" t="s">
        <v>151</v>
      </c>
      <c r="R497" s="493"/>
      <c r="S497" s="226" t="s">
        <v>143</v>
      </c>
      <c r="T497" s="66"/>
      <c r="U497" s="2"/>
      <c r="V497" s="43"/>
    </row>
    <row r="498" spans="2:22" s="1" customFormat="1" x14ac:dyDescent="0.3">
      <c r="B498" s="59"/>
      <c r="C498" s="60"/>
      <c r="D498" s="139" t="str">
        <f>D462</f>
        <v>Jendela Type J.1</v>
      </c>
      <c r="E498" s="1161">
        <f>(E462+I462)*2</f>
        <v>9.1999999999999993</v>
      </c>
      <c r="F498" s="518" t="s">
        <v>185</v>
      </c>
      <c r="G498" s="1161"/>
      <c r="H498" s="518"/>
      <c r="I498" s="1161"/>
      <c r="J498" s="518"/>
      <c r="K498" s="1161">
        <f>K462</f>
        <v>22</v>
      </c>
      <c r="L498" s="517"/>
      <c r="M498" s="1161"/>
      <c r="N498" s="518"/>
      <c r="O498" s="1161"/>
      <c r="P498" s="518"/>
      <c r="Q498" s="1161"/>
      <c r="R498" s="518" t="s">
        <v>114</v>
      </c>
      <c r="S498" s="519">
        <f>K498*E498</f>
        <v>202.39999999999998</v>
      </c>
      <c r="T498" s="66"/>
      <c r="U498" s="2"/>
      <c r="V498" s="43"/>
    </row>
    <row r="499" spans="2:22" s="1" customFormat="1" x14ac:dyDescent="0.3">
      <c r="B499" s="59"/>
      <c r="C499" s="60"/>
      <c r="D499" s="139" t="str">
        <f>D463</f>
        <v>Jendela Type J2</v>
      </c>
      <c r="E499" s="1161">
        <f>(E463+I463)*2</f>
        <v>6.4</v>
      </c>
      <c r="F499" s="518" t="s">
        <v>185</v>
      </c>
      <c r="G499" s="1161"/>
      <c r="H499" s="518"/>
      <c r="I499" s="1161"/>
      <c r="J499" s="518"/>
      <c r="K499" s="1161">
        <f>K463</f>
        <v>4</v>
      </c>
      <c r="L499" s="517"/>
      <c r="M499" s="1161"/>
      <c r="N499" s="518"/>
      <c r="O499" s="1161"/>
      <c r="P499" s="518"/>
      <c r="Q499" s="1161"/>
      <c r="R499" s="518" t="s">
        <v>114</v>
      </c>
      <c r="S499" s="519">
        <f>K499*E499</f>
        <v>25.6</v>
      </c>
      <c r="T499" s="66"/>
      <c r="U499" s="2"/>
      <c r="V499" s="43"/>
    </row>
    <row r="500" spans="2:22" s="1" customFormat="1" x14ac:dyDescent="0.3">
      <c r="B500" s="59"/>
      <c r="C500" s="60"/>
      <c r="D500" s="143"/>
      <c r="E500" s="330"/>
      <c r="F500" s="512"/>
      <c r="G500" s="330"/>
      <c r="H500" s="512"/>
      <c r="I500" s="330"/>
      <c r="J500" s="512"/>
      <c r="K500" s="330"/>
      <c r="L500" s="512"/>
      <c r="M500" s="330"/>
      <c r="N500" s="512"/>
      <c r="O500" s="330"/>
      <c r="P500" s="512"/>
      <c r="Q500" s="330"/>
      <c r="R500" s="512"/>
      <c r="S500" s="559"/>
      <c r="T500" s="66"/>
      <c r="U500" s="2"/>
      <c r="V500" s="43"/>
    </row>
    <row r="501" spans="2:22" s="1" customFormat="1" ht="17.25" thickBot="1" x14ac:dyDescent="0.35">
      <c r="B501" s="59"/>
      <c r="C501" s="60"/>
      <c r="D501" s="3096" t="s">
        <v>164</v>
      </c>
      <c r="E501" s="3097"/>
      <c r="F501" s="3097"/>
      <c r="G501" s="3097"/>
      <c r="H501" s="3097"/>
      <c r="I501" s="3097"/>
      <c r="J501" s="637"/>
      <c r="K501" s="196"/>
      <c r="L501" s="637"/>
      <c r="M501" s="196"/>
      <c r="N501" s="637"/>
      <c r="O501" s="196"/>
      <c r="P501" s="637"/>
      <c r="Q501" s="639"/>
      <c r="R501" s="637"/>
      <c r="S501" s="253">
        <f>SUM(S498:S500)</f>
        <v>227.99999999999997</v>
      </c>
      <c r="T501" s="66"/>
      <c r="U501" s="2"/>
      <c r="V501" s="43"/>
    </row>
    <row r="502" spans="2:22" s="1" customFormat="1" x14ac:dyDescent="0.3">
      <c r="B502" s="59"/>
      <c r="C502" s="60"/>
      <c r="D502" s="338"/>
      <c r="E502" s="338"/>
      <c r="F502" s="338"/>
      <c r="G502" s="338"/>
      <c r="H502" s="338"/>
      <c r="I502" s="338"/>
      <c r="J502" s="638"/>
      <c r="K502" s="339"/>
      <c r="L502" s="638"/>
      <c r="M502" s="339"/>
      <c r="N502" s="638"/>
      <c r="O502" s="339"/>
      <c r="P502" s="638"/>
      <c r="Q502" s="339"/>
      <c r="R502" s="638"/>
      <c r="S502" s="340"/>
      <c r="T502" s="66"/>
      <c r="U502" s="2"/>
      <c r="V502" s="43"/>
    </row>
    <row r="503" spans="2:22" s="1" customFormat="1" ht="17.25" thickBot="1" x14ac:dyDescent="0.35">
      <c r="B503" s="59">
        <f>RAB!B88</f>
        <v>5</v>
      </c>
      <c r="C503" s="60" t="str">
        <f>RAB!C88</f>
        <v>Railing Tangga Belakang Pipa Galvanis Finsh. Cat minyak (Avian)</v>
      </c>
      <c r="E503" s="153"/>
      <c r="F503" s="480"/>
      <c r="G503" s="153"/>
      <c r="H503" s="480"/>
      <c r="I503" s="153"/>
      <c r="J503" s="480"/>
      <c r="K503" s="153"/>
      <c r="L503" s="480"/>
      <c r="M503" s="162"/>
      <c r="N503" s="480"/>
      <c r="O503" s="153"/>
      <c r="P503" s="480"/>
      <c r="Q503" s="153"/>
      <c r="R503" s="480"/>
      <c r="S503" s="224"/>
      <c r="T503" s="18">
        <f>ROUNDDOWN(S508,2)</f>
        <v>8.4</v>
      </c>
      <c r="U503" s="2" t="s">
        <v>27</v>
      </c>
      <c r="V503" s="43"/>
    </row>
    <row r="504" spans="2:22" s="1" customFormat="1" x14ac:dyDescent="0.3">
      <c r="B504" s="59"/>
      <c r="C504" s="60"/>
      <c r="D504" s="8" t="s">
        <v>95</v>
      </c>
      <c r="E504" s="154" t="s">
        <v>150</v>
      </c>
      <c r="F504" s="493"/>
      <c r="G504" s="154" t="s">
        <v>151</v>
      </c>
      <c r="H504" s="493"/>
      <c r="I504" s="154" t="s">
        <v>152</v>
      </c>
      <c r="J504" s="493"/>
      <c r="K504" s="154" t="s">
        <v>153</v>
      </c>
      <c r="L504" s="494"/>
      <c r="M504" s="163" t="s">
        <v>32</v>
      </c>
      <c r="N504" s="494"/>
      <c r="O504" s="201" t="s">
        <v>163</v>
      </c>
      <c r="P504" s="494"/>
      <c r="Q504" s="201" t="s">
        <v>151</v>
      </c>
      <c r="R504" s="494"/>
      <c r="S504" s="226" t="s">
        <v>143</v>
      </c>
      <c r="T504" s="66"/>
      <c r="U504" s="2"/>
      <c r="V504" s="43"/>
    </row>
    <row r="505" spans="2:22" s="1" customFormat="1" x14ac:dyDescent="0.3">
      <c r="B505" s="59"/>
      <c r="C505" s="60"/>
      <c r="D505" s="146" t="s">
        <v>742</v>
      </c>
      <c r="E505" s="1161">
        <f>E393</f>
        <v>6.8</v>
      </c>
      <c r="F505" s="517"/>
      <c r="G505" s="1161"/>
      <c r="H505" s="517"/>
      <c r="I505" s="1161"/>
      <c r="J505" s="517"/>
      <c r="K505" s="1161"/>
      <c r="L505" s="517"/>
      <c r="M505" s="1161"/>
      <c r="N505" s="517"/>
      <c r="O505" s="1161"/>
      <c r="P505" s="517"/>
      <c r="Q505" s="1161"/>
      <c r="R505" s="517" t="s">
        <v>114</v>
      </c>
      <c r="S505" s="519">
        <f>E505</f>
        <v>6.8</v>
      </c>
      <c r="T505" s="66"/>
      <c r="U505" s="2"/>
      <c r="V505" s="43"/>
    </row>
    <row r="506" spans="2:22" s="1" customFormat="1" x14ac:dyDescent="0.3">
      <c r="B506" s="59"/>
      <c r="C506" s="60"/>
      <c r="D506" s="146" t="s">
        <v>271</v>
      </c>
      <c r="E506" s="1161">
        <f>G395</f>
        <v>1.6</v>
      </c>
      <c r="F506" s="517"/>
      <c r="G506" s="1161"/>
      <c r="H506" s="517"/>
      <c r="I506" s="1161"/>
      <c r="J506" s="517"/>
      <c r="K506" s="1161"/>
      <c r="L506" s="517"/>
      <c r="M506" s="1161"/>
      <c r="N506" s="517"/>
      <c r="O506" s="1161"/>
      <c r="P506" s="517"/>
      <c r="Q506" s="1161"/>
      <c r="R506" s="517" t="s">
        <v>114</v>
      </c>
      <c r="S506" s="519">
        <f>E506</f>
        <v>1.6</v>
      </c>
      <c r="T506" s="66"/>
      <c r="U506" s="2"/>
      <c r="V506" s="43"/>
    </row>
    <row r="507" spans="2:22" s="1" customFormat="1" x14ac:dyDescent="0.3">
      <c r="B507" s="59"/>
      <c r="C507" s="60"/>
      <c r="D507" s="148"/>
      <c r="E507" s="619"/>
      <c r="F507" s="526"/>
      <c r="G507" s="619"/>
      <c r="H507" s="526"/>
      <c r="I507" s="619"/>
      <c r="J507" s="526"/>
      <c r="K507" s="619"/>
      <c r="L507" s="526"/>
      <c r="M507" s="619"/>
      <c r="N507" s="526"/>
      <c r="O507" s="619"/>
      <c r="P507" s="526"/>
      <c r="Q507" s="619"/>
      <c r="R507" s="526"/>
      <c r="S507" s="620"/>
      <c r="T507" s="66"/>
      <c r="U507" s="2"/>
      <c r="V507" s="43"/>
    </row>
    <row r="508" spans="2:22" s="1" customFormat="1" ht="17.25" thickBot="1" x14ac:dyDescent="0.35">
      <c r="B508" s="59"/>
      <c r="C508" s="60"/>
      <c r="D508" s="3096" t="s">
        <v>164</v>
      </c>
      <c r="E508" s="3097"/>
      <c r="F508" s="3097"/>
      <c r="G508" s="3097"/>
      <c r="H508" s="3097"/>
      <c r="I508" s="3097"/>
      <c r="J508" s="637"/>
      <c r="K508" s="196"/>
      <c r="L508" s="637"/>
      <c r="M508" s="196"/>
      <c r="N508" s="637"/>
      <c r="O508" s="196"/>
      <c r="P508" s="637"/>
      <c r="Q508" s="196"/>
      <c r="R508" s="637"/>
      <c r="S508" s="703">
        <f>SUM(S505:S507)</f>
        <v>8.4</v>
      </c>
      <c r="T508" s="66"/>
      <c r="U508" s="2"/>
      <c r="V508" s="43"/>
    </row>
    <row r="509" spans="2:22" x14ac:dyDescent="0.3">
      <c r="B509" s="341"/>
      <c r="C509" s="342"/>
      <c r="D509" s="343"/>
      <c r="E509" s="471"/>
      <c r="F509" s="489"/>
      <c r="G509" s="471"/>
      <c r="H509" s="489"/>
      <c r="I509" s="471"/>
      <c r="J509" s="489"/>
      <c r="K509" s="438"/>
      <c r="L509" s="482"/>
      <c r="M509" s="439"/>
      <c r="N509" s="482"/>
      <c r="O509" s="438"/>
      <c r="P509" s="482"/>
      <c r="Q509" s="438"/>
      <c r="R509" s="482"/>
      <c r="S509" s="454"/>
    </row>
    <row r="510" spans="2:22" s="134" customFormat="1" x14ac:dyDescent="0.3">
      <c r="B510" s="134" t="str">
        <f>RAB!B91</f>
        <v>IV</v>
      </c>
      <c r="C510" s="134" t="str">
        <f>RAB!C91</f>
        <v>PEKERJAAN PINTU &amp; JENDELA</v>
      </c>
      <c r="E510" s="198"/>
      <c r="F510" s="652"/>
      <c r="G510" s="198"/>
      <c r="H510" s="652"/>
      <c r="I510" s="198"/>
      <c r="J510" s="652"/>
      <c r="K510" s="198"/>
      <c r="L510" s="652"/>
      <c r="M510" s="198"/>
      <c r="N510" s="652"/>
      <c r="O510" s="198"/>
      <c r="P510" s="652"/>
      <c r="Q510" s="198"/>
      <c r="R510" s="652"/>
      <c r="S510" s="232"/>
      <c r="U510" s="2"/>
      <c r="V510" s="675"/>
    </row>
    <row r="511" spans="2:22" s="1" customFormat="1" ht="17.25" thickBot="1" x14ac:dyDescent="0.35">
      <c r="B511" s="59">
        <f>RAB!B92</f>
        <v>1</v>
      </c>
      <c r="C511" s="60" t="str">
        <f>RAB!C92</f>
        <v>Pintu Type P1</v>
      </c>
      <c r="E511" s="153"/>
      <c r="F511" s="480"/>
      <c r="G511" s="153"/>
      <c r="H511" s="480"/>
      <c r="I511" s="153"/>
      <c r="J511" s="480"/>
      <c r="K511" s="153"/>
      <c r="L511" s="480"/>
      <c r="M511" s="162"/>
      <c r="N511" s="480"/>
      <c r="O511" s="153"/>
      <c r="P511" s="480"/>
      <c r="Q511" s="153"/>
      <c r="R511" s="480"/>
      <c r="S511" s="224"/>
      <c r="T511" s="18">
        <f>ROUNDDOWN(S515,2)</f>
        <v>8</v>
      </c>
      <c r="U511" s="2" t="s">
        <v>32</v>
      </c>
      <c r="V511" s="43"/>
    </row>
    <row r="512" spans="2:22" s="1" customFormat="1" x14ac:dyDescent="0.3">
      <c r="B512" s="59"/>
      <c r="C512" s="60"/>
      <c r="D512" s="125" t="s">
        <v>95</v>
      </c>
      <c r="E512" s="161" t="s">
        <v>150</v>
      </c>
      <c r="F512" s="654"/>
      <c r="G512" s="161" t="s">
        <v>151</v>
      </c>
      <c r="H512" s="654"/>
      <c r="I512" s="161" t="s">
        <v>152</v>
      </c>
      <c r="J512" s="654"/>
      <c r="K512" s="161" t="s">
        <v>153</v>
      </c>
      <c r="L512" s="654"/>
      <c r="M512" s="171" t="s">
        <v>32</v>
      </c>
      <c r="N512" s="654"/>
      <c r="O512" s="161" t="s">
        <v>163</v>
      </c>
      <c r="P512" s="654"/>
      <c r="Q512" s="161" t="s">
        <v>151</v>
      </c>
      <c r="R512" s="654"/>
      <c r="S512" s="254" t="s">
        <v>143</v>
      </c>
      <c r="T512" s="66"/>
      <c r="U512" s="2"/>
      <c r="V512" s="43"/>
    </row>
    <row r="513" spans="2:22" s="1" customFormat="1" x14ac:dyDescent="0.3">
      <c r="B513" s="59"/>
      <c r="C513" s="60"/>
      <c r="D513" s="142"/>
      <c r="E513" s="197"/>
      <c r="F513" s="640"/>
      <c r="G513" s="197"/>
      <c r="H513" s="640"/>
      <c r="I513" s="197"/>
      <c r="J513" s="640"/>
      <c r="K513" s="323">
        <f>K459</f>
        <v>8</v>
      </c>
      <c r="L513" s="640"/>
      <c r="M513" s="197"/>
      <c r="N513" s="640"/>
      <c r="O513" s="197"/>
      <c r="P513" s="640"/>
      <c r="Q513" s="197">
        <f>I459*E459</f>
        <v>4.5</v>
      </c>
      <c r="R513" s="640"/>
      <c r="S513" s="248">
        <f>K513</f>
        <v>8</v>
      </c>
      <c r="T513" s="66"/>
      <c r="U513" s="2"/>
      <c r="V513" s="43"/>
    </row>
    <row r="514" spans="2:22" s="1" customFormat="1" x14ac:dyDescent="0.3">
      <c r="B514" s="59"/>
      <c r="C514" s="60"/>
      <c r="D514" s="143"/>
      <c r="E514" s="170"/>
      <c r="F514" s="630"/>
      <c r="G514" s="170"/>
      <c r="H514" s="630"/>
      <c r="I514" s="170"/>
      <c r="J514" s="630"/>
      <c r="K514" s="170"/>
      <c r="L514" s="630"/>
      <c r="M514" s="170"/>
      <c r="N514" s="630"/>
      <c r="O514" s="170"/>
      <c r="P514" s="630"/>
      <c r="Q514" s="170"/>
      <c r="R514" s="630"/>
      <c r="S514" s="251"/>
      <c r="T514" s="66"/>
      <c r="U514" s="2"/>
      <c r="V514" s="43"/>
    </row>
    <row r="515" spans="2:22" s="1" customFormat="1" ht="17.25" thickBot="1" x14ac:dyDescent="0.35">
      <c r="B515" s="59"/>
      <c r="C515" s="60"/>
      <c r="D515" s="3091" t="s">
        <v>164</v>
      </c>
      <c r="E515" s="3092"/>
      <c r="F515" s="3092"/>
      <c r="G515" s="3092"/>
      <c r="H515" s="3092"/>
      <c r="I515" s="3092"/>
      <c r="J515" s="622"/>
      <c r="K515" s="190"/>
      <c r="L515" s="622"/>
      <c r="M515" s="190"/>
      <c r="N515" s="622"/>
      <c r="O515" s="190"/>
      <c r="P515" s="622"/>
      <c r="Q515" s="190"/>
      <c r="R515" s="622"/>
      <c r="S515" s="247">
        <f>SUM(S513:S514)</f>
        <v>8</v>
      </c>
      <c r="T515" s="66"/>
      <c r="U515" s="2"/>
      <c r="V515" s="43"/>
    </row>
    <row r="516" spans="2:22" x14ac:dyDescent="0.3">
      <c r="B516" s="341"/>
      <c r="C516" s="342"/>
      <c r="D516" s="343"/>
      <c r="E516" s="471"/>
      <c r="F516" s="489"/>
      <c r="G516" s="471"/>
      <c r="H516" s="489"/>
      <c r="I516" s="471"/>
      <c r="J516" s="489"/>
      <c r="K516" s="438"/>
      <c r="L516" s="482"/>
      <c r="M516" s="439"/>
      <c r="N516" s="482"/>
      <c r="O516" s="438"/>
      <c r="P516" s="482"/>
      <c r="Q516" s="438"/>
      <c r="R516" s="482"/>
      <c r="S516" s="454"/>
    </row>
    <row r="517" spans="2:22" s="1" customFormat="1" ht="17.25" thickBot="1" x14ac:dyDescent="0.35">
      <c r="B517" s="59">
        <f>RAB!B99</f>
        <v>2</v>
      </c>
      <c r="C517" s="60" t="str">
        <f>RAB!C99</f>
        <v>Pintu Type P2</v>
      </c>
      <c r="E517" s="153"/>
      <c r="F517" s="480"/>
      <c r="G517" s="153"/>
      <c r="H517" s="480"/>
      <c r="I517" s="153"/>
      <c r="J517" s="480"/>
      <c r="K517" s="153"/>
      <c r="L517" s="480"/>
      <c r="M517" s="162"/>
      <c r="N517" s="480"/>
      <c r="O517" s="153"/>
      <c r="P517" s="480"/>
      <c r="Q517" s="153"/>
      <c r="R517" s="480"/>
      <c r="S517" s="224"/>
      <c r="T517" s="18"/>
      <c r="U517" s="2"/>
      <c r="V517" s="43"/>
    </row>
    <row r="518" spans="2:22" s="1" customFormat="1" x14ac:dyDescent="0.3">
      <c r="B518" s="59"/>
      <c r="C518" s="60"/>
      <c r="D518" s="125" t="s">
        <v>95</v>
      </c>
      <c r="E518" s="161" t="s">
        <v>150</v>
      </c>
      <c r="F518" s="654"/>
      <c r="G518" s="161" t="s">
        <v>151</v>
      </c>
      <c r="H518" s="654"/>
      <c r="I518" s="161" t="s">
        <v>152</v>
      </c>
      <c r="J518" s="654"/>
      <c r="K518" s="161" t="s">
        <v>153</v>
      </c>
      <c r="L518" s="654"/>
      <c r="M518" s="171" t="s">
        <v>32</v>
      </c>
      <c r="N518" s="654"/>
      <c r="O518" s="161" t="s">
        <v>163</v>
      </c>
      <c r="P518" s="654"/>
      <c r="Q518" s="161" t="s">
        <v>151</v>
      </c>
      <c r="R518" s="654"/>
      <c r="S518" s="254" t="s">
        <v>143</v>
      </c>
      <c r="T518" s="66"/>
      <c r="U518" s="2"/>
      <c r="V518" s="43"/>
    </row>
    <row r="519" spans="2:22" s="1" customFormat="1" x14ac:dyDescent="0.3">
      <c r="B519" s="59"/>
      <c r="C519" s="60"/>
      <c r="D519" s="643" t="str">
        <f>RAB!D100</f>
        <v>- Kusen Kayu kelas 1</v>
      </c>
      <c r="E519" s="331">
        <f>2*(1.2+2.7)</f>
        <v>7.8000000000000007</v>
      </c>
      <c r="F519" s="575" t="s">
        <v>185</v>
      </c>
      <c r="G519" s="331">
        <v>0.13</v>
      </c>
      <c r="H519" s="575" t="s">
        <v>185</v>
      </c>
      <c r="I519" s="331">
        <v>0.05</v>
      </c>
      <c r="J519" s="575"/>
      <c r="K519" s="331">
        <v>4</v>
      </c>
      <c r="L519" s="575"/>
      <c r="M519" s="331"/>
      <c r="N519" s="575"/>
      <c r="O519" s="331"/>
      <c r="P519" s="575"/>
      <c r="Q519" s="331"/>
      <c r="R519" s="575" t="s">
        <v>114</v>
      </c>
      <c r="S519" s="577">
        <f>K519*E519*I519*G519</f>
        <v>0.20280000000000004</v>
      </c>
      <c r="T519" s="18">
        <f>ROUNDDOWN(S519,2)</f>
        <v>0.2</v>
      </c>
      <c r="U519" s="2" t="s">
        <v>3</v>
      </c>
      <c r="V519" s="43"/>
    </row>
    <row r="520" spans="2:22" s="1" customFormat="1" x14ac:dyDescent="0.3">
      <c r="B520" s="59"/>
      <c r="C520" s="60"/>
      <c r="D520" s="324" t="str">
        <f>RAB!D101</f>
        <v>- Daun Pintu Kayu panel kelas II</v>
      </c>
      <c r="E520" s="589"/>
      <c r="F520" s="629"/>
      <c r="G520" s="589">
        <v>1.1000000000000001</v>
      </c>
      <c r="H520" s="629" t="s">
        <v>185</v>
      </c>
      <c r="I520" s="589">
        <v>2.1</v>
      </c>
      <c r="J520" s="629" t="s">
        <v>185</v>
      </c>
      <c r="K520" s="589">
        <f t="shared" ref="K520:K528" si="8">K519</f>
        <v>4</v>
      </c>
      <c r="L520" s="629"/>
      <c r="M520" s="589"/>
      <c r="N520" s="629"/>
      <c r="O520" s="589"/>
      <c r="P520" s="629" t="s">
        <v>114</v>
      </c>
      <c r="Q520" s="589">
        <f>K520*I520*G520</f>
        <v>9.240000000000002</v>
      </c>
      <c r="R520" s="629"/>
      <c r="S520" s="590"/>
      <c r="T520" s="18">
        <f>ROUNDDOWN(Q520,2)</f>
        <v>9.24</v>
      </c>
      <c r="U520" s="2" t="s">
        <v>2</v>
      </c>
      <c r="V520" s="43"/>
    </row>
    <row r="521" spans="2:22" s="1" customFormat="1" x14ac:dyDescent="0.3">
      <c r="B521" s="59"/>
      <c r="C521" s="60"/>
      <c r="D521" s="324" t="e">
        <f>RAB!#REF!</f>
        <v>#REF!</v>
      </c>
      <c r="E521" s="589"/>
      <c r="F521" s="629"/>
      <c r="G521" s="589">
        <v>1.1000000000000001</v>
      </c>
      <c r="H521" s="629" t="s">
        <v>185</v>
      </c>
      <c r="I521" s="589">
        <v>0.5</v>
      </c>
      <c r="J521" s="629" t="s">
        <v>185</v>
      </c>
      <c r="K521" s="589">
        <f t="shared" si="8"/>
        <v>4</v>
      </c>
      <c r="L521" s="629"/>
      <c r="M521" s="589"/>
      <c r="N521" s="629"/>
      <c r="O521" s="589"/>
      <c r="P521" s="629" t="s">
        <v>114</v>
      </c>
      <c r="Q521" s="589">
        <f>K521*I521*G521</f>
        <v>2.2000000000000002</v>
      </c>
      <c r="R521" s="629"/>
      <c r="S521" s="590"/>
      <c r="T521" s="18">
        <f>ROUNDDOWN(Q521,2)</f>
        <v>2.2000000000000002</v>
      </c>
      <c r="U521" s="2" t="s">
        <v>2</v>
      </c>
      <c r="V521" s="43"/>
    </row>
    <row r="522" spans="2:22" s="1" customFormat="1" x14ac:dyDescent="0.3">
      <c r="B522" s="59"/>
      <c r="C522" s="60"/>
      <c r="D522" s="324" t="str">
        <f>RAB!D102</f>
        <v>- Engsel Pintu 4 inc</v>
      </c>
      <c r="E522" s="589"/>
      <c r="F522" s="629"/>
      <c r="G522" s="589"/>
      <c r="H522" s="629"/>
      <c r="I522" s="589"/>
      <c r="J522" s="629"/>
      <c r="K522" s="589">
        <f>K521</f>
        <v>4</v>
      </c>
      <c r="L522" s="629" t="s">
        <v>185</v>
      </c>
      <c r="M522" s="589">
        <v>2</v>
      </c>
      <c r="N522" s="629" t="s">
        <v>185</v>
      </c>
      <c r="O522" s="589">
        <v>3</v>
      </c>
      <c r="P522" s="629"/>
      <c r="Q522" s="589"/>
      <c r="R522" s="629" t="s">
        <v>114</v>
      </c>
      <c r="S522" s="590">
        <f>O522*K522*M522</f>
        <v>24</v>
      </c>
      <c r="T522" s="18">
        <f>ROUNDDOWN(S522,2)</f>
        <v>24</v>
      </c>
      <c r="U522" s="2" t="s">
        <v>9</v>
      </c>
      <c r="V522" s="43"/>
    </row>
    <row r="523" spans="2:22" s="1" customFormat="1" x14ac:dyDescent="0.3">
      <c r="B523" s="59"/>
      <c r="C523" s="60"/>
      <c r="D523" s="324" t="e">
        <f>RAB!#REF!</f>
        <v>#REF!</v>
      </c>
      <c r="E523" s="589"/>
      <c r="F523" s="629"/>
      <c r="G523" s="589"/>
      <c r="H523" s="629"/>
      <c r="I523" s="589"/>
      <c r="J523" s="629"/>
      <c r="K523" s="589">
        <f t="shared" si="8"/>
        <v>4</v>
      </c>
      <c r="L523" s="629" t="s">
        <v>185</v>
      </c>
      <c r="M523" s="589">
        <v>1</v>
      </c>
      <c r="N523" s="629" t="s">
        <v>185</v>
      </c>
      <c r="O523" s="589">
        <v>2</v>
      </c>
      <c r="P523" s="629"/>
      <c r="Q523" s="589"/>
      <c r="R523" s="629" t="s">
        <v>114</v>
      </c>
      <c r="S523" s="590">
        <f>O523*K523*M523</f>
        <v>8</v>
      </c>
      <c r="T523" s="18">
        <f>ROUNDDOWN(S523,2)</f>
        <v>8</v>
      </c>
      <c r="U523" s="2" t="s">
        <v>9</v>
      </c>
      <c r="V523" s="43"/>
    </row>
    <row r="524" spans="2:22" s="1" customFormat="1" x14ac:dyDescent="0.3">
      <c r="B524" s="59"/>
      <c r="C524" s="60"/>
      <c r="D524" s="324" t="str">
        <f>RAB!D103</f>
        <v>- Kunci Tanam ex. Ses</v>
      </c>
      <c r="E524" s="589"/>
      <c r="F524" s="629"/>
      <c r="G524" s="589"/>
      <c r="H524" s="629"/>
      <c r="I524" s="589"/>
      <c r="J524" s="629"/>
      <c r="K524" s="589">
        <f t="shared" si="8"/>
        <v>4</v>
      </c>
      <c r="L524" s="629"/>
      <c r="M524" s="589"/>
      <c r="N524" s="629"/>
      <c r="O524" s="589"/>
      <c r="P524" s="629"/>
      <c r="Q524" s="589"/>
      <c r="R524" s="629"/>
      <c r="S524" s="590"/>
      <c r="T524" s="18">
        <f>ROUNDDOWN(K524,2)</f>
        <v>4</v>
      </c>
      <c r="U524" s="2" t="s">
        <v>115</v>
      </c>
      <c r="V524" s="43"/>
    </row>
    <row r="525" spans="2:22" s="1" customFormat="1" x14ac:dyDescent="0.3">
      <c r="B525" s="59"/>
      <c r="C525" s="60"/>
      <c r="D525" s="324" t="e">
        <f>RAB!#REF!</f>
        <v>#REF!</v>
      </c>
      <c r="E525" s="589"/>
      <c r="F525" s="629"/>
      <c r="G525" s="589"/>
      <c r="H525" s="629"/>
      <c r="I525" s="589"/>
      <c r="J525" s="629"/>
      <c r="K525" s="589">
        <f t="shared" si="8"/>
        <v>4</v>
      </c>
      <c r="L525" s="629"/>
      <c r="M525" s="589"/>
      <c r="N525" s="629"/>
      <c r="O525" s="589"/>
      <c r="P525" s="629"/>
      <c r="Q525" s="589"/>
      <c r="R525" s="629"/>
      <c r="S525" s="590"/>
      <c r="T525" s="18">
        <f>ROUNDDOWN(K525,2)</f>
        <v>4</v>
      </c>
      <c r="U525" s="2" t="s">
        <v>9</v>
      </c>
      <c r="V525" s="43"/>
    </row>
    <row r="526" spans="2:22" s="1" customFormat="1" x14ac:dyDescent="0.3">
      <c r="B526" s="59"/>
      <c r="C526" s="60"/>
      <c r="D526" s="324" t="e">
        <f>RAB!#REF!</f>
        <v>#REF!</v>
      </c>
      <c r="E526" s="589"/>
      <c r="F526" s="629"/>
      <c r="G526" s="589"/>
      <c r="H526" s="629"/>
      <c r="I526" s="589"/>
      <c r="J526" s="629"/>
      <c r="K526" s="589">
        <f t="shared" si="8"/>
        <v>4</v>
      </c>
      <c r="L526" s="629"/>
      <c r="M526" s="589"/>
      <c r="N526" s="629"/>
      <c r="O526" s="589"/>
      <c r="P526" s="629"/>
      <c r="Q526" s="589"/>
      <c r="R526" s="629"/>
      <c r="S526" s="590"/>
      <c r="T526" s="18">
        <f>ROUNDDOWN(K526,2)</f>
        <v>4</v>
      </c>
      <c r="U526" s="2" t="s">
        <v>129</v>
      </c>
      <c r="V526" s="43"/>
    </row>
    <row r="527" spans="2:22" s="1" customFormat="1" x14ac:dyDescent="0.3">
      <c r="B527" s="59"/>
      <c r="C527" s="60"/>
      <c r="D527" s="324" t="str">
        <f>RAB!D104</f>
        <v>- Door Stoop</v>
      </c>
      <c r="E527" s="1161"/>
      <c r="F527" s="517"/>
      <c r="G527" s="1161"/>
      <c r="H527" s="517"/>
      <c r="I527" s="1161"/>
      <c r="J527" s="517"/>
      <c r="K527" s="589">
        <f t="shared" si="8"/>
        <v>4</v>
      </c>
      <c r="L527" s="629"/>
      <c r="M527" s="589"/>
      <c r="N527" s="629"/>
      <c r="O527" s="589"/>
      <c r="P527" s="629"/>
      <c r="Q527" s="589"/>
      <c r="R527" s="629"/>
      <c r="S527" s="590"/>
      <c r="T527" s="18">
        <f>ROUNDDOWN(K527,2)</f>
        <v>4</v>
      </c>
      <c r="U527" s="2" t="s">
        <v>132</v>
      </c>
      <c r="V527" s="43"/>
    </row>
    <row r="528" spans="2:22" s="1" customFormat="1" x14ac:dyDescent="0.3">
      <c r="B528" s="59"/>
      <c r="C528" s="60"/>
      <c r="D528" s="324" t="str">
        <f>RAB!D105</f>
        <v>- Grendel Pintu 8 Inc Stainless Stail</v>
      </c>
      <c r="E528" s="619"/>
      <c r="F528" s="526"/>
      <c r="G528" s="619"/>
      <c r="H528" s="526"/>
      <c r="I528" s="619"/>
      <c r="J528" s="526"/>
      <c r="K528" s="589">
        <f t="shared" si="8"/>
        <v>4</v>
      </c>
      <c r="L528" s="1041"/>
      <c r="M528" s="1040"/>
      <c r="N528" s="1041"/>
      <c r="O528" s="1040"/>
      <c r="P528" s="1041"/>
      <c r="Q528" s="1040"/>
      <c r="R528" s="1041"/>
      <c r="S528" s="1042"/>
      <c r="T528" s="18">
        <f>ROUNDDOWN(K528,2)</f>
        <v>4</v>
      </c>
      <c r="U528" s="2" t="s">
        <v>132</v>
      </c>
      <c r="V528" s="43"/>
    </row>
    <row r="529" spans="2:22" s="1" customFormat="1" x14ac:dyDescent="0.3">
      <c r="B529" s="59"/>
      <c r="C529" s="60"/>
      <c r="D529" s="143"/>
      <c r="E529" s="330"/>
      <c r="F529" s="512"/>
      <c r="G529" s="330"/>
      <c r="H529" s="512"/>
      <c r="I529" s="330"/>
      <c r="J529" s="512"/>
      <c r="K529" s="330"/>
      <c r="L529" s="512"/>
      <c r="M529" s="330"/>
      <c r="N529" s="512"/>
      <c r="O529" s="330"/>
      <c r="P529" s="512"/>
      <c r="Q529" s="330"/>
      <c r="R529" s="512"/>
      <c r="S529" s="559"/>
      <c r="T529" s="66"/>
      <c r="U529" s="2"/>
      <c r="V529" s="43"/>
    </row>
    <row r="530" spans="2:22" x14ac:dyDescent="0.3">
      <c r="B530" s="341"/>
      <c r="C530" s="342"/>
      <c r="D530" s="343"/>
      <c r="E530" s="471"/>
      <c r="F530" s="489"/>
      <c r="G530" s="471"/>
      <c r="H530" s="489"/>
      <c r="I530" s="471"/>
      <c r="J530" s="489"/>
      <c r="K530" s="438"/>
      <c r="L530" s="482"/>
      <c r="M530" s="439"/>
      <c r="N530" s="482"/>
      <c r="O530" s="438"/>
      <c r="P530" s="482"/>
      <c r="Q530" s="438"/>
      <c r="R530" s="482"/>
      <c r="S530" s="454"/>
    </row>
    <row r="531" spans="2:22" x14ac:dyDescent="0.3">
      <c r="B531" s="341"/>
      <c r="C531" s="342"/>
      <c r="D531" s="16"/>
      <c r="E531" s="216"/>
      <c r="F531" s="602"/>
      <c r="G531" s="216"/>
      <c r="H531" s="602"/>
      <c r="I531" s="216"/>
      <c r="J531" s="602"/>
      <c r="K531" s="156"/>
      <c r="L531" s="501"/>
      <c r="M531" s="165"/>
      <c r="N531" s="501"/>
      <c r="O531" s="156"/>
      <c r="P531" s="501"/>
      <c r="Q531" s="156"/>
      <c r="R531" s="501"/>
      <c r="S531" s="232"/>
    </row>
    <row r="532" spans="2:22" s="1" customFormat="1" ht="17.25" thickBot="1" x14ac:dyDescent="0.35">
      <c r="B532" s="59">
        <f>RAB!B106</f>
        <v>3</v>
      </c>
      <c r="C532" s="60" t="str">
        <f>RAB!C106</f>
        <v>Jendela Type J.1</v>
      </c>
      <c r="E532" s="153"/>
      <c r="F532" s="480"/>
      <c r="G532" s="153"/>
      <c r="H532" s="480"/>
      <c r="I532" s="153"/>
      <c r="J532" s="480"/>
      <c r="K532" s="153"/>
      <c r="L532" s="480"/>
      <c r="M532" s="162"/>
      <c r="N532" s="480"/>
      <c r="O532" s="153"/>
      <c r="P532" s="480"/>
      <c r="Q532" s="153"/>
      <c r="R532" s="480"/>
      <c r="S532" s="224"/>
      <c r="T532" s="18">
        <f>ROUNDDOWN(S536,2)</f>
        <v>22</v>
      </c>
      <c r="U532" s="2" t="s">
        <v>32</v>
      </c>
      <c r="V532" s="43"/>
    </row>
    <row r="533" spans="2:22" s="1" customFormat="1" x14ac:dyDescent="0.3">
      <c r="B533" s="59"/>
      <c r="C533" s="60"/>
      <c r="D533" s="141" t="s">
        <v>95</v>
      </c>
      <c r="E533" s="158" t="s">
        <v>150</v>
      </c>
      <c r="F533" s="641"/>
      <c r="G533" s="158" t="s">
        <v>151</v>
      </c>
      <c r="H533" s="641"/>
      <c r="I533" s="158" t="s">
        <v>152</v>
      </c>
      <c r="J533" s="641"/>
      <c r="K533" s="158" t="s">
        <v>153</v>
      </c>
      <c r="L533" s="641"/>
      <c r="M533" s="167" t="s">
        <v>32</v>
      </c>
      <c r="N533" s="641"/>
      <c r="O533" s="158" t="s">
        <v>163</v>
      </c>
      <c r="P533" s="641"/>
      <c r="Q533" s="158" t="s">
        <v>151</v>
      </c>
      <c r="R533" s="641"/>
      <c r="S533" s="242" t="s">
        <v>143</v>
      </c>
      <c r="T533" s="66"/>
      <c r="U533" s="2"/>
      <c r="V533" s="43"/>
    </row>
    <row r="534" spans="2:22" s="1" customFormat="1" x14ac:dyDescent="0.3">
      <c r="B534" s="59"/>
      <c r="C534" s="60"/>
      <c r="D534" s="142" t="str">
        <f>C532</f>
        <v>Jendela Type J.1</v>
      </c>
      <c r="E534" s="197"/>
      <c r="F534" s="640"/>
      <c r="G534" s="197"/>
      <c r="H534" s="640"/>
      <c r="I534" s="197"/>
      <c r="J534" s="640"/>
      <c r="K534" s="197"/>
      <c r="L534" s="640"/>
      <c r="M534" s="323">
        <f>K462</f>
        <v>22</v>
      </c>
      <c r="N534" s="640"/>
      <c r="O534" s="197"/>
      <c r="P534" s="640"/>
      <c r="Q534" s="197"/>
      <c r="R534" s="640" t="s">
        <v>114</v>
      </c>
      <c r="S534" s="248">
        <f>M534</f>
        <v>22</v>
      </c>
      <c r="T534" s="66"/>
      <c r="U534" s="2"/>
      <c r="V534" s="43"/>
    </row>
    <row r="535" spans="2:22" s="1" customFormat="1" x14ac:dyDescent="0.3">
      <c r="B535" s="59"/>
      <c r="C535" s="60"/>
      <c r="D535" s="143"/>
      <c r="E535" s="170"/>
      <c r="F535" s="630"/>
      <c r="G535" s="170"/>
      <c r="H535" s="630"/>
      <c r="I535" s="170"/>
      <c r="J535" s="630"/>
      <c r="K535" s="170"/>
      <c r="L535" s="630"/>
      <c r="M535" s="170"/>
      <c r="N535" s="630"/>
      <c r="O535" s="170"/>
      <c r="P535" s="630"/>
      <c r="Q535" s="170"/>
      <c r="R535" s="630"/>
      <c r="S535" s="251">
        <f>G535*I535*K535</f>
        <v>0</v>
      </c>
      <c r="T535" s="66"/>
      <c r="U535" s="2"/>
      <c r="V535" s="43"/>
    </row>
    <row r="536" spans="2:22" s="1" customFormat="1" ht="17.25" thickBot="1" x14ac:dyDescent="0.35">
      <c r="B536" s="59"/>
      <c r="C536" s="60"/>
      <c r="D536" s="3091" t="s">
        <v>164</v>
      </c>
      <c r="E536" s="3092"/>
      <c r="F536" s="3092"/>
      <c r="G536" s="3092"/>
      <c r="H536" s="3092"/>
      <c r="I536" s="3092"/>
      <c r="J536" s="622"/>
      <c r="K536" s="190"/>
      <c r="L536" s="622"/>
      <c r="M536" s="190"/>
      <c r="N536" s="622"/>
      <c r="O536" s="190"/>
      <c r="P536" s="622"/>
      <c r="Q536" s="190"/>
      <c r="R536" s="622"/>
      <c r="S536" s="247">
        <f>SUM(S534:S535)</f>
        <v>22</v>
      </c>
      <c r="T536" s="66"/>
      <c r="U536" s="2"/>
      <c r="V536" s="43"/>
    </row>
    <row r="537" spans="2:22" s="1" customFormat="1" x14ac:dyDescent="0.3">
      <c r="B537" s="59"/>
      <c r="C537" s="60"/>
      <c r="D537" s="16"/>
      <c r="E537" s="216"/>
      <c r="F537" s="602"/>
      <c r="G537" s="216"/>
      <c r="H537" s="602"/>
      <c r="I537" s="216"/>
      <c r="J537" s="602"/>
      <c r="K537" s="156"/>
      <c r="L537" s="501"/>
      <c r="M537" s="165"/>
      <c r="N537" s="501"/>
      <c r="O537" s="156"/>
      <c r="P537" s="501"/>
      <c r="Q537" s="156"/>
      <c r="R537" s="501"/>
      <c r="S537" s="232"/>
      <c r="T537" s="66"/>
      <c r="U537" s="2"/>
      <c r="V537" s="43"/>
    </row>
    <row r="538" spans="2:22" s="1" customFormat="1" ht="17.25" thickBot="1" x14ac:dyDescent="0.35">
      <c r="B538" s="59">
        <f>RAB!B107</f>
        <v>4</v>
      </c>
      <c r="C538" s="60" t="str">
        <f>RAB!C107</f>
        <v>Jendela Type J2</v>
      </c>
      <c r="E538" s="153"/>
      <c r="F538" s="480"/>
      <c r="G538" s="153"/>
      <c r="H538" s="480"/>
      <c r="I538" s="153"/>
      <c r="J538" s="480"/>
      <c r="K538" s="153"/>
      <c r="L538" s="480"/>
      <c r="M538" s="162"/>
      <c r="N538" s="480"/>
      <c r="O538" s="153"/>
      <c r="P538" s="480"/>
      <c r="Q538" s="153"/>
      <c r="R538" s="480"/>
      <c r="S538" s="224"/>
      <c r="T538" s="18">
        <f>ROUNDDOWN(S542,2)</f>
        <v>4</v>
      </c>
      <c r="U538" s="2" t="s">
        <v>32</v>
      </c>
      <c r="V538" s="43"/>
    </row>
    <row r="539" spans="2:22" s="1" customFormat="1" x14ac:dyDescent="0.3">
      <c r="B539" s="59"/>
      <c r="C539" s="60"/>
      <c r="D539" s="125" t="s">
        <v>95</v>
      </c>
      <c r="E539" s="161" t="s">
        <v>150</v>
      </c>
      <c r="F539" s="654"/>
      <c r="G539" s="161" t="s">
        <v>151</v>
      </c>
      <c r="H539" s="654"/>
      <c r="I539" s="161" t="s">
        <v>152</v>
      </c>
      <c r="J539" s="654"/>
      <c r="K539" s="161" t="s">
        <v>153</v>
      </c>
      <c r="L539" s="654"/>
      <c r="M539" s="171" t="s">
        <v>32</v>
      </c>
      <c r="N539" s="654"/>
      <c r="O539" s="161" t="s">
        <v>163</v>
      </c>
      <c r="P539" s="654"/>
      <c r="Q539" s="161" t="s">
        <v>151</v>
      </c>
      <c r="R539" s="654"/>
      <c r="S539" s="254" t="s">
        <v>143</v>
      </c>
      <c r="T539" s="66"/>
      <c r="U539" s="2"/>
      <c r="V539" s="43"/>
    </row>
    <row r="540" spans="2:22" s="1" customFormat="1" x14ac:dyDescent="0.3">
      <c r="B540" s="59"/>
      <c r="C540" s="60"/>
      <c r="D540" s="662" t="str">
        <f>C538</f>
        <v>Jendela Type J2</v>
      </c>
      <c r="E540" s="663"/>
      <c r="F540" s="664"/>
      <c r="G540" s="663"/>
      <c r="H540" s="664"/>
      <c r="I540" s="663"/>
      <c r="J540" s="664"/>
      <c r="K540" s="663"/>
      <c r="L540" s="664"/>
      <c r="M540" s="665">
        <f>K463</f>
        <v>4</v>
      </c>
      <c r="N540" s="664"/>
      <c r="O540" s="663"/>
      <c r="P540" s="664"/>
      <c r="Q540" s="663"/>
      <c r="R540" s="640" t="s">
        <v>114</v>
      </c>
      <c r="S540" s="248">
        <f>M540</f>
        <v>4</v>
      </c>
      <c r="T540" s="66"/>
      <c r="U540" s="2"/>
      <c r="V540" s="43"/>
    </row>
    <row r="541" spans="2:22" s="1" customFormat="1" x14ac:dyDescent="0.3">
      <c r="B541" s="59"/>
      <c r="C541" s="60"/>
      <c r="D541" s="666"/>
      <c r="E541" s="667"/>
      <c r="F541" s="668"/>
      <c r="G541" s="667"/>
      <c r="H541" s="668"/>
      <c r="I541" s="667"/>
      <c r="J541" s="668"/>
      <c r="K541" s="667"/>
      <c r="L541" s="668"/>
      <c r="M541" s="667"/>
      <c r="N541" s="668"/>
      <c r="O541" s="667"/>
      <c r="P541" s="668"/>
      <c r="Q541" s="667"/>
      <c r="R541" s="668"/>
      <c r="S541" s="669">
        <f>G541*I541*K541</f>
        <v>0</v>
      </c>
      <c r="T541" s="66"/>
      <c r="U541" s="2"/>
      <c r="V541" s="43"/>
    </row>
    <row r="542" spans="2:22" s="1" customFormat="1" ht="17.25" thickBot="1" x14ac:dyDescent="0.35">
      <c r="B542" s="59"/>
      <c r="C542" s="60"/>
      <c r="D542" s="3091" t="s">
        <v>164</v>
      </c>
      <c r="E542" s="3092"/>
      <c r="F542" s="3092"/>
      <c r="G542" s="3092"/>
      <c r="H542" s="3092"/>
      <c r="I542" s="3092"/>
      <c r="J542" s="622"/>
      <c r="K542" s="190"/>
      <c r="L542" s="622"/>
      <c r="M542" s="190"/>
      <c r="N542" s="622"/>
      <c r="O542" s="190"/>
      <c r="P542" s="622"/>
      <c r="Q542" s="190"/>
      <c r="R542" s="622"/>
      <c r="S542" s="247">
        <f>SUM(S540:S541)</f>
        <v>4</v>
      </c>
      <c r="T542" s="66"/>
      <c r="U542" s="2"/>
      <c r="V542" s="43"/>
    </row>
    <row r="543" spans="2:22" x14ac:dyDescent="0.3">
      <c r="B543" s="341"/>
      <c r="C543" s="342"/>
      <c r="D543" s="453"/>
      <c r="E543" s="455"/>
      <c r="F543" s="485"/>
      <c r="G543" s="455"/>
      <c r="H543" s="485"/>
      <c r="I543" s="455"/>
      <c r="J543" s="492"/>
      <c r="K543" s="477"/>
      <c r="L543" s="492"/>
      <c r="M543" s="477"/>
      <c r="N543" s="492"/>
      <c r="O543" s="477"/>
      <c r="P543" s="492"/>
      <c r="Q543" s="477"/>
      <c r="R543" s="492"/>
      <c r="S543" s="479"/>
    </row>
    <row r="544" spans="2:22" s="1" customFormat="1" x14ac:dyDescent="0.3">
      <c r="B544" s="134" t="str">
        <f>RAB!B110</f>
        <v>V</v>
      </c>
      <c r="C544" s="134" t="str">
        <f>RAB!C110</f>
        <v>PEKERJAAN PENUTUP LANTAI &amp; DINDING</v>
      </c>
      <c r="E544" s="153"/>
      <c r="F544" s="480"/>
      <c r="G544" s="153"/>
      <c r="H544" s="480"/>
      <c r="I544" s="153"/>
      <c r="J544" s="480"/>
      <c r="K544" s="153"/>
      <c r="L544" s="480"/>
      <c r="M544" s="162"/>
      <c r="N544" s="480"/>
      <c r="O544" s="153"/>
      <c r="P544" s="480"/>
      <c r="Q544" s="200"/>
      <c r="R544" s="480"/>
      <c r="S544" s="224"/>
      <c r="T544" s="66"/>
      <c r="U544" s="2"/>
      <c r="V544" s="43"/>
    </row>
    <row r="545" spans="2:22" s="1" customFormat="1" x14ac:dyDescent="0.3">
      <c r="B545" s="36" t="e">
        <f>RAB!#REF!</f>
        <v>#REF!</v>
      </c>
      <c r="C545" s="17" t="e">
        <f>RAB!#REF!</f>
        <v>#REF!</v>
      </c>
      <c r="E545" s="153"/>
      <c r="F545" s="480"/>
      <c r="G545" s="153"/>
      <c r="H545" s="480"/>
      <c r="I545" s="153"/>
      <c r="J545" s="480"/>
      <c r="K545" s="153"/>
      <c r="L545" s="480"/>
      <c r="M545" s="162"/>
      <c r="N545" s="480"/>
      <c r="O545" s="153"/>
      <c r="P545" s="480"/>
      <c r="Q545" s="200"/>
      <c r="R545" s="480"/>
      <c r="S545" s="224"/>
      <c r="T545" s="18">
        <v>0</v>
      </c>
      <c r="U545" s="2" t="s">
        <v>3</v>
      </c>
      <c r="V545" s="43"/>
    </row>
    <row r="546" spans="2:22" s="1" customFormat="1" ht="17.25" thickBot="1" x14ac:dyDescent="0.35">
      <c r="B546" s="36"/>
      <c r="C546" s="17"/>
      <c r="D546" s="1" t="e">
        <f>RAB!#REF!</f>
        <v>#REF!</v>
      </c>
      <c r="E546" s="153"/>
      <c r="F546" s="480"/>
      <c r="G546" s="153"/>
      <c r="H546" s="480"/>
      <c r="I546" s="153"/>
      <c r="J546" s="480"/>
      <c r="K546" s="153"/>
      <c r="L546" s="480"/>
      <c r="M546" s="162"/>
      <c r="N546" s="480"/>
      <c r="O546" s="153"/>
      <c r="P546" s="480"/>
      <c r="Q546" s="200"/>
      <c r="R546" s="480"/>
      <c r="S546" s="224"/>
      <c r="T546" s="18"/>
      <c r="U546" s="2"/>
      <c r="V546" s="43"/>
    </row>
    <row r="547" spans="2:22" s="1" customFormat="1" x14ac:dyDescent="0.3">
      <c r="B547" s="325"/>
      <c r="C547" s="17"/>
      <c r="D547" s="8" t="s">
        <v>95</v>
      </c>
      <c r="E547" s="154" t="s">
        <v>150</v>
      </c>
      <c r="F547" s="493"/>
      <c r="G547" s="154" t="s">
        <v>151</v>
      </c>
      <c r="H547" s="493"/>
      <c r="I547" s="154" t="s">
        <v>152</v>
      </c>
      <c r="J547" s="493"/>
      <c r="K547" s="154" t="s">
        <v>153</v>
      </c>
      <c r="L547" s="494"/>
      <c r="M547" s="163" t="s">
        <v>32</v>
      </c>
      <c r="N547" s="494"/>
      <c r="O547" s="201" t="s">
        <v>163</v>
      </c>
      <c r="P547" s="494"/>
      <c r="Q547" s="202" t="s">
        <v>151</v>
      </c>
      <c r="R547" s="494"/>
      <c r="S547" s="226" t="s">
        <v>143</v>
      </c>
      <c r="T547" s="66"/>
      <c r="U547" s="2"/>
      <c r="V547" s="43"/>
    </row>
    <row r="548" spans="2:22" s="1" customFormat="1" x14ac:dyDescent="0.3">
      <c r="B548" s="325"/>
      <c r="C548" s="17"/>
      <c r="D548" s="142" t="s">
        <v>771</v>
      </c>
      <c r="E548" s="197"/>
      <c r="F548" s="516"/>
      <c r="G548" s="197"/>
      <c r="H548" s="516"/>
      <c r="I548" s="331">
        <v>0.05</v>
      </c>
      <c r="J548" s="565" t="s">
        <v>185</v>
      </c>
      <c r="K548" s="331">
        <v>1</v>
      </c>
      <c r="L548" s="575"/>
      <c r="M548" s="331"/>
      <c r="N548" s="575"/>
      <c r="O548" s="331"/>
      <c r="P548" s="565"/>
      <c r="Q548" s="331">
        <f>Q81</f>
        <v>212.54399999999998</v>
      </c>
      <c r="R548" s="565" t="s">
        <v>114</v>
      </c>
      <c r="S548" s="577">
        <f>I548*K548*Q548</f>
        <v>10.6272</v>
      </c>
      <c r="T548" s="66"/>
      <c r="U548" s="2"/>
      <c r="V548" s="43"/>
    </row>
    <row r="549" spans="2:22" s="1" customFormat="1" x14ac:dyDescent="0.3">
      <c r="B549" s="325"/>
      <c r="C549" s="17"/>
      <c r="D549" s="698" t="s">
        <v>770</v>
      </c>
      <c r="E549" s="700"/>
      <c r="F549" s="699"/>
      <c r="G549" s="700"/>
      <c r="H549" s="521"/>
      <c r="I549" s="1161">
        <v>0.05</v>
      </c>
      <c r="J549" s="518" t="s">
        <v>185</v>
      </c>
      <c r="K549" s="1161">
        <v>1</v>
      </c>
      <c r="L549" s="517"/>
      <c r="M549" s="1161"/>
      <c r="N549" s="517"/>
      <c r="O549" s="1161"/>
      <c r="P549" s="518"/>
      <c r="Q549" s="1161">
        <v>4.4000000000000004</v>
      </c>
      <c r="R549" s="518" t="s">
        <v>114</v>
      </c>
      <c r="S549" s="519">
        <f>I549*K549*Q549</f>
        <v>0.22000000000000003</v>
      </c>
      <c r="T549" s="66"/>
      <c r="U549" s="2"/>
      <c r="V549" s="43"/>
    </row>
    <row r="550" spans="2:22" s="1" customFormat="1" x14ac:dyDescent="0.3">
      <c r="B550" s="325"/>
      <c r="C550" s="17"/>
      <c r="D550" s="148"/>
      <c r="E550" s="192"/>
      <c r="F550" s="631"/>
      <c r="G550" s="192"/>
      <c r="H550" s="631"/>
      <c r="I550" s="192"/>
      <c r="J550" s="631"/>
      <c r="K550" s="192"/>
      <c r="L550" s="631"/>
      <c r="M550" s="192"/>
      <c r="N550" s="631"/>
      <c r="O550" s="192"/>
      <c r="P550" s="631"/>
      <c r="Q550" s="192"/>
      <c r="R550" s="631"/>
      <c r="S550" s="252"/>
      <c r="T550" s="66"/>
      <c r="U550" s="2"/>
      <c r="V550" s="43"/>
    </row>
    <row r="551" spans="2:22" s="1" customFormat="1" ht="17.25" thickBot="1" x14ac:dyDescent="0.35">
      <c r="B551" s="325"/>
      <c r="C551" s="17"/>
      <c r="D551" s="3096" t="s">
        <v>164</v>
      </c>
      <c r="E551" s="3097"/>
      <c r="F551" s="3097"/>
      <c r="G551" s="3097"/>
      <c r="H551" s="3097"/>
      <c r="I551" s="3097"/>
      <c r="J551" s="637"/>
      <c r="K551" s="196"/>
      <c r="L551" s="637"/>
      <c r="M551" s="196"/>
      <c r="N551" s="637"/>
      <c r="O551" s="196"/>
      <c r="P551" s="637"/>
      <c r="Q551" s="196"/>
      <c r="R551" s="637"/>
      <c r="S551" s="253">
        <f>SUM(S548:S550)</f>
        <v>10.847200000000001</v>
      </c>
      <c r="T551" s="66"/>
      <c r="U551" s="2"/>
      <c r="V551" s="43"/>
    </row>
    <row r="552" spans="2:22" x14ac:dyDescent="0.3">
      <c r="B552" s="473"/>
      <c r="C552" s="465"/>
      <c r="D552" s="453"/>
      <c r="E552" s="455"/>
      <c r="F552" s="485"/>
      <c r="G552" s="455"/>
      <c r="H552" s="485"/>
      <c r="I552" s="455"/>
      <c r="J552" s="485"/>
      <c r="K552" s="477"/>
      <c r="L552" s="492"/>
      <c r="M552" s="477"/>
      <c r="N552" s="492"/>
      <c r="O552" s="477"/>
      <c r="P552" s="492"/>
      <c r="Q552" s="477"/>
      <c r="R552" s="492"/>
      <c r="S552" s="479"/>
    </row>
    <row r="553" spans="2:22" s="1" customFormat="1" ht="17.25" thickBot="1" x14ac:dyDescent="0.35">
      <c r="B553" s="36"/>
      <c r="C553" s="1" t="e">
        <f>RAB!#REF!</f>
        <v>#REF!</v>
      </c>
      <c r="E553" s="153"/>
      <c r="F553" s="480"/>
      <c r="G553" s="153"/>
      <c r="H553" s="480"/>
      <c r="I553" s="153"/>
      <c r="J553" s="480"/>
      <c r="K553" s="153"/>
      <c r="L553" s="480"/>
      <c r="M553" s="162"/>
      <c r="N553" s="480"/>
      <c r="O553" s="153"/>
      <c r="P553" s="480"/>
      <c r="Q553" s="200"/>
      <c r="R553" s="480"/>
      <c r="S553" s="224"/>
      <c r="T553" s="18">
        <v>0</v>
      </c>
      <c r="U553" s="2" t="s">
        <v>130</v>
      </c>
      <c r="V553" s="43"/>
    </row>
    <row r="554" spans="2:22" s="1" customFormat="1" x14ac:dyDescent="0.3">
      <c r="B554" s="325"/>
      <c r="C554" s="17"/>
      <c r="D554" s="141" t="s">
        <v>95</v>
      </c>
      <c r="E554" s="158" t="s">
        <v>150</v>
      </c>
      <c r="F554" s="641"/>
      <c r="G554" s="158" t="s">
        <v>151</v>
      </c>
      <c r="H554" s="641"/>
      <c r="I554" s="158" t="s">
        <v>152</v>
      </c>
      <c r="J554" s="641"/>
      <c r="K554" s="158" t="s">
        <v>153</v>
      </c>
      <c r="L554" s="641"/>
      <c r="M554" s="167" t="s">
        <v>32</v>
      </c>
      <c r="N554" s="641"/>
      <c r="O554" s="158" t="s">
        <v>163</v>
      </c>
      <c r="P554" s="641"/>
      <c r="Q554" s="222" t="s">
        <v>151</v>
      </c>
      <c r="R554" s="641"/>
      <c r="S554" s="242" t="s">
        <v>143</v>
      </c>
      <c r="T554" s="66"/>
      <c r="U554" s="2"/>
      <c r="V554" s="43"/>
    </row>
    <row r="555" spans="2:22" s="1" customFormat="1" x14ac:dyDescent="0.3">
      <c r="B555" s="325"/>
      <c r="C555" s="17"/>
      <c r="D555" s="142" t="str">
        <f>D548</f>
        <v>Bawah Lantai</v>
      </c>
      <c r="E555" s="197"/>
      <c r="F555" s="640"/>
      <c r="G555" s="197"/>
      <c r="H555" s="640"/>
      <c r="I555" s="331">
        <v>7.0000000000000007E-2</v>
      </c>
      <c r="J555" s="575" t="s">
        <v>185</v>
      </c>
      <c r="K555" s="331">
        <v>1</v>
      </c>
      <c r="L555" s="575" t="s">
        <v>185</v>
      </c>
      <c r="M555" s="331"/>
      <c r="N555" s="575"/>
      <c r="O555" s="331"/>
      <c r="P555" s="575"/>
      <c r="Q555" s="331">
        <f>Q548</f>
        <v>212.54399999999998</v>
      </c>
      <c r="R555" s="575" t="s">
        <v>114</v>
      </c>
      <c r="S555" s="577">
        <f>I555*K555*Q555</f>
        <v>14.878080000000001</v>
      </c>
      <c r="T555" s="66"/>
      <c r="U555" s="2"/>
      <c r="V555" s="43"/>
    </row>
    <row r="556" spans="2:22" s="1" customFormat="1" x14ac:dyDescent="0.3">
      <c r="B556" s="325"/>
      <c r="C556" s="17"/>
      <c r="D556" s="698"/>
      <c r="E556" s="700"/>
      <c r="F556" s="701"/>
      <c r="G556" s="700"/>
      <c r="H556" s="603"/>
      <c r="I556" s="1161">
        <v>7.0000000000000007E-2</v>
      </c>
      <c r="J556" s="517" t="s">
        <v>185</v>
      </c>
      <c r="K556" s="1161">
        <v>1</v>
      </c>
      <c r="L556" s="517" t="s">
        <v>185</v>
      </c>
      <c r="M556" s="1161"/>
      <c r="N556" s="517"/>
      <c r="O556" s="1161"/>
      <c r="P556" s="517"/>
      <c r="Q556" s="1161">
        <f>Q549</f>
        <v>4.4000000000000004</v>
      </c>
      <c r="R556" s="517" t="s">
        <v>114</v>
      </c>
      <c r="S556" s="519">
        <f>I556*K556*Q556</f>
        <v>0.30800000000000005</v>
      </c>
      <c r="T556" s="66"/>
      <c r="U556" s="2"/>
      <c r="V556" s="43"/>
    </row>
    <row r="557" spans="2:22" s="1" customFormat="1" x14ac:dyDescent="0.3">
      <c r="B557" s="325"/>
      <c r="C557" s="17"/>
      <c r="D557" s="143"/>
      <c r="E557" s="170"/>
      <c r="F557" s="630"/>
      <c r="G557" s="170"/>
      <c r="H557" s="630"/>
      <c r="I557" s="330"/>
      <c r="J557" s="512"/>
      <c r="K557" s="330"/>
      <c r="L557" s="512"/>
      <c r="M557" s="330"/>
      <c r="N557" s="512"/>
      <c r="O557" s="330"/>
      <c r="P557" s="512"/>
      <c r="Q557" s="330"/>
      <c r="R557" s="512"/>
      <c r="S557" s="559"/>
      <c r="T557" s="66"/>
      <c r="U557" s="2"/>
      <c r="V557" s="43"/>
    </row>
    <row r="558" spans="2:22" s="1" customFormat="1" ht="17.25" thickBot="1" x14ac:dyDescent="0.35">
      <c r="B558" s="325"/>
      <c r="C558" s="17"/>
      <c r="D558" s="3089" t="s">
        <v>164</v>
      </c>
      <c r="E558" s="3090"/>
      <c r="F558" s="3090"/>
      <c r="G558" s="3090"/>
      <c r="H558" s="3090"/>
      <c r="I558" s="3090"/>
      <c r="J558" s="622"/>
      <c r="K558" s="190"/>
      <c r="L558" s="622"/>
      <c r="M558" s="190"/>
      <c r="N558" s="622"/>
      <c r="O558" s="190"/>
      <c r="P558" s="622"/>
      <c r="Q558" s="644">
        <f>SUM(Q555:Q555)</f>
        <v>212.54399999999998</v>
      </c>
      <c r="R558" s="704"/>
      <c r="S558" s="705">
        <f>SUM(S555:S557)</f>
        <v>15.18608</v>
      </c>
      <c r="T558" s="66"/>
      <c r="U558" s="2"/>
      <c r="V558" s="43"/>
    </row>
    <row r="559" spans="2:22" x14ac:dyDescent="0.3">
      <c r="B559" s="473"/>
      <c r="C559" s="465"/>
      <c r="D559" s="453"/>
      <c r="E559" s="455"/>
      <c r="F559" s="485"/>
      <c r="G559" s="455"/>
      <c r="H559" s="485"/>
      <c r="I559" s="455"/>
      <c r="J559" s="485"/>
      <c r="K559" s="477"/>
      <c r="L559" s="492"/>
      <c r="M559" s="477"/>
      <c r="N559" s="492"/>
      <c r="O559" s="477"/>
      <c r="P559" s="492"/>
      <c r="Q559" s="477"/>
      <c r="R559" s="492"/>
      <c r="S559" s="479"/>
    </row>
    <row r="560" spans="2:22" s="1" customFormat="1" ht="17.25" thickBot="1" x14ac:dyDescent="0.35">
      <c r="B560" s="59"/>
      <c r="C560" s="60" t="e">
        <f>RAB!#REF!</f>
        <v>#REF!</v>
      </c>
      <c r="D560" s="16"/>
      <c r="E560" s="16"/>
      <c r="F560" s="61"/>
      <c r="G560" s="16"/>
      <c r="H560" s="61"/>
      <c r="I560" s="16"/>
      <c r="J560" s="61"/>
      <c r="K560" s="30"/>
      <c r="L560" s="45"/>
      <c r="M560" s="39"/>
      <c r="N560" s="46"/>
      <c r="O560" s="40"/>
      <c r="P560" s="46"/>
      <c r="Q560" s="74"/>
      <c r="R560" s="46"/>
      <c r="S560" s="42"/>
      <c r="T560" s="18">
        <v>0</v>
      </c>
      <c r="U560" s="2" t="s">
        <v>0</v>
      </c>
      <c r="V560" s="43"/>
    </row>
    <row r="561" spans="2:22" s="1" customFormat="1" x14ac:dyDescent="0.3">
      <c r="B561" s="59"/>
      <c r="C561" s="60"/>
      <c r="D561" s="8" t="s">
        <v>95</v>
      </c>
      <c r="E561" s="4" t="s">
        <v>150</v>
      </c>
      <c r="F561" s="48"/>
      <c r="G561" s="4" t="s">
        <v>151</v>
      </c>
      <c r="H561" s="48"/>
      <c r="I561" s="4" t="s">
        <v>152</v>
      </c>
      <c r="J561" s="48"/>
      <c r="K561" s="4" t="s">
        <v>153</v>
      </c>
      <c r="L561" s="44"/>
      <c r="M561" s="5" t="s">
        <v>32</v>
      </c>
      <c r="N561" s="44"/>
      <c r="O561" s="6" t="s">
        <v>163</v>
      </c>
      <c r="P561" s="44"/>
      <c r="Q561" s="57" t="s">
        <v>151</v>
      </c>
      <c r="R561" s="44"/>
      <c r="S561" s="7" t="s">
        <v>143</v>
      </c>
      <c r="T561" s="66"/>
      <c r="U561" s="2"/>
      <c r="V561" s="43"/>
    </row>
    <row r="562" spans="2:22" s="1" customFormat="1" x14ac:dyDescent="0.3">
      <c r="D562" s="115" t="s">
        <v>717</v>
      </c>
      <c r="E562" s="22"/>
      <c r="F562" s="23"/>
      <c r="G562" s="22"/>
      <c r="H562" s="24"/>
      <c r="I562" s="22"/>
      <c r="J562" s="24"/>
      <c r="K562" s="20">
        <v>1</v>
      </c>
      <c r="L562" s="116"/>
      <c r="M562" s="418"/>
      <c r="N562" s="116"/>
      <c r="O562" s="418">
        <v>3.07</v>
      </c>
      <c r="P562" s="116"/>
      <c r="Q562" s="418">
        <f>SUM(Q558)</f>
        <v>212.54399999999998</v>
      </c>
      <c r="R562" s="19"/>
      <c r="S562" s="21">
        <f>K562*O562*Q562</f>
        <v>652.5100799999999</v>
      </c>
      <c r="T562" s="99"/>
      <c r="U562" s="2"/>
      <c r="V562" s="43"/>
    </row>
    <row r="563" spans="2:22" s="1" customFormat="1" x14ac:dyDescent="0.3">
      <c r="B563" s="59"/>
      <c r="C563" s="60"/>
      <c r="D563" s="41"/>
      <c r="E563" s="25"/>
      <c r="F563" s="31"/>
      <c r="G563" s="25"/>
      <c r="H563" s="31"/>
      <c r="I563" s="25"/>
      <c r="J563" s="31"/>
      <c r="K563" s="25"/>
      <c r="L563" s="47"/>
      <c r="M563" s="26"/>
      <c r="N563" s="47"/>
      <c r="O563" s="25"/>
      <c r="P563" s="47"/>
      <c r="Q563" s="58"/>
      <c r="R563" s="31"/>
      <c r="S563" s="27"/>
      <c r="T563" s="66"/>
      <c r="U563" s="2"/>
      <c r="V563" s="43"/>
    </row>
    <row r="564" spans="2:22" s="1" customFormat="1" ht="17.25" thickBot="1" x14ac:dyDescent="0.35">
      <c r="B564" s="59"/>
      <c r="C564" s="60"/>
      <c r="D564" s="3093" t="s">
        <v>164</v>
      </c>
      <c r="E564" s="3094"/>
      <c r="F564" s="3094"/>
      <c r="G564" s="3094"/>
      <c r="H564" s="3094"/>
      <c r="I564" s="3095"/>
      <c r="J564" s="65"/>
      <c r="K564" s="68"/>
      <c r="L564" s="69"/>
      <c r="M564" s="70"/>
      <c r="N564" s="71"/>
      <c r="O564" s="72"/>
      <c r="P564" s="71"/>
      <c r="Q564" s="73"/>
      <c r="R564" s="71"/>
      <c r="S564" s="28">
        <f>SUM(S562:S563)</f>
        <v>652.5100799999999</v>
      </c>
      <c r="T564" s="66"/>
      <c r="U564" s="2"/>
      <c r="V564" s="43"/>
    </row>
    <row r="565" spans="2:22" x14ac:dyDescent="0.3">
      <c r="B565" s="341"/>
      <c r="C565" s="342"/>
      <c r="D565" s="343"/>
      <c r="E565" s="343"/>
      <c r="F565" s="344"/>
      <c r="G565" s="343"/>
      <c r="H565" s="344"/>
      <c r="I565" s="343"/>
      <c r="J565" s="344"/>
      <c r="K565" s="345"/>
      <c r="L565" s="346"/>
      <c r="M565" s="347"/>
      <c r="N565" s="348"/>
      <c r="O565" s="349"/>
      <c r="P565" s="348"/>
      <c r="Q565" s="353"/>
      <c r="R565" s="348"/>
      <c r="S565" s="350"/>
    </row>
    <row r="566" spans="2:22" s="1" customFormat="1" ht="17.25" thickBot="1" x14ac:dyDescent="0.35">
      <c r="B566" s="325">
        <f>RAB!B111</f>
        <v>1</v>
      </c>
      <c r="C566" s="17" t="str">
        <f>RAB!C111</f>
        <v xml:space="preserve">Lantai Keramik Polish Uk. (60 x 60) Cm </v>
      </c>
      <c r="D566" s="38"/>
      <c r="E566" s="208"/>
      <c r="F566" s="551"/>
      <c r="G566" s="208"/>
      <c r="H566" s="551"/>
      <c r="I566" s="208"/>
      <c r="J566" s="551"/>
      <c r="K566" s="137"/>
      <c r="L566" s="642"/>
      <c r="M566" s="137"/>
      <c r="N566" s="642"/>
      <c r="O566" s="137"/>
      <c r="P566" s="642"/>
      <c r="Q566" s="137"/>
      <c r="R566" s="642"/>
      <c r="S566" s="241"/>
      <c r="T566" s="18">
        <f>ROUNDDOWN(Q578,2)</f>
        <v>678.92</v>
      </c>
      <c r="U566" s="2" t="s">
        <v>2</v>
      </c>
      <c r="V566" s="43"/>
    </row>
    <row r="567" spans="2:22" s="1" customFormat="1" x14ac:dyDescent="0.3">
      <c r="B567" s="325"/>
      <c r="C567" s="17"/>
      <c r="D567" s="141" t="s">
        <v>95</v>
      </c>
      <c r="E567" s="158" t="s">
        <v>150</v>
      </c>
      <c r="F567" s="641"/>
      <c r="G567" s="158" t="s">
        <v>151</v>
      </c>
      <c r="H567" s="641"/>
      <c r="I567" s="158" t="s">
        <v>152</v>
      </c>
      <c r="J567" s="641"/>
      <c r="K567" s="158" t="s">
        <v>153</v>
      </c>
      <c r="L567" s="641"/>
      <c r="M567" s="167" t="s">
        <v>32</v>
      </c>
      <c r="N567" s="641"/>
      <c r="O567" s="158" t="s">
        <v>163</v>
      </c>
      <c r="P567" s="641"/>
      <c r="Q567" s="222" t="s">
        <v>151</v>
      </c>
      <c r="R567" s="641"/>
      <c r="S567" s="242" t="s">
        <v>143</v>
      </c>
      <c r="T567" s="66"/>
      <c r="U567" s="2"/>
      <c r="V567" s="43"/>
    </row>
    <row r="568" spans="2:22" s="1" customFormat="1" x14ac:dyDescent="0.3">
      <c r="B568" s="325"/>
      <c r="C568" s="60"/>
      <c r="D568" s="643" t="s">
        <v>1336</v>
      </c>
      <c r="E568" s="331"/>
      <c r="F568" s="565"/>
      <c r="G568" s="331">
        <v>92.96</v>
      </c>
      <c r="H568" s="565"/>
      <c r="I568" s="331"/>
      <c r="J568" s="565"/>
      <c r="K568" s="331">
        <v>4</v>
      </c>
      <c r="L568" s="575"/>
      <c r="M568" s="331"/>
      <c r="N568" s="575"/>
      <c r="O568" s="331"/>
      <c r="P568" s="565"/>
      <c r="Q568" s="331">
        <f>G568*K568</f>
        <v>371.84</v>
      </c>
      <c r="R568" s="565"/>
      <c r="S568" s="577"/>
      <c r="T568" s="66"/>
      <c r="U568" s="2"/>
      <c r="V568" s="43"/>
    </row>
    <row r="569" spans="2:22" s="1" customFormat="1" x14ac:dyDescent="0.3">
      <c r="B569" s="325"/>
      <c r="C569" s="60"/>
      <c r="D569" s="324" t="s">
        <v>1337</v>
      </c>
      <c r="E569" s="589"/>
      <c r="F569" s="588"/>
      <c r="G569" s="1161">
        <v>4</v>
      </c>
      <c r="H569" s="518"/>
      <c r="I569" s="1161"/>
      <c r="J569" s="518"/>
      <c r="K569" s="1161">
        <v>36</v>
      </c>
      <c r="L569" s="517"/>
      <c r="M569" s="1161"/>
      <c r="N569" s="517"/>
      <c r="O569" s="1161"/>
      <c r="P569" s="518"/>
      <c r="Q569" s="1161">
        <f>G569*K569</f>
        <v>144</v>
      </c>
      <c r="R569" s="588"/>
      <c r="S569" s="590"/>
      <c r="T569" s="66"/>
      <c r="U569" s="2"/>
      <c r="V569" s="43"/>
    </row>
    <row r="570" spans="2:22" s="1" customFormat="1" x14ac:dyDescent="0.3">
      <c r="B570" s="325"/>
      <c r="C570" s="60"/>
      <c r="D570" s="324"/>
      <c r="E570" s="589"/>
      <c r="F570" s="588"/>
      <c r="G570" s="1161">
        <v>4</v>
      </c>
      <c r="H570" s="518"/>
      <c r="I570" s="1161"/>
      <c r="J570" s="518"/>
      <c r="K570" s="1161">
        <v>20</v>
      </c>
      <c r="L570" s="517"/>
      <c r="M570" s="1161"/>
      <c r="N570" s="517"/>
      <c r="O570" s="1161"/>
      <c r="P570" s="518"/>
      <c r="Q570" s="1161">
        <f>G570*K570</f>
        <v>80</v>
      </c>
      <c r="R570" s="588"/>
      <c r="S570" s="590"/>
      <c r="T570" s="66"/>
      <c r="U570" s="2"/>
      <c r="V570" s="43"/>
    </row>
    <row r="571" spans="2:22" s="1" customFormat="1" x14ac:dyDescent="0.3">
      <c r="B571" s="325"/>
      <c r="C571" s="60"/>
      <c r="D571" s="258" t="s">
        <v>1331</v>
      </c>
      <c r="E571" s="1161"/>
      <c r="F571" s="518"/>
      <c r="G571" s="1161"/>
      <c r="H571" s="518"/>
      <c r="I571" s="1161"/>
      <c r="J571" s="518"/>
      <c r="K571" s="1161"/>
      <c r="L571" s="517"/>
      <c r="M571" s="1161"/>
      <c r="N571" s="517"/>
      <c r="O571" s="1161"/>
      <c r="P571" s="518"/>
      <c r="Q571" s="1161"/>
      <c r="R571" s="518"/>
      <c r="S571" s="519"/>
      <c r="T571" s="66"/>
      <c r="U571" s="2"/>
      <c r="V571" s="43"/>
    </row>
    <row r="572" spans="2:22" s="1" customFormat="1" x14ac:dyDescent="0.3">
      <c r="B572" s="325"/>
      <c r="C572" s="60"/>
      <c r="D572" s="146" t="s">
        <v>155</v>
      </c>
      <c r="E572" s="1161">
        <v>1.82</v>
      </c>
      <c r="F572" s="518" t="s">
        <v>185</v>
      </c>
      <c r="G572" s="1161">
        <v>0.48</v>
      </c>
      <c r="H572" s="518" t="s">
        <v>185</v>
      </c>
      <c r="I572" s="1161"/>
      <c r="J572" s="518"/>
      <c r="K572" s="1161">
        <v>20</v>
      </c>
      <c r="L572" s="517"/>
      <c r="M572" s="1161">
        <v>4</v>
      </c>
      <c r="N572" s="517"/>
      <c r="O572" s="1161"/>
      <c r="P572" s="518" t="s">
        <v>114</v>
      </c>
      <c r="Q572" s="1161">
        <f>K572*G572*E572*M572</f>
        <v>69.888000000000005</v>
      </c>
      <c r="R572" s="518"/>
      <c r="S572" s="519"/>
      <c r="T572" s="66"/>
      <c r="U572" s="2"/>
      <c r="V572" s="43"/>
    </row>
    <row r="573" spans="2:22" s="1" customFormat="1" x14ac:dyDescent="0.3">
      <c r="B573" s="325"/>
      <c r="C573" s="60"/>
      <c r="D573" s="146" t="s">
        <v>158</v>
      </c>
      <c r="E573" s="1161">
        <v>4</v>
      </c>
      <c r="F573" s="518" t="s">
        <v>185</v>
      </c>
      <c r="G573" s="1161">
        <v>2</v>
      </c>
      <c r="H573" s="518" t="s">
        <v>185</v>
      </c>
      <c r="I573" s="1161"/>
      <c r="J573" s="518"/>
      <c r="K573" s="1161">
        <v>1</v>
      </c>
      <c r="L573" s="517"/>
      <c r="M573" s="1161"/>
      <c r="N573" s="517"/>
      <c r="O573" s="1161"/>
      <c r="P573" s="518" t="s">
        <v>114</v>
      </c>
      <c r="Q573" s="1161">
        <f>K573*G573*E573</f>
        <v>8</v>
      </c>
      <c r="R573" s="518"/>
      <c r="S573" s="519"/>
      <c r="T573" s="66"/>
      <c r="U573" s="2"/>
      <c r="V573" s="43"/>
    </row>
    <row r="574" spans="2:22" s="1" customFormat="1" x14ac:dyDescent="0.3">
      <c r="B574" s="325"/>
      <c r="C574" s="60"/>
      <c r="D574" s="326" t="s">
        <v>271</v>
      </c>
      <c r="E574" s="1161">
        <v>4</v>
      </c>
      <c r="F574" s="518" t="s">
        <v>185</v>
      </c>
      <c r="G574" s="1161">
        <v>1.62</v>
      </c>
      <c r="H574" s="518" t="s">
        <v>185</v>
      </c>
      <c r="I574" s="1161"/>
      <c r="J574" s="518"/>
      <c r="K574" s="1161">
        <v>1</v>
      </c>
      <c r="L574" s="517"/>
      <c r="M574" s="1161"/>
      <c r="N574" s="517"/>
      <c r="O574" s="1161"/>
      <c r="P574" s="518" t="s">
        <v>114</v>
      </c>
      <c r="Q574" s="1161">
        <f>K574*G574*E574</f>
        <v>6.48</v>
      </c>
      <c r="R574" s="558"/>
      <c r="S574" s="620"/>
      <c r="T574" s="66"/>
      <c r="U574" s="2"/>
      <c r="V574" s="43"/>
    </row>
    <row r="575" spans="2:22" s="1" customFormat="1" x14ac:dyDescent="0.3">
      <c r="B575" s="325"/>
      <c r="C575" s="60"/>
      <c r="D575" s="645" t="s">
        <v>244</v>
      </c>
      <c r="E575" s="619"/>
      <c r="F575" s="558"/>
      <c r="G575" s="619"/>
      <c r="H575" s="558"/>
      <c r="I575" s="619"/>
      <c r="J575" s="558"/>
      <c r="K575" s="619"/>
      <c r="L575" s="526"/>
      <c r="M575" s="619"/>
      <c r="N575" s="526"/>
      <c r="O575" s="619"/>
      <c r="P575" s="558"/>
      <c r="Q575" s="619"/>
      <c r="R575" s="558"/>
      <c r="S575" s="620"/>
      <c r="T575" s="66"/>
      <c r="U575" s="2"/>
      <c r="V575" s="43"/>
    </row>
    <row r="576" spans="2:22" s="1" customFormat="1" x14ac:dyDescent="0.3">
      <c r="B576" s="325"/>
      <c r="C576" s="60"/>
      <c r="D576" s="326" t="s">
        <v>730</v>
      </c>
      <c r="E576" s="328">
        <v>0.4</v>
      </c>
      <c r="F576" s="518" t="s">
        <v>185</v>
      </c>
      <c r="G576" s="328">
        <v>0.4</v>
      </c>
      <c r="H576" s="518" t="s">
        <v>185</v>
      </c>
      <c r="I576" s="1161"/>
      <c r="J576" s="518"/>
      <c r="K576" s="1161">
        <v>8</v>
      </c>
      <c r="L576" s="518"/>
      <c r="M576" s="1161"/>
      <c r="N576" s="518"/>
      <c r="O576" s="1161"/>
      <c r="P576" s="518" t="s">
        <v>114</v>
      </c>
      <c r="Q576" s="1161">
        <f>K576*G576*E576</f>
        <v>1.2800000000000002</v>
      </c>
      <c r="R576" s="558"/>
      <c r="S576" s="620"/>
      <c r="T576" s="66"/>
      <c r="U576" s="2"/>
      <c r="V576" s="43"/>
    </row>
    <row r="577" spans="2:22" s="1" customFormat="1" x14ac:dyDescent="0.3">
      <c r="B577" s="325"/>
      <c r="C577" s="17"/>
      <c r="D577" s="143"/>
      <c r="E577" s="330"/>
      <c r="F577" s="512"/>
      <c r="G577" s="330"/>
      <c r="H577" s="512"/>
      <c r="I577" s="330"/>
      <c r="J577" s="512"/>
      <c r="K577" s="330"/>
      <c r="L577" s="512"/>
      <c r="M577" s="330"/>
      <c r="N577" s="512"/>
      <c r="O577" s="330"/>
      <c r="P577" s="512"/>
      <c r="Q577" s="330"/>
      <c r="R577" s="512"/>
      <c r="S577" s="559"/>
      <c r="T577" s="66"/>
      <c r="U577" s="2"/>
      <c r="V577" s="43"/>
    </row>
    <row r="578" spans="2:22" s="1" customFormat="1" ht="17.25" thickBot="1" x14ac:dyDescent="0.35">
      <c r="B578" s="325"/>
      <c r="C578" s="17"/>
      <c r="D578" s="3089" t="s">
        <v>164</v>
      </c>
      <c r="E578" s="3090"/>
      <c r="F578" s="3090"/>
      <c r="G578" s="3090"/>
      <c r="H578" s="3090"/>
      <c r="I578" s="3090"/>
      <c r="J578" s="622"/>
      <c r="K578" s="190"/>
      <c r="L578" s="622"/>
      <c r="M578" s="190"/>
      <c r="N578" s="622"/>
      <c r="O578" s="190"/>
      <c r="P578" s="622"/>
      <c r="Q578" s="644">
        <f>SUM(Q568:Q574)-SUM(Q576:Q576)</f>
        <v>678.928</v>
      </c>
      <c r="R578" s="622"/>
      <c r="S578" s="247"/>
      <c r="T578" s="66"/>
      <c r="U578" s="2"/>
      <c r="V578" s="43"/>
    </row>
    <row r="579" spans="2:22" x14ac:dyDescent="0.3">
      <c r="B579" s="473"/>
      <c r="C579" s="465"/>
      <c r="D579" s="453"/>
      <c r="E579" s="455"/>
      <c r="F579" s="485"/>
      <c r="G579" s="455"/>
      <c r="H579" s="485"/>
      <c r="I579" s="455"/>
      <c r="J579" s="485"/>
      <c r="K579" s="477"/>
      <c r="L579" s="492"/>
      <c r="M579" s="477"/>
      <c r="N579" s="492"/>
      <c r="O579" s="477"/>
      <c r="P579" s="492"/>
      <c r="Q579" s="477"/>
      <c r="R579" s="492"/>
      <c r="S579" s="479"/>
    </row>
    <row r="580" spans="2:22" s="1" customFormat="1" ht="17.25" thickBot="1" x14ac:dyDescent="0.35">
      <c r="B580" s="325">
        <f>RAB!B112</f>
        <v>2</v>
      </c>
      <c r="C580" s="17" t="str">
        <f>RAB!C112</f>
        <v xml:space="preserve">Lantai Keramik Unpolish Uk. (60 x 60) Cm </v>
      </c>
      <c r="D580" s="38"/>
      <c r="E580" s="208"/>
      <c r="F580" s="551"/>
      <c r="G580" s="208"/>
      <c r="H580" s="551"/>
      <c r="I580" s="208"/>
      <c r="J580" s="551"/>
      <c r="K580" s="137"/>
      <c r="L580" s="642"/>
      <c r="M580" s="137"/>
      <c r="N580" s="642"/>
      <c r="O580" s="137"/>
      <c r="P580" s="642"/>
      <c r="Q580" s="137"/>
      <c r="R580" s="642"/>
      <c r="S580" s="241"/>
      <c r="T580" s="18">
        <f>ROUNDDOWN(Q585,2)</f>
        <v>66</v>
      </c>
      <c r="U580" s="2" t="s">
        <v>2</v>
      </c>
      <c r="V580" s="43"/>
    </row>
    <row r="581" spans="2:22" s="1" customFormat="1" x14ac:dyDescent="0.3">
      <c r="B581" s="325"/>
      <c r="C581" s="17"/>
      <c r="D581" s="8" t="s">
        <v>95</v>
      </c>
      <c r="E581" s="154" t="s">
        <v>150</v>
      </c>
      <c r="F581" s="493"/>
      <c r="G581" s="154" t="s">
        <v>151</v>
      </c>
      <c r="H581" s="493"/>
      <c r="I581" s="154" t="s">
        <v>152</v>
      </c>
      <c r="J581" s="493"/>
      <c r="K581" s="154" t="s">
        <v>153</v>
      </c>
      <c r="L581" s="494"/>
      <c r="M581" s="163" t="s">
        <v>32</v>
      </c>
      <c r="N581" s="494"/>
      <c r="O581" s="201" t="s">
        <v>163</v>
      </c>
      <c r="P581" s="494"/>
      <c r="Q581" s="202" t="s">
        <v>151</v>
      </c>
      <c r="R581" s="494"/>
      <c r="S581" s="226" t="s">
        <v>143</v>
      </c>
      <c r="T581" s="66"/>
      <c r="U581" s="2"/>
      <c r="V581" s="43"/>
    </row>
    <row r="582" spans="2:22" s="1" customFormat="1" x14ac:dyDescent="0.3">
      <c r="B582" s="325"/>
      <c r="C582" s="17"/>
      <c r="D582" s="643" t="s">
        <v>741</v>
      </c>
      <c r="E582" s="331">
        <v>12</v>
      </c>
      <c r="F582" s="565" t="s">
        <v>185</v>
      </c>
      <c r="G582" s="331">
        <v>3.5</v>
      </c>
      <c r="H582" s="565"/>
      <c r="I582" s="331"/>
      <c r="J582" s="565"/>
      <c r="K582" s="331"/>
      <c r="L582" s="575"/>
      <c r="M582" s="331"/>
      <c r="N582" s="575"/>
      <c r="O582" s="331"/>
      <c r="P582" s="565" t="s">
        <v>114</v>
      </c>
      <c r="Q582" s="331">
        <f>G582*E582</f>
        <v>42</v>
      </c>
      <c r="R582" s="565"/>
      <c r="S582" s="577"/>
      <c r="T582" s="66"/>
      <c r="U582" s="2"/>
      <c r="V582" s="43"/>
    </row>
    <row r="583" spans="2:22" s="1" customFormat="1" x14ac:dyDescent="0.3">
      <c r="B583" s="325"/>
      <c r="C583" s="17"/>
      <c r="D583" s="146" t="s">
        <v>1338</v>
      </c>
      <c r="E583" s="1161">
        <f>E582</f>
        <v>12</v>
      </c>
      <c r="F583" s="517" t="s">
        <v>185</v>
      </c>
      <c r="G583" s="1161">
        <v>2</v>
      </c>
      <c r="H583" s="517"/>
      <c r="I583" s="1161"/>
      <c r="J583" s="517"/>
      <c r="K583" s="1161"/>
      <c r="L583" s="517"/>
      <c r="M583" s="1161"/>
      <c r="N583" s="517"/>
      <c r="O583" s="1161"/>
      <c r="P583" s="517" t="s">
        <v>114</v>
      </c>
      <c r="Q583" s="1161">
        <f>G583*E583</f>
        <v>24</v>
      </c>
      <c r="R583" s="517"/>
      <c r="S583" s="519"/>
      <c r="T583" s="66"/>
      <c r="U583" s="2"/>
      <c r="V583" s="43"/>
    </row>
    <row r="584" spans="2:22" s="1" customFormat="1" x14ac:dyDescent="0.3">
      <c r="B584" s="325"/>
      <c r="C584" s="17"/>
      <c r="D584" s="143"/>
      <c r="E584" s="330"/>
      <c r="F584" s="512"/>
      <c r="G584" s="330"/>
      <c r="H584" s="512"/>
      <c r="I584" s="330"/>
      <c r="J584" s="512"/>
      <c r="K584" s="330"/>
      <c r="L584" s="512"/>
      <c r="M584" s="330"/>
      <c r="N584" s="512"/>
      <c r="O584" s="330"/>
      <c r="P584" s="512"/>
      <c r="Q584" s="330"/>
      <c r="R584" s="512"/>
      <c r="S584" s="559"/>
      <c r="T584" s="66"/>
      <c r="U584" s="2"/>
      <c r="V584" s="43"/>
    </row>
    <row r="585" spans="2:22" s="1" customFormat="1" ht="17.25" thickBot="1" x14ac:dyDescent="0.35">
      <c r="B585" s="325"/>
      <c r="C585" s="17"/>
      <c r="D585" s="3089" t="s">
        <v>164</v>
      </c>
      <c r="E585" s="3090"/>
      <c r="F585" s="3090"/>
      <c r="G585" s="3090"/>
      <c r="H585" s="3090"/>
      <c r="I585" s="3090"/>
      <c r="J585" s="622"/>
      <c r="K585" s="190"/>
      <c r="L585" s="622"/>
      <c r="M585" s="190"/>
      <c r="N585" s="622"/>
      <c r="O585" s="190"/>
      <c r="P585" s="622"/>
      <c r="Q585" s="644">
        <f>SUM(Q582:Q584)</f>
        <v>66</v>
      </c>
      <c r="R585" s="622"/>
      <c r="S585" s="247"/>
      <c r="T585" s="66"/>
      <c r="U585" s="2"/>
      <c r="V585" s="43"/>
    </row>
    <row r="586" spans="2:22" x14ac:dyDescent="0.3">
      <c r="B586" s="473"/>
      <c r="C586" s="465"/>
      <c r="D586" s="453"/>
      <c r="E586" s="455"/>
      <c r="F586" s="485"/>
      <c r="G586" s="455"/>
      <c r="H586" s="485"/>
      <c r="I586" s="455"/>
      <c r="J586" s="485"/>
      <c r="K586" s="477"/>
      <c r="L586" s="492"/>
      <c r="M586" s="477"/>
      <c r="N586" s="492"/>
      <c r="O586" s="477"/>
      <c r="P586" s="492"/>
      <c r="Q586" s="477"/>
      <c r="R586" s="492"/>
      <c r="S586" s="479"/>
    </row>
    <row r="587" spans="2:22" s="1" customFormat="1" ht="17.25" thickBot="1" x14ac:dyDescent="0.35">
      <c r="B587" s="325">
        <f>RAB!B113</f>
        <v>3</v>
      </c>
      <c r="C587" s="17" t="str">
        <f>RAB!C113</f>
        <v xml:space="preserve">Dinding Kramik Uk. (40 x 40) Cm polished </v>
      </c>
      <c r="D587" s="38"/>
      <c r="E587" s="208"/>
      <c r="F587" s="551"/>
      <c r="G587" s="208"/>
      <c r="H587" s="551"/>
      <c r="I587" s="208"/>
      <c r="J587" s="551"/>
      <c r="K587" s="137"/>
      <c r="L587" s="642"/>
      <c r="M587" s="137"/>
      <c r="N587" s="642"/>
      <c r="O587" s="137"/>
      <c r="P587" s="642"/>
      <c r="Q587" s="137"/>
      <c r="R587" s="642"/>
      <c r="S587" s="241"/>
      <c r="T587" s="18">
        <f>ROUNDDOWN(Q591,2)</f>
        <v>59.2</v>
      </c>
      <c r="U587" s="2" t="s">
        <v>2</v>
      </c>
      <c r="V587" s="43"/>
    </row>
    <row r="588" spans="2:22" s="1" customFormat="1" x14ac:dyDescent="0.3">
      <c r="B588" s="325"/>
      <c r="C588" s="17"/>
      <c r="D588" s="8" t="s">
        <v>95</v>
      </c>
      <c r="E588" s="154" t="s">
        <v>150</v>
      </c>
      <c r="F588" s="493"/>
      <c r="G588" s="154" t="s">
        <v>151</v>
      </c>
      <c r="H588" s="493"/>
      <c r="I588" s="154" t="s">
        <v>152</v>
      </c>
      <c r="J588" s="493"/>
      <c r="K588" s="154" t="s">
        <v>153</v>
      </c>
      <c r="L588" s="494"/>
      <c r="M588" s="163" t="s">
        <v>32</v>
      </c>
      <c r="N588" s="494"/>
      <c r="O588" s="201" t="s">
        <v>163</v>
      </c>
      <c r="P588" s="494"/>
      <c r="Q588" s="202" t="s">
        <v>151</v>
      </c>
      <c r="R588" s="494"/>
      <c r="S588" s="226" t="s">
        <v>143</v>
      </c>
      <c r="T588" s="66"/>
      <c r="U588" s="2"/>
      <c r="V588" s="43"/>
    </row>
    <row r="589" spans="2:22" s="1" customFormat="1" x14ac:dyDescent="0.3">
      <c r="B589" s="325"/>
      <c r="C589" s="17"/>
      <c r="D589" s="643" t="s">
        <v>1340</v>
      </c>
      <c r="E589" s="331">
        <v>7.4</v>
      </c>
      <c r="F589" s="565" t="s">
        <v>185</v>
      </c>
      <c r="G589" s="331"/>
      <c r="H589" s="565"/>
      <c r="I589" s="331">
        <v>2</v>
      </c>
      <c r="J589" s="565"/>
      <c r="K589" s="331">
        <v>4</v>
      </c>
      <c r="L589" s="575"/>
      <c r="M589" s="331"/>
      <c r="N589" s="575"/>
      <c r="O589" s="331"/>
      <c r="P589" s="565" t="s">
        <v>114</v>
      </c>
      <c r="Q589" s="331">
        <f>I589*E589*K589</f>
        <v>59.2</v>
      </c>
      <c r="R589" s="565"/>
      <c r="S589" s="577"/>
      <c r="T589" s="66"/>
      <c r="U589" s="2"/>
      <c r="V589" s="43"/>
    </row>
    <row r="590" spans="2:22" s="1" customFormat="1" x14ac:dyDescent="0.3">
      <c r="B590" s="325"/>
      <c r="C590" s="17"/>
      <c r="D590" s="143"/>
      <c r="E590" s="330"/>
      <c r="F590" s="512"/>
      <c r="G590" s="330"/>
      <c r="H590" s="512"/>
      <c r="I590" s="330"/>
      <c r="J590" s="512"/>
      <c r="K590" s="330"/>
      <c r="L590" s="512"/>
      <c r="M590" s="330"/>
      <c r="N590" s="512"/>
      <c r="O590" s="330"/>
      <c r="P590" s="512"/>
      <c r="Q590" s="330"/>
      <c r="R590" s="512"/>
      <c r="S590" s="559"/>
      <c r="T590" s="66"/>
      <c r="U590" s="2"/>
      <c r="V590" s="43"/>
    </row>
    <row r="591" spans="2:22" s="1" customFormat="1" ht="17.25" thickBot="1" x14ac:dyDescent="0.35">
      <c r="B591" s="325"/>
      <c r="C591" s="17"/>
      <c r="D591" s="3089" t="s">
        <v>164</v>
      </c>
      <c r="E591" s="3090"/>
      <c r="F591" s="3090"/>
      <c r="G591" s="3090"/>
      <c r="H591" s="3090"/>
      <c r="I591" s="3090"/>
      <c r="J591" s="622"/>
      <c r="K591" s="190"/>
      <c r="L591" s="622"/>
      <c r="M591" s="190"/>
      <c r="N591" s="622"/>
      <c r="O591" s="190"/>
      <c r="P591" s="622"/>
      <c r="Q591" s="644">
        <f>SUM(Q589:Q590)</f>
        <v>59.2</v>
      </c>
      <c r="R591" s="622"/>
      <c r="S591" s="247"/>
      <c r="T591" s="66"/>
      <c r="U591" s="2"/>
      <c r="V591" s="43"/>
    </row>
    <row r="592" spans="2:22" s="1" customFormat="1" x14ac:dyDescent="0.3">
      <c r="B592" s="325"/>
      <c r="C592" s="17"/>
      <c r="D592" s="338"/>
      <c r="E592" s="338"/>
      <c r="F592" s="338"/>
      <c r="G592" s="338"/>
      <c r="H592" s="338"/>
      <c r="I592" s="338"/>
      <c r="J592" s="638"/>
      <c r="K592" s="339"/>
      <c r="L592" s="638"/>
      <c r="M592" s="339"/>
      <c r="N592" s="638"/>
      <c r="O592" s="339"/>
      <c r="P592" s="638"/>
      <c r="Q592" s="339"/>
      <c r="R592" s="638"/>
      <c r="S592" s="340"/>
      <c r="T592" s="66"/>
      <c r="U592" s="2"/>
      <c r="V592" s="43"/>
    </row>
    <row r="593" spans="2:22" s="1" customFormat="1" ht="17.25" thickBot="1" x14ac:dyDescent="0.35">
      <c r="B593" s="325">
        <f>RAB!B114</f>
        <v>4</v>
      </c>
      <c r="C593" s="325" t="str">
        <f>RAB!C114</f>
        <v xml:space="preserve">Lantai Kramik Uk. (40 x 40) Cm unpolished </v>
      </c>
      <c r="D593" s="38"/>
      <c r="E593" s="208"/>
      <c r="F593" s="551"/>
      <c r="G593" s="208"/>
      <c r="H593" s="551"/>
      <c r="I593" s="208"/>
      <c r="J593" s="551"/>
      <c r="K593" s="137"/>
      <c r="L593" s="642"/>
      <c r="M593" s="137"/>
      <c r="N593" s="642"/>
      <c r="O593" s="137"/>
      <c r="P593" s="642"/>
      <c r="Q593" s="137"/>
      <c r="R593" s="642"/>
      <c r="S593" s="241"/>
      <c r="T593" s="18">
        <f>ROUNDDOWN(Q597,2)</f>
        <v>13.6</v>
      </c>
      <c r="U593" s="2" t="s">
        <v>2</v>
      </c>
      <c r="V593" s="43"/>
    </row>
    <row r="594" spans="2:22" s="1" customFormat="1" x14ac:dyDescent="0.3">
      <c r="B594" s="325"/>
      <c r="C594" s="17"/>
      <c r="D594" s="8" t="s">
        <v>95</v>
      </c>
      <c r="E594" s="154" t="s">
        <v>150</v>
      </c>
      <c r="F594" s="493"/>
      <c r="G594" s="154" t="s">
        <v>151</v>
      </c>
      <c r="H594" s="493"/>
      <c r="I594" s="154" t="s">
        <v>152</v>
      </c>
      <c r="J594" s="493"/>
      <c r="K594" s="154" t="s">
        <v>153</v>
      </c>
      <c r="L594" s="494"/>
      <c r="M594" s="163" t="s">
        <v>32</v>
      </c>
      <c r="N594" s="494"/>
      <c r="O594" s="201" t="s">
        <v>163</v>
      </c>
      <c r="P594" s="494"/>
      <c r="Q594" s="202" t="s">
        <v>151</v>
      </c>
      <c r="R594" s="494"/>
      <c r="S594" s="226" t="s">
        <v>143</v>
      </c>
      <c r="T594" s="66"/>
      <c r="U594" s="2"/>
      <c r="V594" s="43"/>
    </row>
    <row r="595" spans="2:22" s="1" customFormat="1" x14ac:dyDescent="0.3">
      <c r="B595" s="325"/>
      <c r="C595" s="17"/>
      <c r="D595" s="643" t="s">
        <v>1340</v>
      </c>
      <c r="E595" s="331">
        <v>3.4</v>
      </c>
      <c r="F595" s="565" t="s">
        <v>185</v>
      </c>
      <c r="G595" s="331"/>
      <c r="H595" s="565"/>
      <c r="I595" s="331">
        <v>1</v>
      </c>
      <c r="J595" s="565"/>
      <c r="K595" s="331">
        <v>4</v>
      </c>
      <c r="L595" s="575"/>
      <c r="M595" s="331"/>
      <c r="N595" s="575"/>
      <c r="O595" s="331"/>
      <c r="P595" s="565" t="s">
        <v>114</v>
      </c>
      <c r="Q595" s="331">
        <f>I595*E595*K595</f>
        <v>13.6</v>
      </c>
      <c r="R595" s="565"/>
      <c r="S595" s="577"/>
      <c r="T595" s="66"/>
      <c r="U595" s="2"/>
      <c r="V595" s="43"/>
    </row>
    <row r="596" spans="2:22" s="1" customFormat="1" x14ac:dyDescent="0.3">
      <c r="B596" s="325"/>
      <c r="C596" s="17"/>
      <c r="D596" s="143"/>
      <c r="E596" s="330"/>
      <c r="F596" s="512"/>
      <c r="G596" s="330"/>
      <c r="H596" s="512"/>
      <c r="I596" s="330"/>
      <c r="J596" s="512"/>
      <c r="K596" s="330"/>
      <c r="L596" s="512"/>
      <c r="M596" s="330"/>
      <c r="N596" s="512"/>
      <c r="O596" s="330"/>
      <c r="P596" s="512"/>
      <c r="Q596" s="330"/>
      <c r="R596" s="512"/>
      <c r="S596" s="559"/>
      <c r="T596" s="66"/>
      <c r="U596" s="2"/>
      <c r="V596" s="43"/>
    </row>
    <row r="597" spans="2:22" s="1" customFormat="1" ht="17.25" thickBot="1" x14ac:dyDescent="0.35">
      <c r="B597" s="325"/>
      <c r="C597" s="17"/>
      <c r="D597" s="3089" t="s">
        <v>164</v>
      </c>
      <c r="E597" s="3090"/>
      <c r="F597" s="3090"/>
      <c r="G597" s="3090"/>
      <c r="H597" s="3090"/>
      <c r="I597" s="3090"/>
      <c r="J597" s="622"/>
      <c r="K597" s="190"/>
      <c r="L597" s="622"/>
      <c r="M597" s="190"/>
      <c r="N597" s="622"/>
      <c r="O597" s="190"/>
      <c r="P597" s="622"/>
      <c r="Q597" s="644">
        <f>SUM(Q595:Q596)</f>
        <v>13.6</v>
      </c>
      <c r="R597" s="622"/>
      <c r="S597" s="247"/>
      <c r="T597" s="66"/>
      <c r="U597" s="2"/>
      <c r="V597" s="43"/>
    </row>
    <row r="598" spans="2:22" x14ac:dyDescent="0.3">
      <c r="B598" s="473"/>
      <c r="C598" s="465"/>
      <c r="D598" s="453"/>
      <c r="E598" s="455"/>
      <c r="F598" s="485"/>
      <c r="G598" s="455"/>
      <c r="H598" s="485"/>
      <c r="I598" s="455"/>
      <c r="J598" s="485"/>
      <c r="K598" s="477"/>
      <c r="L598" s="492"/>
      <c r="M598" s="477"/>
      <c r="N598" s="492"/>
      <c r="O598" s="477"/>
      <c r="P598" s="492"/>
      <c r="Q598" s="477"/>
      <c r="R598" s="492"/>
      <c r="S598" s="479"/>
    </row>
    <row r="599" spans="2:22" s="1" customFormat="1" ht="17.25" thickBot="1" x14ac:dyDescent="0.35">
      <c r="B599" s="325">
        <f>RAB!B115</f>
        <v>5</v>
      </c>
      <c r="C599" s="17" t="str">
        <f>RAB!C115</f>
        <v>Anti Slip Lantai Uk. 7,5 x 60 cm</v>
      </c>
      <c r="D599" s="38"/>
      <c r="E599" s="208"/>
      <c r="F599" s="551"/>
      <c r="G599" s="208"/>
      <c r="H599" s="551"/>
      <c r="I599" s="208"/>
      <c r="J599" s="551"/>
      <c r="K599" s="137"/>
      <c r="L599" s="642"/>
      <c r="M599" s="137"/>
      <c r="N599" s="642"/>
      <c r="O599" s="137"/>
      <c r="P599" s="642"/>
      <c r="Q599" s="137"/>
      <c r="R599" s="642"/>
      <c r="S599" s="241"/>
      <c r="T599" s="18">
        <f>ROUNDDOWN(Q604,2)</f>
        <v>145.6</v>
      </c>
      <c r="U599" s="2" t="s">
        <v>27</v>
      </c>
      <c r="V599" s="43"/>
    </row>
    <row r="600" spans="2:22" s="1" customFormat="1" x14ac:dyDescent="0.3">
      <c r="B600" s="325"/>
      <c r="C600" s="17"/>
      <c r="D600" s="8" t="s">
        <v>95</v>
      </c>
      <c r="E600" s="154" t="s">
        <v>150</v>
      </c>
      <c r="F600" s="493"/>
      <c r="G600" s="154" t="s">
        <v>151</v>
      </c>
      <c r="H600" s="493"/>
      <c r="I600" s="154" t="s">
        <v>152</v>
      </c>
      <c r="J600" s="493"/>
      <c r="K600" s="154" t="s">
        <v>153</v>
      </c>
      <c r="L600" s="494"/>
      <c r="M600" s="163" t="s">
        <v>32</v>
      </c>
      <c r="N600" s="494"/>
      <c r="O600" s="201" t="s">
        <v>163</v>
      </c>
      <c r="P600" s="494"/>
      <c r="Q600" s="202" t="s">
        <v>151</v>
      </c>
      <c r="R600" s="494"/>
      <c r="S600" s="226" t="s">
        <v>143</v>
      </c>
      <c r="T600" s="66"/>
      <c r="U600" s="2"/>
      <c r="V600" s="43"/>
    </row>
    <row r="601" spans="2:22" s="1" customFormat="1" x14ac:dyDescent="0.3">
      <c r="B601" s="325"/>
      <c r="C601" s="17"/>
      <c r="D601" s="138" t="str">
        <f>C389</f>
        <v xml:space="preserve">Tangga </v>
      </c>
      <c r="E601" s="1161"/>
      <c r="F601" s="517"/>
      <c r="G601" s="1161"/>
      <c r="H601" s="517"/>
      <c r="I601" s="1161"/>
      <c r="J601" s="517"/>
      <c r="K601" s="1161"/>
      <c r="L601" s="517"/>
      <c r="M601" s="1161"/>
      <c r="N601" s="517"/>
      <c r="O601" s="1161"/>
      <c r="P601" s="517"/>
      <c r="Q601" s="1161"/>
      <c r="R601" s="517"/>
      <c r="S601" s="519"/>
      <c r="T601" s="66"/>
      <c r="U601" s="2"/>
      <c r="V601" s="43"/>
    </row>
    <row r="602" spans="2:22" s="1" customFormat="1" x14ac:dyDescent="0.3">
      <c r="B602" s="325"/>
      <c r="C602" s="17"/>
      <c r="D602" s="140" t="s">
        <v>317</v>
      </c>
      <c r="E602" s="1161">
        <f>E392</f>
        <v>1.82</v>
      </c>
      <c r="F602" s="518" t="s">
        <v>185</v>
      </c>
      <c r="G602" s="1161"/>
      <c r="H602" s="518"/>
      <c r="I602" s="1161"/>
      <c r="J602" s="518"/>
      <c r="K602" s="1161">
        <f>K392</f>
        <v>20</v>
      </c>
      <c r="L602" s="518" t="s">
        <v>185</v>
      </c>
      <c r="M602" s="1161">
        <v>4</v>
      </c>
      <c r="N602" s="517"/>
      <c r="O602" s="1161"/>
      <c r="P602" s="518" t="s">
        <v>114</v>
      </c>
      <c r="Q602" s="1161">
        <f>E602*K602*M602</f>
        <v>145.6</v>
      </c>
      <c r="R602" s="517"/>
      <c r="S602" s="519"/>
      <c r="T602" s="66"/>
      <c r="U602" s="2"/>
      <c r="V602" s="43"/>
    </row>
    <row r="603" spans="2:22" s="1" customFormat="1" x14ac:dyDescent="0.3">
      <c r="B603" s="325"/>
      <c r="C603" s="17"/>
      <c r="D603" s="143"/>
      <c r="E603" s="330"/>
      <c r="F603" s="512"/>
      <c r="G603" s="330"/>
      <c r="H603" s="512"/>
      <c r="I603" s="330"/>
      <c r="J603" s="512"/>
      <c r="K603" s="330"/>
      <c r="L603" s="512"/>
      <c r="M603" s="330"/>
      <c r="N603" s="512"/>
      <c r="O603" s="330"/>
      <c r="P603" s="512"/>
      <c r="Q603" s="330"/>
      <c r="R603" s="512"/>
      <c r="S603" s="559"/>
      <c r="T603" s="66"/>
      <c r="U603" s="2"/>
      <c r="V603" s="43"/>
    </row>
    <row r="604" spans="2:22" s="1" customFormat="1" ht="17.25" thickBot="1" x14ac:dyDescent="0.35">
      <c r="B604" s="325"/>
      <c r="C604" s="17"/>
      <c r="D604" s="1158" t="s">
        <v>164</v>
      </c>
      <c r="E604" s="190"/>
      <c r="F604" s="622"/>
      <c r="G604" s="190"/>
      <c r="H604" s="622"/>
      <c r="I604" s="190"/>
      <c r="J604" s="622"/>
      <c r="K604" s="190"/>
      <c r="L604" s="622"/>
      <c r="M604" s="190"/>
      <c r="N604" s="622"/>
      <c r="O604" s="190"/>
      <c r="P604" s="622"/>
      <c r="Q604" s="644">
        <f>SUM(Q601:Q602)</f>
        <v>145.6</v>
      </c>
      <c r="R604" s="622"/>
      <c r="S604" s="247"/>
      <c r="T604" s="66"/>
      <c r="U604" s="2"/>
      <c r="V604" s="43"/>
    </row>
    <row r="605" spans="2:22" x14ac:dyDescent="0.3">
      <c r="B605" s="473"/>
      <c r="C605" s="465"/>
      <c r="D605" s="453"/>
      <c r="E605" s="455"/>
      <c r="F605" s="485"/>
      <c r="G605" s="455"/>
      <c r="H605" s="485"/>
      <c r="I605" s="455"/>
      <c r="J605" s="485"/>
      <c r="K605" s="477"/>
      <c r="L605" s="492"/>
      <c r="M605" s="477"/>
      <c r="N605" s="492"/>
      <c r="O605" s="477"/>
      <c r="P605" s="492"/>
      <c r="Q605" s="477"/>
      <c r="R605" s="492"/>
      <c r="S605" s="479"/>
      <c r="T605" s="474"/>
    </row>
    <row r="606" spans="2:22" s="1" customFormat="1" x14ac:dyDescent="0.3">
      <c r="B606" s="1179" t="str">
        <f>RAB!B118</f>
        <v>VI</v>
      </c>
      <c r="C606" s="134" t="str">
        <f>RAB!C118</f>
        <v>PEKERJAAN PLAFON</v>
      </c>
      <c r="E606" s="153"/>
      <c r="F606" s="480"/>
      <c r="G606" s="153"/>
      <c r="H606" s="480"/>
      <c r="I606" s="153"/>
      <c r="J606" s="480"/>
      <c r="K606" s="153"/>
      <c r="L606" s="480"/>
      <c r="M606" s="162"/>
      <c r="N606" s="480"/>
      <c r="O606" s="153"/>
      <c r="P606" s="480"/>
      <c r="Q606" s="200"/>
      <c r="R606" s="480"/>
      <c r="S606" s="224"/>
      <c r="T606" s="134"/>
      <c r="U606" s="2"/>
      <c r="V606" s="43"/>
    </row>
    <row r="607" spans="2:22" s="1" customFormat="1" ht="17.25" thickBot="1" x14ac:dyDescent="0.35">
      <c r="B607" s="36">
        <f>RAB!B119</f>
        <v>1</v>
      </c>
      <c r="C607" s="325" t="str">
        <f>RAB!C119</f>
        <v xml:space="preserve">Pemasangan Rangka Furing Plafond </v>
      </c>
      <c r="E607" s="153"/>
      <c r="F607" s="480"/>
      <c r="G607" s="153"/>
      <c r="H607" s="480"/>
      <c r="I607" s="153"/>
      <c r="J607" s="480"/>
      <c r="K607" s="153"/>
      <c r="L607" s="480"/>
      <c r="M607" s="162"/>
      <c r="N607" s="480"/>
      <c r="O607" s="153"/>
      <c r="P607" s="480"/>
      <c r="Q607" s="200"/>
      <c r="R607" s="480"/>
      <c r="S607" s="224"/>
      <c r="T607" s="18">
        <f>ROUNDDOWN(Q615,2)</f>
        <v>542.55999999999995</v>
      </c>
      <c r="U607" s="2" t="s">
        <v>2</v>
      </c>
      <c r="V607" s="43"/>
    </row>
    <row r="608" spans="2:22" s="1" customFormat="1" x14ac:dyDescent="0.3">
      <c r="B608" s="325"/>
      <c r="C608" s="325"/>
      <c r="D608" s="8" t="s">
        <v>95</v>
      </c>
      <c r="E608" s="154" t="s">
        <v>150</v>
      </c>
      <c r="F608" s="493"/>
      <c r="G608" s="154" t="s">
        <v>151</v>
      </c>
      <c r="H608" s="493"/>
      <c r="I608" s="154" t="s">
        <v>152</v>
      </c>
      <c r="J608" s="493"/>
      <c r="K608" s="154" t="s">
        <v>153</v>
      </c>
      <c r="L608" s="494"/>
      <c r="M608" s="163" t="s">
        <v>32</v>
      </c>
      <c r="N608" s="494"/>
      <c r="O608" s="201" t="s">
        <v>163</v>
      </c>
      <c r="P608" s="494"/>
      <c r="Q608" s="202" t="s">
        <v>151</v>
      </c>
      <c r="R608" s="494"/>
      <c r="S608" s="226" t="s">
        <v>143</v>
      </c>
      <c r="T608" s="66"/>
      <c r="U608" s="2"/>
      <c r="V608" s="43"/>
    </row>
    <row r="609" spans="2:22" s="1" customFormat="1" x14ac:dyDescent="0.3">
      <c r="B609" s="325"/>
      <c r="C609" s="60"/>
      <c r="D609" s="643" t="s">
        <v>1336</v>
      </c>
      <c r="E609" s="331"/>
      <c r="F609" s="565"/>
      <c r="G609" s="331">
        <v>92.96</v>
      </c>
      <c r="H609" s="565"/>
      <c r="I609" s="331"/>
      <c r="J609" s="565"/>
      <c r="K609" s="331">
        <v>1</v>
      </c>
      <c r="L609" s="575"/>
      <c r="M609" s="331">
        <v>4</v>
      </c>
      <c r="N609" s="575"/>
      <c r="O609" s="331"/>
      <c r="P609" s="565"/>
      <c r="Q609" s="331">
        <f>G609*K609*M609</f>
        <v>371.84</v>
      </c>
      <c r="R609" s="565"/>
      <c r="S609" s="577"/>
      <c r="T609" s="66"/>
      <c r="U609" s="2"/>
      <c r="V609" s="43"/>
    </row>
    <row r="610" spans="2:22" s="1" customFormat="1" x14ac:dyDescent="0.3">
      <c r="B610" s="325"/>
      <c r="C610" s="60"/>
      <c r="D610" s="324" t="s">
        <v>1337</v>
      </c>
      <c r="E610" s="589"/>
      <c r="F610" s="588"/>
      <c r="G610" s="1161">
        <v>1.5</v>
      </c>
      <c r="H610" s="518"/>
      <c r="I610" s="1161"/>
      <c r="J610" s="518"/>
      <c r="K610" s="1161">
        <v>16</v>
      </c>
      <c r="L610" s="517"/>
      <c r="M610" s="1161">
        <v>4</v>
      </c>
      <c r="N610" s="517"/>
      <c r="O610" s="1161"/>
      <c r="P610" s="518"/>
      <c r="Q610" s="331">
        <f>G610*K610*M610</f>
        <v>96</v>
      </c>
      <c r="R610" s="588"/>
      <c r="S610" s="590"/>
      <c r="T610" s="66"/>
      <c r="U610" s="2"/>
      <c r="V610" s="43"/>
    </row>
    <row r="611" spans="2:22" s="1" customFormat="1" x14ac:dyDescent="0.3">
      <c r="B611" s="325"/>
      <c r="C611" s="60"/>
      <c r="D611" s="324"/>
      <c r="E611" s="589"/>
      <c r="F611" s="588"/>
      <c r="G611" s="1161">
        <v>4</v>
      </c>
      <c r="H611" s="518"/>
      <c r="I611" s="1161"/>
      <c r="J611" s="518"/>
      <c r="K611" s="1161">
        <v>9.5</v>
      </c>
      <c r="L611" s="517"/>
      <c r="M611" s="1161">
        <v>2</v>
      </c>
      <c r="N611" s="517"/>
      <c r="O611" s="1161"/>
      <c r="P611" s="518"/>
      <c r="Q611" s="331">
        <f>G611*K611*M611</f>
        <v>76</v>
      </c>
      <c r="R611" s="588"/>
      <c r="S611" s="590"/>
      <c r="T611" s="66"/>
      <c r="U611" s="2"/>
      <c r="V611" s="43"/>
    </row>
    <row r="612" spans="2:22" s="1" customFormat="1" x14ac:dyDescent="0.3">
      <c r="B612" s="325"/>
      <c r="C612" s="60"/>
      <c r="D612" s="645" t="s">
        <v>244</v>
      </c>
      <c r="E612" s="619"/>
      <c r="F612" s="558"/>
      <c r="G612" s="619"/>
      <c r="H612" s="558"/>
      <c r="I612" s="619"/>
      <c r="J612" s="558"/>
      <c r="K612" s="619"/>
      <c r="L612" s="526"/>
      <c r="M612" s="619"/>
      <c r="N612" s="526"/>
      <c r="O612" s="619"/>
      <c r="P612" s="558"/>
      <c r="Q612" s="619"/>
      <c r="R612" s="558"/>
      <c r="S612" s="620"/>
      <c r="T612" s="66"/>
      <c r="U612" s="2"/>
      <c r="V612" s="43"/>
    </row>
    <row r="613" spans="2:22" s="1" customFormat="1" x14ac:dyDescent="0.3">
      <c r="B613" s="325"/>
      <c r="C613" s="60"/>
      <c r="D613" s="326" t="s">
        <v>730</v>
      </c>
      <c r="E613" s="328">
        <v>0.4</v>
      </c>
      <c r="F613" s="518" t="s">
        <v>185</v>
      </c>
      <c r="G613" s="328">
        <v>0.4</v>
      </c>
      <c r="H613" s="518" t="s">
        <v>185</v>
      </c>
      <c r="I613" s="1161"/>
      <c r="J613" s="518"/>
      <c r="K613" s="1161">
        <v>8</v>
      </c>
      <c r="L613" s="518"/>
      <c r="M613" s="1161"/>
      <c r="N613" s="518"/>
      <c r="O613" s="1161"/>
      <c r="P613" s="518" t="s">
        <v>114</v>
      </c>
      <c r="Q613" s="1161">
        <f>K613*G613*E613</f>
        <v>1.2800000000000002</v>
      </c>
      <c r="R613" s="558"/>
      <c r="S613" s="620"/>
      <c r="T613" s="66"/>
      <c r="U613" s="2"/>
      <c r="V613" s="43"/>
    </row>
    <row r="614" spans="2:22" s="1" customFormat="1" x14ac:dyDescent="0.3">
      <c r="B614" s="325"/>
      <c r="C614" s="325"/>
      <c r="D614" s="143"/>
      <c r="E614" s="170"/>
      <c r="F614" s="630"/>
      <c r="G614" s="170"/>
      <c r="H614" s="630"/>
      <c r="I614" s="170"/>
      <c r="J614" s="630"/>
      <c r="K614" s="170"/>
      <c r="L614" s="630"/>
      <c r="M614" s="170"/>
      <c r="N614" s="630"/>
      <c r="O614" s="170"/>
      <c r="P614" s="630"/>
      <c r="Q614" s="170"/>
      <c r="R614" s="630"/>
      <c r="S614" s="246"/>
      <c r="T614" s="66"/>
      <c r="U614" s="2"/>
      <c r="V614" s="43"/>
    </row>
    <row r="615" spans="2:22" s="1" customFormat="1" ht="17.25" thickBot="1" x14ac:dyDescent="0.35">
      <c r="B615" s="325"/>
      <c r="C615" s="325"/>
      <c r="D615" s="3093" t="s">
        <v>164</v>
      </c>
      <c r="E615" s="3094"/>
      <c r="F615" s="3094"/>
      <c r="G615" s="3094"/>
      <c r="H615" s="3094"/>
      <c r="I615" s="3095"/>
      <c r="J615" s="637"/>
      <c r="K615" s="196"/>
      <c r="L615" s="637"/>
      <c r="M615" s="196"/>
      <c r="N615" s="637"/>
      <c r="O615" s="196"/>
      <c r="P615" s="637"/>
      <c r="Q615" s="579">
        <f>SUM(Q609:Q611)-Q613</f>
        <v>542.55999999999995</v>
      </c>
      <c r="R615" s="637"/>
      <c r="S615" s="253"/>
      <c r="T615" s="66"/>
      <c r="U615" s="2"/>
      <c r="V615" s="43"/>
    </row>
    <row r="616" spans="2:22" x14ac:dyDescent="0.3">
      <c r="B616" s="464"/>
      <c r="C616" s="464"/>
    </row>
    <row r="617" spans="2:22" s="1" customFormat="1" ht="17.25" thickBot="1" x14ac:dyDescent="0.35">
      <c r="B617" s="36">
        <f>RAB!B120</f>
        <v>2</v>
      </c>
      <c r="C617" s="325" t="str">
        <f>RAB!C120</f>
        <v>Pemasangan Plafond Gybsum board tbl. 9 mm</v>
      </c>
      <c r="E617" s="153"/>
      <c r="F617" s="480"/>
      <c r="G617" s="153"/>
      <c r="H617" s="480"/>
      <c r="I617" s="153"/>
      <c r="J617" s="480"/>
      <c r="K617" s="153"/>
      <c r="L617" s="480"/>
      <c r="M617" s="162"/>
      <c r="N617" s="480"/>
      <c r="O617" s="153"/>
      <c r="P617" s="480"/>
      <c r="Q617" s="200"/>
      <c r="R617" s="480"/>
      <c r="S617" s="224"/>
      <c r="T617" s="18">
        <f>ROUNDDOWN(Q621,2)</f>
        <v>542.55999999999995</v>
      </c>
      <c r="U617" s="2" t="s">
        <v>2</v>
      </c>
      <c r="V617" s="43"/>
    </row>
    <row r="618" spans="2:22" s="1" customFormat="1" x14ac:dyDescent="0.3">
      <c r="B618" s="325"/>
      <c r="C618" s="17"/>
      <c r="D618" s="141" t="s">
        <v>95</v>
      </c>
      <c r="E618" s="158" t="s">
        <v>150</v>
      </c>
      <c r="F618" s="641"/>
      <c r="G618" s="158" t="s">
        <v>151</v>
      </c>
      <c r="H618" s="641"/>
      <c r="I618" s="158" t="s">
        <v>152</v>
      </c>
      <c r="J618" s="641"/>
      <c r="K618" s="158" t="s">
        <v>153</v>
      </c>
      <c r="L618" s="641"/>
      <c r="M618" s="167" t="s">
        <v>32</v>
      </c>
      <c r="N618" s="641"/>
      <c r="O618" s="158" t="s">
        <v>163</v>
      </c>
      <c r="P618" s="641"/>
      <c r="Q618" s="222" t="s">
        <v>151</v>
      </c>
      <c r="R618" s="641"/>
      <c r="S618" s="242" t="s">
        <v>143</v>
      </c>
      <c r="T618" s="66"/>
      <c r="U618" s="2"/>
      <c r="V618" s="43"/>
    </row>
    <row r="619" spans="2:22" s="1" customFormat="1" x14ac:dyDescent="0.3">
      <c r="B619" s="325"/>
      <c r="C619" s="17"/>
      <c r="D619" s="142" t="str">
        <f>C607</f>
        <v xml:space="preserve">Pemasangan Rangka Furing Plafond </v>
      </c>
      <c r="E619" s="197"/>
      <c r="F619" s="516"/>
      <c r="G619" s="197"/>
      <c r="H619" s="516"/>
      <c r="I619" s="197"/>
      <c r="J619" s="516"/>
      <c r="K619" s="197"/>
      <c r="L619" s="640"/>
      <c r="M619" s="197"/>
      <c r="N619" s="640"/>
      <c r="O619" s="197"/>
      <c r="P619" s="516"/>
      <c r="Q619" s="197">
        <f>Q615</f>
        <v>542.55999999999995</v>
      </c>
      <c r="R619" s="516"/>
      <c r="S619" s="255"/>
      <c r="T619" s="66"/>
      <c r="U619" s="2"/>
      <c r="V619" s="43"/>
    </row>
    <row r="620" spans="2:22" s="1" customFormat="1" x14ac:dyDescent="0.3">
      <c r="B620" s="325"/>
      <c r="C620" s="17"/>
      <c r="D620" s="143"/>
      <c r="E620" s="170"/>
      <c r="F620" s="630"/>
      <c r="G620" s="170"/>
      <c r="H620" s="630"/>
      <c r="I620" s="170"/>
      <c r="J620" s="630"/>
      <c r="K620" s="170"/>
      <c r="L620" s="630"/>
      <c r="M620" s="170"/>
      <c r="N620" s="630"/>
      <c r="O620" s="170"/>
      <c r="P620" s="630"/>
      <c r="Q620" s="170"/>
      <c r="R620" s="630"/>
      <c r="S620" s="246"/>
      <c r="T620" s="66"/>
      <c r="U620" s="2"/>
      <c r="V620" s="43"/>
    </row>
    <row r="621" spans="2:22" s="1" customFormat="1" ht="17.25" thickBot="1" x14ac:dyDescent="0.35">
      <c r="B621" s="325"/>
      <c r="C621" s="17"/>
      <c r="D621" s="3091" t="s">
        <v>164</v>
      </c>
      <c r="E621" s="3092"/>
      <c r="F621" s="3092"/>
      <c r="G621" s="3092"/>
      <c r="H621" s="3092"/>
      <c r="I621" s="3092"/>
      <c r="J621" s="622"/>
      <c r="K621" s="190"/>
      <c r="L621" s="622"/>
      <c r="M621" s="190"/>
      <c r="N621" s="622"/>
      <c r="O621" s="190"/>
      <c r="P621" s="622"/>
      <c r="Q621" s="190">
        <f>SUM(Q619:Q620)</f>
        <v>542.55999999999995</v>
      </c>
      <c r="R621" s="622"/>
      <c r="S621" s="247"/>
      <c r="T621" s="66"/>
      <c r="U621" s="2"/>
      <c r="V621" s="43"/>
    </row>
    <row r="622" spans="2:22" x14ac:dyDescent="0.3">
      <c r="B622" s="473"/>
      <c r="C622" s="465"/>
      <c r="D622" s="453"/>
      <c r="E622" s="455"/>
      <c r="F622" s="485"/>
      <c r="G622" s="455"/>
      <c r="H622" s="485"/>
      <c r="I622" s="455"/>
      <c r="J622" s="485"/>
      <c r="K622" s="477"/>
      <c r="L622" s="492"/>
      <c r="M622" s="477"/>
      <c r="N622" s="492"/>
      <c r="O622" s="477"/>
      <c r="P622" s="492"/>
      <c r="Q622" s="477"/>
      <c r="R622" s="492"/>
      <c r="S622" s="479"/>
    </row>
    <row r="623" spans="2:22" s="66" customFormat="1" x14ac:dyDescent="0.3">
      <c r="B623" s="134" t="str">
        <f>RAB!B123</f>
        <v>VII</v>
      </c>
      <c r="C623" s="134" t="str">
        <f>RAB!C123</f>
        <v>PEKERJAAN PENGECATAN</v>
      </c>
      <c r="D623" s="118"/>
      <c r="E623" s="198"/>
      <c r="F623" s="652"/>
      <c r="G623" s="198"/>
      <c r="H623" s="652"/>
      <c r="I623" s="198"/>
      <c r="J623" s="652"/>
      <c r="K623" s="198"/>
      <c r="L623" s="652"/>
      <c r="M623" s="198"/>
      <c r="N623" s="652"/>
      <c r="O623" s="198"/>
      <c r="P623" s="652"/>
      <c r="Q623" s="198"/>
      <c r="R623" s="652"/>
      <c r="S623" s="256"/>
      <c r="U623" s="2"/>
      <c r="V623" s="675"/>
    </row>
    <row r="624" spans="2:22" s="1" customFormat="1" ht="17.25" thickBot="1" x14ac:dyDescent="0.35">
      <c r="B624" s="36">
        <f>RAB!B124</f>
        <v>1</v>
      </c>
      <c r="C624" s="17" t="str">
        <f>RAB!C124</f>
        <v>Pengecatan bidang tembok eksterior (Jotun weathershield)</v>
      </c>
      <c r="E624" s="153"/>
      <c r="F624" s="480"/>
      <c r="G624" s="153"/>
      <c r="H624" s="480"/>
      <c r="I624" s="153"/>
      <c r="J624" s="480"/>
      <c r="K624" s="153"/>
      <c r="L624" s="480"/>
      <c r="M624" s="162"/>
      <c r="N624" s="480"/>
      <c r="O624" s="153"/>
      <c r="P624" s="480"/>
      <c r="Q624" s="200"/>
      <c r="R624" s="480"/>
      <c r="S624" s="224"/>
      <c r="T624" s="18">
        <f>ROUNDDOWN(Q634,2)</f>
        <v>240.56</v>
      </c>
      <c r="U624" s="2" t="s">
        <v>2</v>
      </c>
      <c r="V624" s="43"/>
    </row>
    <row r="625" spans="2:22" s="1" customFormat="1" x14ac:dyDescent="0.3">
      <c r="B625" s="325"/>
      <c r="C625" s="17"/>
      <c r="D625" s="8" t="s">
        <v>95</v>
      </c>
      <c r="E625" s="154" t="s">
        <v>150</v>
      </c>
      <c r="F625" s="493"/>
      <c r="G625" s="154" t="s">
        <v>151</v>
      </c>
      <c r="H625" s="493"/>
      <c r="I625" s="154" t="s">
        <v>152</v>
      </c>
      <c r="J625" s="493"/>
      <c r="K625" s="154" t="s">
        <v>153</v>
      </c>
      <c r="L625" s="494"/>
      <c r="M625" s="163" t="s">
        <v>32</v>
      </c>
      <c r="N625" s="494"/>
      <c r="O625" s="201" t="s">
        <v>163</v>
      </c>
      <c r="P625" s="494"/>
      <c r="Q625" s="202" t="s">
        <v>151</v>
      </c>
      <c r="R625" s="494"/>
      <c r="S625" s="226" t="s">
        <v>143</v>
      </c>
      <c r="T625" s="66"/>
      <c r="U625" s="2"/>
      <c r="V625" s="43"/>
    </row>
    <row r="626" spans="2:22" s="1" customFormat="1" x14ac:dyDescent="0.3">
      <c r="B626" s="325"/>
      <c r="C626" s="17"/>
      <c r="D626" s="138"/>
      <c r="E626" s="1161">
        <v>36</v>
      </c>
      <c r="F626" s="517" t="s">
        <v>185</v>
      </c>
      <c r="G626" s="1161"/>
      <c r="H626" s="517"/>
      <c r="I626" s="1161">
        <v>3.6</v>
      </c>
      <c r="J626" s="517" t="s">
        <v>185</v>
      </c>
      <c r="K626" s="1161">
        <v>2</v>
      </c>
      <c r="L626" s="517"/>
      <c r="M626" s="1161"/>
      <c r="N626" s="517"/>
      <c r="O626" s="1161"/>
      <c r="P626" s="517" t="s">
        <v>114</v>
      </c>
      <c r="Q626" s="1161">
        <f>E626*I626*K626</f>
        <v>259.2</v>
      </c>
      <c r="R626" s="517"/>
      <c r="S626" s="519"/>
      <c r="T626" s="66"/>
      <c r="U626" s="2"/>
      <c r="V626" s="43"/>
    </row>
    <row r="627" spans="2:22" s="1" customFormat="1" x14ac:dyDescent="0.3">
      <c r="B627" s="325"/>
      <c r="C627" s="17"/>
      <c r="D627" s="138"/>
      <c r="E627" s="1161">
        <v>20</v>
      </c>
      <c r="F627" s="517" t="s">
        <v>185</v>
      </c>
      <c r="G627" s="1161"/>
      <c r="H627" s="517"/>
      <c r="I627" s="1161">
        <v>3.6</v>
      </c>
      <c r="J627" s="517" t="s">
        <v>185</v>
      </c>
      <c r="K627" s="1161">
        <v>2</v>
      </c>
      <c r="L627" s="517"/>
      <c r="M627" s="1161"/>
      <c r="N627" s="517"/>
      <c r="O627" s="1161"/>
      <c r="P627" s="517" t="s">
        <v>114</v>
      </c>
      <c r="Q627" s="1161">
        <f>E627*I627*K627</f>
        <v>144</v>
      </c>
      <c r="R627" s="517"/>
      <c r="S627" s="519"/>
      <c r="T627" s="66"/>
      <c r="U627" s="2"/>
      <c r="V627" s="43"/>
    </row>
    <row r="628" spans="2:22" s="1" customFormat="1" x14ac:dyDescent="0.3">
      <c r="B628" s="325"/>
      <c r="C628" s="17"/>
      <c r="D628" s="138" t="s">
        <v>154</v>
      </c>
      <c r="E628" s="1161"/>
      <c r="F628" s="517"/>
      <c r="G628" s="1161"/>
      <c r="H628" s="517"/>
      <c r="I628" s="1161"/>
      <c r="J628" s="517"/>
      <c r="K628" s="1161"/>
      <c r="L628" s="517"/>
      <c r="M628" s="1161"/>
      <c r="N628" s="517"/>
      <c r="O628" s="1161"/>
      <c r="P628" s="517"/>
      <c r="Q628" s="1161"/>
      <c r="R628" s="603"/>
      <c r="S628" s="245"/>
      <c r="T628" s="66"/>
      <c r="U628" s="2"/>
      <c r="V628" s="43"/>
    </row>
    <row r="629" spans="2:22" x14ac:dyDescent="0.3">
      <c r="B629" s="473"/>
      <c r="C629" s="465"/>
      <c r="D629" s="146" t="str">
        <f>D459</f>
        <v>Pintu Type P1</v>
      </c>
      <c r="E629" s="1161">
        <v>3</v>
      </c>
      <c r="F629" s="518" t="s">
        <v>185</v>
      </c>
      <c r="G629" s="1161"/>
      <c r="H629" s="518"/>
      <c r="I629" s="1161">
        <v>1.5</v>
      </c>
      <c r="J629" s="518" t="s">
        <v>185</v>
      </c>
      <c r="K629" s="1161">
        <v>8</v>
      </c>
      <c r="L629" s="517"/>
      <c r="M629" s="1161"/>
      <c r="N629" s="517"/>
      <c r="O629" s="1161"/>
      <c r="P629" s="518" t="s">
        <v>114</v>
      </c>
      <c r="Q629" s="1161">
        <f>K629*I629*E629</f>
        <v>36</v>
      </c>
      <c r="R629" s="491"/>
      <c r="S629" s="472"/>
    </row>
    <row r="630" spans="2:22" x14ac:dyDescent="0.3">
      <c r="B630" s="473"/>
      <c r="C630" s="465"/>
      <c r="D630" s="146" t="str">
        <f>D460</f>
        <v>Pintu Type P2</v>
      </c>
      <c r="E630" s="1161">
        <v>3</v>
      </c>
      <c r="F630" s="518" t="s">
        <v>185</v>
      </c>
      <c r="G630" s="1161"/>
      <c r="H630" s="518"/>
      <c r="I630" s="1161">
        <v>2</v>
      </c>
      <c r="J630" s="518" t="s">
        <v>185</v>
      </c>
      <c r="K630" s="1161">
        <v>1</v>
      </c>
      <c r="L630" s="517"/>
      <c r="M630" s="1161"/>
      <c r="N630" s="517"/>
      <c r="O630" s="1161"/>
      <c r="P630" s="518" t="s">
        <v>114</v>
      </c>
      <c r="Q630" s="1161">
        <f>K630*I630*E630</f>
        <v>6</v>
      </c>
      <c r="R630" s="491"/>
      <c r="S630" s="472"/>
    </row>
    <row r="631" spans="2:22" x14ac:dyDescent="0.3">
      <c r="B631" s="473"/>
      <c r="C631" s="465"/>
      <c r="D631" s="146" t="str">
        <f>D462</f>
        <v>Jendela Type J.1</v>
      </c>
      <c r="E631" s="1161">
        <v>2</v>
      </c>
      <c r="F631" s="518" t="s">
        <v>185</v>
      </c>
      <c r="G631" s="1161"/>
      <c r="H631" s="518"/>
      <c r="I631" s="1161">
        <v>2.6</v>
      </c>
      <c r="J631" s="518" t="s">
        <v>185</v>
      </c>
      <c r="K631" s="1161">
        <f>12+10</f>
        <v>22</v>
      </c>
      <c r="L631" s="517"/>
      <c r="M631" s="1161"/>
      <c r="N631" s="517"/>
      <c r="O631" s="1161"/>
      <c r="P631" s="518" t="s">
        <v>114</v>
      </c>
      <c r="Q631" s="1161">
        <f>K631*I631*E631</f>
        <v>114.4</v>
      </c>
      <c r="R631" s="491"/>
      <c r="S631" s="472"/>
    </row>
    <row r="632" spans="2:22" x14ac:dyDescent="0.3">
      <c r="B632" s="473"/>
      <c r="C632" s="465"/>
      <c r="D632" s="146" t="str">
        <f>D463</f>
        <v>Jendela Type J2</v>
      </c>
      <c r="E632" s="1161">
        <v>0.6</v>
      </c>
      <c r="F632" s="518" t="s">
        <v>185</v>
      </c>
      <c r="G632" s="1161"/>
      <c r="H632" s="518"/>
      <c r="I632" s="1161">
        <v>2.6</v>
      </c>
      <c r="J632" s="518" t="s">
        <v>185</v>
      </c>
      <c r="K632" s="1161">
        <v>4</v>
      </c>
      <c r="L632" s="517"/>
      <c r="M632" s="1161"/>
      <c r="N632" s="517"/>
      <c r="O632" s="1161"/>
      <c r="P632" s="518" t="s">
        <v>114</v>
      </c>
      <c r="Q632" s="1161">
        <f>K632*I632*E632</f>
        <v>6.24</v>
      </c>
      <c r="R632" s="491"/>
      <c r="S632" s="472"/>
    </row>
    <row r="633" spans="2:22" x14ac:dyDescent="0.3">
      <c r="B633" s="473"/>
      <c r="C633" s="465"/>
      <c r="D633" s="476"/>
      <c r="E633" s="591"/>
      <c r="F633" s="618"/>
      <c r="G633" s="591"/>
      <c r="H633" s="618"/>
      <c r="I633" s="591"/>
      <c r="J633" s="618"/>
      <c r="K633" s="591"/>
      <c r="L633" s="618"/>
      <c r="M633" s="591"/>
      <c r="N633" s="618"/>
      <c r="O633" s="591"/>
      <c r="P633" s="618"/>
      <c r="Q633" s="591"/>
      <c r="R633" s="490"/>
      <c r="S633" s="478"/>
    </row>
    <row r="634" spans="2:22" s="1" customFormat="1" ht="17.25" thickBot="1" x14ac:dyDescent="0.35">
      <c r="B634" s="325"/>
      <c r="C634" s="17"/>
      <c r="D634" s="3087" t="s">
        <v>164</v>
      </c>
      <c r="E634" s="3088"/>
      <c r="F634" s="3088"/>
      <c r="G634" s="3088"/>
      <c r="H634" s="3088"/>
      <c r="I634" s="3088"/>
      <c r="J634" s="637"/>
      <c r="K634" s="196"/>
      <c r="L634" s="637"/>
      <c r="M634" s="196"/>
      <c r="N634" s="637"/>
      <c r="O634" s="196"/>
      <c r="P634" s="637"/>
      <c r="Q634" s="653">
        <f>SUM(Q626:Q627)-SUM(Q629:Q633)</f>
        <v>240.55999999999997</v>
      </c>
      <c r="R634" s="637"/>
      <c r="S634" s="253"/>
      <c r="T634" s="66"/>
      <c r="U634" s="2"/>
      <c r="V634" s="43"/>
    </row>
    <row r="635" spans="2:22" x14ac:dyDescent="0.3">
      <c r="B635" s="464"/>
      <c r="C635" s="465"/>
      <c r="D635" s="453"/>
      <c r="E635" s="477"/>
      <c r="F635" s="485"/>
      <c r="G635" s="477"/>
      <c r="H635" s="485"/>
      <c r="I635" s="477"/>
      <c r="J635" s="485"/>
      <c r="K635" s="438"/>
      <c r="L635" s="482"/>
      <c r="M635" s="439"/>
      <c r="N635" s="482"/>
      <c r="O635" s="438"/>
      <c r="P635" s="482"/>
      <c r="Q635" s="477"/>
      <c r="R635" s="492"/>
      <c r="S635" s="454"/>
    </row>
    <row r="636" spans="2:22" s="1" customFormat="1" ht="17.25" thickBot="1" x14ac:dyDescent="0.35">
      <c r="B636" s="36">
        <f>RAB!B125</f>
        <v>2</v>
      </c>
      <c r="C636" s="17" t="str">
        <f>RAB!C125</f>
        <v>Pengecatan bidang tembok interior (Jotun Jotaplast)</v>
      </c>
      <c r="E636" s="153"/>
      <c r="F636" s="480"/>
      <c r="G636" s="153"/>
      <c r="H636" s="480"/>
      <c r="I636" s="153"/>
      <c r="J636" s="480"/>
      <c r="K636" s="153"/>
      <c r="L636" s="480"/>
      <c r="M636" s="162"/>
      <c r="N636" s="480"/>
      <c r="O636" s="153"/>
      <c r="P636" s="480"/>
      <c r="Q636" s="200"/>
      <c r="R636" s="480"/>
      <c r="S636" s="224"/>
      <c r="T636" s="18">
        <f>ROUNDDOWN(Q640,2)</f>
        <v>776.56</v>
      </c>
      <c r="U636" s="2" t="s">
        <v>2</v>
      </c>
      <c r="V636" s="43"/>
    </row>
    <row r="637" spans="2:22" s="1" customFormat="1" x14ac:dyDescent="0.3">
      <c r="B637" s="325"/>
      <c r="C637" s="17"/>
      <c r="D637" s="8" t="s">
        <v>95</v>
      </c>
      <c r="E637" s="154" t="s">
        <v>150</v>
      </c>
      <c r="F637" s="493"/>
      <c r="G637" s="154" t="s">
        <v>151</v>
      </c>
      <c r="H637" s="493"/>
      <c r="I637" s="154" t="s">
        <v>152</v>
      </c>
      <c r="J637" s="493"/>
      <c r="K637" s="154" t="s">
        <v>153</v>
      </c>
      <c r="L637" s="494"/>
      <c r="M637" s="163" t="s">
        <v>32</v>
      </c>
      <c r="N637" s="494"/>
      <c r="O637" s="201" t="s">
        <v>163</v>
      </c>
      <c r="P637" s="494"/>
      <c r="Q637" s="202" t="s">
        <v>151</v>
      </c>
      <c r="R637" s="494"/>
      <c r="S637" s="226" t="s">
        <v>143</v>
      </c>
      <c r="T637" s="66"/>
      <c r="U637" s="2"/>
      <c r="V637" s="43"/>
    </row>
    <row r="638" spans="2:22" s="1" customFormat="1" x14ac:dyDescent="0.3">
      <c r="B638" s="325"/>
      <c r="C638" s="17"/>
      <c r="D638" s="643" t="s">
        <v>586</v>
      </c>
      <c r="E638" s="197"/>
      <c r="F638" s="516"/>
      <c r="G638" s="197"/>
      <c r="H638" s="640"/>
      <c r="I638" s="197"/>
      <c r="J638" s="640"/>
      <c r="K638" s="270">
        <f>Q465</f>
        <v>776.56</v>
      </c>
      <c r="L638" s="640"/>
      <c r="M638" s="197"/>
      <c r="N638" s="516"/>
      <c r="O638" s="323"/>
      <c r="P638" s="516" t="s">
        <v>114</v>
      </c>
      <c r="Q638" s="270">
        <f>K638</f>
        <v>776.56</v>
      </c>
      <c r="R638" s="516"/>
      <c r="S638" s="255"/>
      <c r="T638" s="66"/>
      <c r="U638" s="2"/>
      <c r="V638" s="43">
        <f>T636+T624</f>
        <v>1017.1199999999999</v>
      </c>
    </row>
    <row r="639" spans="2:22" s="1" customFormat="1" x14ac:dyDescent="0.3">
      <c r="B639" s="325"/>
      <c r="C639" s="17"/>
      <c r="D639" s="148"/>
      <c r="E639" s="192"/>
      <c r="F639" s="631"/>
      <c r="G639" s="192"/>
      <c r="H639" s="631"/>
      <c r="I639" s="192"/>
      <c r="J639" s="631"/>
      <c r="K639" s="192"/>
      <c r="L639" s="631"/>
      <c r="M639" s="192"/>
      <c r="N639" s="631"/>
      <c r="O639" s="192"/>
      <c r="P639" s="631"/>
      <c r="Q639" s="268"/>
      <c r="R639" s="631"/>
      <c r="S639" s="252"/>
      <c r="T639" s="66"/>
      <c r="U639" s="2"/>
      <c r="V639" s="43"/>
    </row>
    <row r="640" spans="2:22" s="1" customFormat="1" ht="17.25" thickBot="1" x14ac:dyDescent="0.35">
      <c r="B640" s="325"/>
      <c r="C640" s="17"/>
      <c r="D640" s="3087" t="s">
        <v>164</v>
      </c>
      <c r="E640" s="3088"/>
      <c r="F640" s="3088"/>
      <c r="G640" s="3088"/>
      <c r="H640" s="3088"/>
      <c r="I640" s="3088"/>
      <c r="J640" s="637"/>
      <c r="K640" s="196"/>
      <c r="L640" s="637"/>
      <c r="M640" s="196"/>
      <c r="N640" s="637"/>
      <c r="O640" s="196"/>
      <c r="P640" s="637"/>
      <c r="Q640" s="269">
        <f>Q638-(SUM(Q639:Q639))</f>
        <v>776.56</v>
      </c>
      <c r="R640" s="637"/>
      <c r="S640" s="253"/>
      <c r="T640" s="66"/>
      <c r="U640" s="2"/>
      <c r="V640" s="43"/>
    </row>
    <row r="641" spans="2:22" x14ac:dyDescent="0.3">
      <c r="B641" s="473"/>
      <c r="C641" s="465"/>
      <c r="D641" s="453"/>
      <c r="E641" s="455"/>
      <c r="F641" s="485"/>
      <c r="G641" s="455"/>
      <c r="H641" s="485"/>
      <c r="I641" s="455"/>
      <c r="J641" s="485"/>
      <c r="K641" s="477"/>
      <c r="L641" s="492"/>
      <c r="M641" s="477"/>
      <c r="N641" s="492"/>
      <c r="O641" s="477"/>
      <c r="P641" s="492"/>
      <c r="Q641" s="477"/>
      <c r="R641" s="492"/>
      <c r="S641" s="454"/>
    </row>
    <row r="642" spans="2:22" s="1" customFormat="1" ht="17.25" thickBot="1" x14ac:dyDescent="0.35">
      <c r="B642" s="36">
        <f>RAB!B126</f>
        <v>3</v>
      </c>
      <c r="C642" s="17" t="str">
        <f>RAB!C126</f>
        <v>Pengecatan langit-langit (Jotun Jotaplast)</v>
      </c>
      <c r="D642" s="38"/>
      <c r="E642" s="137"/>
      <c r="F642" s="551"/>
      <c r="G642" s="137"/>
      <c r="H642" s="551"/>
      <c r="I642" s="137"/>
      <c r="J642" s="551"/>
      <c r="K642" s="156"/>
      <c r="L642" s="501"/>
      <c r="M642" s="165"/>
      <c r="N642" s="501"/>
      <c r="O642" s="156"/>
      <c r="P642" s="501"/>
      <c r="Q642" s="137"/>
      <c r="R642" s="642"/>
      <c r="S642" s="232"/>
      <c r="T642" s="18">
        <f>Q647</f>
        <v>656.06399999999996</v>
      </c>
      <c r="U642" s="2" t="s">
        <v>2</v>
      </c>
      <c r="V642" s="43"/>
    </row>
    <row r="643" spans="2:22" s="1" customFormat="1" x14ac:dyDescent="0.3">
      <c r="B643" s="325"/>
      <c r="C643" s="17"/>
      <c r="D643" s="8" t="s">
        <v>95</v>
      </c>
      <c r="E643" s="154" t="s">
        <v>150</v>
      </c>
      <c r="F643" s="493"/>
      <c r="G643" s="154" t="s">
        <v>151</v>
      </c>
      <c r="H643" s="493"/>
      <c r="I643" s="154" t="s">
        <v>152</v>
      </c>
      <c r="J643" s="493"/>
      <c r="K643" s="154" t="s">
        <v>153</v>
      </c>
      <c r="L643" s="494"/>
      <c r="M643" s="163" t="s">
        <v>32</v>
      </c>
      <c r="N643" s="494"/>
      <c r="O643" s="201" t="s">
        <v>163</v>
      </c>
      <c r="P643" s="494"/>
      <c r="Q643" s="202" t="s">
        <v>151</v>
      </c>
      <c r="R643" s="494"/>
      <c r="S643" s="226" t="s">
        <v>143</v>
      </c>
      <c r="T643" s="66"/>
      <c r="U643" s="2"/>
      <c r="V643" s="43"/>
    </row>
    <row r="644" spans="2:22" s="1" customFormat="1" x14ac:dyDescent="0.3">
      <c r="B644" s="325"/>
      <c r="C644" s="17"/>
      <c r="D644" s="643" t="s">
        <v>743</v>
      </c>
      <c r="E644" s="197"/>
      <c r="F644" s="640"/>
      <c r="G644" s="197"/>
      <c r="H644" s="640"/>
      <c r="I644" s="197"/>
      <c r="J644" s="640"/>
      <c r="K644" s="197"/>
      <c r="L644" s="640"/>
      <c r="M644" s="197"/>
      <c r="N644" s="640"/>
      <c r="O644" s="197"/>
      <c r="P644" s="640"/>
      <c r="Q644" s="323">
        <f>Q615</f>
        <v>542.55999999999995</v>
      </c>
      <c r="R644" s="640"/>
      <c r="S644" s="255"/>
      <c r="T644" s="66"/>
      <c r="U644" s="2"/>
      <c r="V644" s="43"/>
    </row>
    <row r="645" spans="2:22" s="1" customFormat="1" x14ac:dyDescent="0.3">
      <c r="B645" s="325"/>
      <c r="C645" s="17"/>
      <c r="D645" s="146" t="s">
        <v>744</v>
      </c>
      <c r="E645" s="416"/>
      <c r="F645" s="603"/>
      <c r="G645" s="416"/>
      <c r="H645" s="603"/>
      <c r="I645" s="416"/>
      <c r="J645" s="603"/>
      <c r="K645" s="416"/>
      <c r="L645" s="603"/>
      <c r="M645" s="416"/>
      <c r="N645" s="603"/>
      <c r="O645" s="416"/>
      <c r="P645" s="603"/>
      <c r="Q645" s="646">
        <f>Q492</f>
        <v>113.50399999999999</v>
      </c>
      <c r="R645" s="603"/>
      <c r="S645" s="245"/>
      <c r="T645" s="66"/>
      <c r="U645" s="2"/>
      <c r="V645" s="43"/>
    </row>
    <row r="646" spans="2:22" s="1" customFormat="1" x14ac:dyDescent="0.3">
      <c r="B646" s="325"/>
      <c r="C646" s="17"/>
      <c r="D646" s="148"/>
      <c r="E646" s="192"/>
      <c r="F646" s="631"/>
      <c r="G646" s="192"/>
      <c r="H646" s="631"/>
      <c r="I646" s="192"/>
      <c r="J646" s="631"/>
      <c r="K646" s="192"/>
      <c r="L646" s="631"/>
      <c r="M646" s="192"/>
      <c r="N646" s="631"/>
      <c r="O646" s="192"/>
      <c r="P646" s="631"/>
      <c r="Q646" s="192"/>
      <c r="R646" s="631"/>
      <c r="S646" s="252"/>
      <c r="T646" s="66"/>
      <c r="U646" s="2"/>
      <c r="V646" s="43"/>
    </row>
    <row r="647" spans="2:22" s="1" customFormat="1" ht="17.25" thickBot="1" x14ac:dyDescent="0.35">
      <c r="B647" s="325"/>
      <c r="C647" s="17"/>
      <c r="D647" s="3087" t="s">
        <v>164</v>
      </c>
      <c r="E647" s="3088"/>
      <c r="F647" s="3088"/>
      <c r="G647" s="3088"/>
      <c r="H647" s="3088"/>
      <c r="I647" s="3088"/>
      <c r="J647" s="637"/>
      <c r="K647" s="196"/>
      <c r="L647" s="637"/>
      <c r="M647" s="196"/>
      <c r="N647" s="637"/>
      <c r="O647" s="196"/>
      <c r="P647" s="637"/>
      <c r="Q647" s="196">
        <f>SUM(Q644:Q646)</f>
        <v>656.06399999999996</v>
      </c>
      <c r="R647" s="637"/>
      <c r="S647" s="253"/>
      <c r="T647" s="66"/>
      <c r="U647" s="2"/>
      <c r="V647" s="43"/>
    </row>
    <row r="648" spans="2:22" x14ac:dyDescent="0.3">
      <c r="B648" s="464"/>
      <c r="C648" s="465"/>
      <c r="D648" s="453"/>
      <c r="E648" s="477"/>
      <c r="F648" s="485"/>
      <c r="G648" s="477"/>
      <c r="H648" s="485"/>
      <c r="I648" s="477"/>
      <c r="J648" s="485"/>
      <c r="K648" s="438"/>
      <c r="L648" s="482"/>
      <c r="M648" s="439"/>
      <c r="N648" s="482"/>
      <c r="O648" s="438"/>
      <c r="P648" s="482"/>
      <c r="Q648" s="477"/>
      <c r="R648" s="492"/>
      <c r="S648" s="454"/>
    </row>
    <row r="649" spans="2:22" s="1" customFormat="1" ht="17.25" thickBot="1" x14ac:dyDescent="0.35">
      <c r="B649" s="36">
        <f>RAB!B127</f>
        <v>4</v>
      </c>
      <c r="C649" s="17" t="str">
        <f>RAB!C127</f>
        <v>Pengecatan Minyak bidang besi dan Kayu (Avian)</v>
      </c>
      <c r="D649" s="38"/>
      <c r="E649" s="137"/>
      <c r="F649" s="551"/>
      <c r="G649" s="137"/>
      <c r="H649" s="551"/>
      <c r="I649" s="137"/>
      <c r="J649" s="551"/>
      <c r="K649" s="156"/>
      <c r="L649" s="501"/>
      <c r="M649" s="165"/>
      <c r="N649" s="501"/>
      <c r="O649" s="156"/>
      <c r="P649" s="501"/>
      <c r="Q649" s="137"/>
      <c r="R649" s="642"/>
      <c r="S649" s="232"/>
      <c r="T649" s="18">
        <f>ROUNDDOWN(Q656,2)</f>
        <v>70.92</v>
      </c>
      <c r="U649" s="2" t="s">
        <v>2</v>
      </c>
      <c r="V649" s="43"/>
    </row>
    <row r="650" spans="2:22" s="1" customFormat="1" x14ac:dyDescent="0.3">
      <c r="B650" s="325"/>
      <c r="C650" s="17"/>
      <c r="D650" s="8" t="s">
        <v>95</v>
      </c>
      <c r="E650" s="154" t="s">
        <v>150</v>
      </c>
      <c r="F650" s="493"/>
      <c r="G650" s="154" t="s">
        <v>151</v>
      </c>
      <c r="H650" s="493"/>
      <c r="I650" s="154" t="s">
        <v>152</v>
      </c>
      <c r="J650" s="493"/>
      <c r="K650" s="154" t="s">
        <v>153</v>
      </c>
      <c r="L650" s="494"/>
      <c r="M650" s="163" t="s">
        <v>32</v>
      </c>
      <c r="N650" s="494"/>
      <c r="O650" s="201" t="s">
        <v>163</v>
      </c>
      <c r="P650" s="494"/>
      <c r="Q650" s="202" t="s">
        <v>151</v>
      </c>
      <c r="R650" s="494"/>
      <c r="S650" s="226" t="s">
        <v>143</v>
      </c>
      <c r="T650" s="66"/>
      <c r="U650" s="2"/>
      <c r="V650" s="43"/>
    </row>
    <row r="651" spans="2:22" s="1" customFormat="1" x14ac:dyDescent="0.3">
      <c r="B651" s="325"/>
      <c r="C651" s="17"/>
      <c r="D651" s="643" t="s">
        <v>745</v>
      </c>
      <c r="E651" s="331">
        <f>E505</f>
        <v>6.8</v>
      </c>
      <c r="F651" s="575" t="s">
        <v>185</v>
      </c>
      <c r="G651" s="331"/>
      <c r="H651" s="575"/>
      <c r="I651" s="331">
        <v>1.1000000000000001</v>
      </c>
      <c r="J651" s="575"/>
      <c r="K651" s="331">
        <v>4</v>
      </c>
      <c r="L651" s="575"/>
      <c r="M651" s="331"/>
      <c r="N651" s="575"/>
      <c r="O651" s="331"/>
      <c r="P651" s="575" t="s">
        <v>114</v>
      </c>
      <c r="Q651" s="331">
        <f>I651*E651*K651</f>
        <v>29.92</v>
      </c>
      <c r="R651" s="575"/>
      <c r="S651" s="577"/>
      <c r="T651" s="66"/>
      <c r="U651" s="2"/>
      <c r="V651" s="43"/>
    </row>
    <row r="652" spans="2:22" s="32" customFormat="1" x14ac:dyDescent="0.3">
      <c r="B652" s="124"/>
      <c r="C652" s="114"/>
      <c r="D652" s="676" t="s">
        <v>747</v>
      </c>
      <c r="E652" s="554"/>
      <c r="F652" s="557"/>
      <c r="G652" s="554"/>
      <c r="H652" s="557"/>
      <c r="I652" s="554"/>
      <c r="J652" s="557"/>
      <c r="K652" s="554"/>
      <c r="L652" s="557"/>
      <c r="M652" s="554"/>
      <c r="N652" s="557"/>
      <c r="O652" s="554"/>
      <c r="P652" s="557"/>
      <c r="Q652" s="554"/>
      <c r="R652" s="557"/>
      <c r="S652" s="677"/>
      <c r="T652" s="53"/>
      <c r="U652" s="50"/>
      <c r="V652" s="51"/>
    </row>
    <row r="653" spans="2:22" s="32" customFormat="1" x14ac:dyDescent="0.3">
      <c r="B653" s="124"/>
      <c r="C653" s="114"/>
      <c r="D653" s="678" t="str">
        <f>C517</f>
        <v>Pintu Type P2</v>
      </c>
      <c r="E653" s="554">
        <f>2+2+1.5+1.5+1.5</f>
        <v>8.5</v>
      </c>
      <c r="F653" s="557" t="s">
        <v>185</v>
      </c>
      <c r="G653" s="554">
        <v>0.25</v>
      </c>
      <c r="H653" s="557" t="s">
        <v>185</v>
      </c>
      <c r="I653" s="554"/>
      <c r="J653" s="557"/>
      <c r="K653" s="554">
        <v>8</v>
      </c>
      <c r="L653" s="557"/>
      <c r="M653" s="554"/>
      <c r="N653" s="557"/>
      <c r="O653" s="554"/>
      <c r="P653" s="557" t="s">
        <v>114</v>
      </c>
      <c r="Q653" s="554">
        <f>K653*G653*E653</f>
        <v>17</v>
      </c>
      <c r="R653" s="557"/>
      <c r="S653" s="677"/>
      <c r="T653" s="53"/>
      <c r="U653" s="50"/>
      <c r="V653" s="51"/>
    </row>
    <row r="654" spans="2:22" s="32" customFormat="1" x14ac:dyDescent="0.3">
      <c r="B654" s="124"/>
      <c r="C654" s="114"/>
      <c r="D654" s="678" t="s">
        <v>768</v>
      </c>
      <c r="E654" s="554">
        <f>1.5</f>
        <v>1.5</v>
      </c>
      <c r="F654" s="557" t="s">
        <v>185</v>
      </c>
      <c r="G654" s="554">
        <v>2</v>
      </c>
      <c r="H654" s="557" t="s">
        <v>185</v>
      </c>
      <c r="I654" s="554"/>
      <c r="J654" s="557"/>
      <c r="K654" s="554">
        <v>8</v>
      </c>
      <c r="L654" s="557"/>
      <c r="M654" s="554"/>
      <c r="N654" s="557"/>
      <c r="O654" s="554"/>
      <c r="P654" s="557" t="s">
        <v>114</v>
      </c>
      <c r="Q654" s="554">
        <f>K654*G654*E654</f>
        <v>24</v>
      </c>
      <c r="R654" s="557"/>
      <c r="S654" s="677"/>
      <c r="T654" s="53"/>
      <c r="U654" s="50"/>
      <c r="V654" s="51"/>
    </row>
    <row r="655" spans="2:22" s="32" customFormat="1" x14ac:dyDescent="0.3">
      <c r="B655" s="124"/>
      <c r="C655" s="114"/>
      <c r="D655" s="679"/>
      <c r="E655" s="592"/>
      <c r="F655" s="593"/>
      <c r="G655" s="592"/>
      <c r="H655" s="593"/>
      <c r="I655" s="592"/>
      <c r="J655" s="593"/>
      <c r="K655" s="592"/>
      <c r="L655" s="593"/>
      <c r="M655" s="592"/>
      <c r="N655" s="593"/>
      <c r="O655" s="592"/>
      <c r="P655" s="593"/>
      <c r="Q655" s="592"/>
      <c r="R655" s="593"/>
      <c r="S655" s="599"/>
      <c r="T655" s="53"/>
      <c r="U655" s="50"/>
      <c r="V655" s="51"/>
    </row>
    <row r="656" spans="2:22" s="32" customFormat="1" ht="17.25" thickBot="1" x14ac:dyDescent="0.35">
      <c r="B656" s="124"/>
      <c r="C656" s="114"/>
      <c r="D656" s="3085" t="s">
        <v>164</v>
      </c>
      <c r="E656" s="3086"/>
      <c r="F656" s="3086"/>
      <c r="G656" s="3086"/>
      <c r="H656" s="3086"/>
      <c r="I656" s="3086"/>
      <c r="J656" s="680"/>
      <c r="K656" s="681"/>
      <c r="L656" s="680"/>
      <c r="M656" s="681"/>
      <c r="N656" s="680"/>
      <c r="O656" s="681"/>
      <c r="P656" s="680"/>
      <c r="Q656" s="683">
        <f>SUM(Q651:Q655)</f>
        <v>70.92</v>
      </c>
      <c r="R656" s="680"/>
      <c r="S656" s="682"/>
      <c r="T656" s="53"/>
      <c r="U656" s="50"/>
      <c r="V656" s="51"/>
    </row>
    <row r="657" spans="2:24" s="1" customFormat="1" x14ac:dyDescent="0.3">
      <c r="B657" s="325"/>
      <c r="C657" s="17"/>
      <c r="D657" s="38"/>
      <c r="E657" s="208"/>
      <c r="F657" s="551"/>
      <c r="G657" s="208"/>
      <c r="H657" s="551"/>
      <c r="I657" s="208"/>
      <c r="J657" s="551"/>
      <c r="K657" s="137"/>
      <c r="L657" s="642"/>
      <c r="M657" s="137"/>
      <c r="N657" s="642"/>
      <c r="O657" s="137"/>
      <c r="P657" s="642"/>
      <c r="Q657" s="137"/>
      <c r="R657" s="642"/>
      <c r="S657" s="241"/>
      <c r="T657" s="66"/>
      <c r="U657" s="2"/>
      <c r="V657" s="43"/>
    </row>
    <row r="658" spans="2:24" ht="17.25" thickBot="1" x14ac:dyDescent="0.35">
      <c r="B658" s="977" t="str">
        <f>RAB!B130</f>
        <v>VIII</v>
      </c>
      <c r="C658" s="112" t="str">
        <f>RAB!C130</f>
        <v>PEKERJAAN SANITAIR</v>
      </c>
      <c r="D658" s="1"/>
      <c r="E658" s="153"/>
      <c r="F658" s="480"/>
      <c r="G658" s="153"/>
      <c r="H658" s="480"/>
      <c r="I658" s="153"/>
      <c r="J658" s="480"/>
      <c r="K658" s="153"/>
      <c r="L658" s="480"/>
      <c r="M658" s="162"/>
      <c r="N658" s="480"/>
      <c r="O658" s="153"/>
      <c r="P658" s="480"/>
      <c r="Q658" s="200"/>
      <c r="R658" s="480"/>
      <c r="S658" s="224"/>
      <c r="T658" s="18"/>
      <c r="U658" s="2"/>
    </row>
    <row r="659" spans="2:24" x14ac:dyDescent="0.3">
      <c r="B659" s="325"/>
      <c r="C659" s="17"/>
      <c r="D659" s="141" t="s">
        <v>95</v>
      </c>
      <c r="E659" s="158" t="s">
        <v>150</v>
      </c>
      <c r="F659" s="641"/>
      <c r="G659" s="158" t="s">
        <v>151</v>
      </c>
      <c r="H659" s="641"/>
      <c r="I659" s="158" t="s">
        <v>152</v>
      </c>
      <c r="J659" s="641"/>
      <c r="K659" s="158" t="s">
        <v>153</v>
      </c>
      <c r="L659" s="641"/>
      <c r="M659" s="167" t="s">
        <v>32</v>
      </c>
      <c r="N659" s="641"/>
      <c r="O659" s="158" t="s">
        <v>163</v>
      </c>
      <c r="P659" s="641"/>
      <c r="Q659" s="222" t="s">
        <v>151</v>
      </c>
      <c r="R659" s="641"/>
      <c r="S659" s="242" t="s">
        <v>143</v>
      </c>
      <c r="T659" s="66"/>
      <c r="U659" s="2"/>
    </row>
    <row r="660" spans="2:24" x14ac:dyDescent="0.3">
      <c r="B660" s="325"/>
      <c r="C660" s="17"/>
      <c r="D660" s="978" t="e">
        <f>RAB!#REF!</f>
        <v>#REF!</v>
      </c>
      <c r="E660" s="979"/>
      <c r="F660" s="565"/>
      <c r="G660" s="979"/>
      <c r="H660" s="565"/>
      <c r="I660" s="979"/>
      <c r="J660" s="565"/>
      <c r="K660" s="979">
        <v>2</v>
      </c>
      <c r="L660" s="565"/>
      <c r="M660" s="979"/>
      <c r="N660" s="565"/>
      <c r="O660" s="979"/>
      <c r="P660" s="565"/>
      <c r="Q660" s="979"/>
      <c r="R660" s="565" t="s">
        <v>114</v>
      </c>
      <c r="S660" s="980">
        <f>K660</f>
        <v>2</v>
      </c>
      <c r="T660" s="972">
        <f>ROUNDDOWN(S660,2)</f>
        <v>2</v>
      </c>
      <c r="U660" s="981" t="s">
        <v>32</v>
      </c>
      <c r="W660" s="467"/>
      <c r="X660" s="467"/>
    </row>
    <row r="661" spans="2:24" x14ac:dyDescent="0.3">
      <c r="B661" s="325"/>
      <c r="C661" s="17"/>
      <c r="D661" s="988"/>
      <c r="E661" s="983"/>
      <c r="F661" s="588"/>
      <c r="G661" s="983"/>
      <c r="H661" s="588"/>
      <c r="I661" s="983"/>
      <c r="J661" s="588"/>
      <c r="K661" s="983"/>
      <c r="L661" s="588"/>
      <c r="M661" s="983"/>
      <c r="N661" s="588"/>
      <c r="O661" s="983"/>
      <c r="P661" s="588"/>
      <c r="Q661" s="983"/>
      <c r="R661" s="588"/>
      <c r="S661" s="984"/>
      <c r="T661" s="972"/>
      <c r="U661" s="981"/>
      <c r="W661" s="467"/>
      <c r="X661" s="467"/>
    </row>
    <row r="662" spans="2:24" ht="26.1" customHeight="1" x14ac:dyDescent="0.3">
      <c r="B662" s="325"/>
      <c r="C662" s="17"/>
      <c r="D662" s="982" t="e">
        <f>RAB!#REF!</f>
        <v>#REF!</v>
      </c>
      <c r="E662" s="983">
        <v>15</v>
      </c>
      <c r="F662" s="588"/>
      <c r="G662" s="983"/>
      <c r="H662" s="588"/>
      <c r="I662" s="983"/>
      <c r="J662" s="588"/>
      <c r="K662" s="983"/>
      <c r="L662" s="588"/>
      <c r="M662" s="983"/>
      <c r="N662" s="588"/>
      <c r="O662" s="983"/>
      <c r="P662" s="588"/>
      <c r="Q662" s="983"/>
      <c r="R662" s="588" t="s">
        <v>114</v>
      </c>
      <c r="S662" s="984">
        <f>E662</f>
        <v>15</v>
      </c>
      <c r="T662" s="972">
        <f t="shared" ref="T662:T671" si="9">ROUNDDOWN(S662,2)</f>
        <v>15</v>
      </c>
      <c r="U662" s="987" t="s">
        <v>27</v>
      </c>
      <c r="W662" s="1028"/>
      <c r="X662" s="467"/>
    </row>
    <row r="663" spans="2:24" x14ac:dyDescent="0.3">
      <c r="B663" s="325"/>
      <c r="C663" s="17"/>
      <c r="D663" s="985" t="e">
        <f>RAB!#REF!</f>
        <v>#REF!</v>
      </c>
      <c r="E663" s="702"/>
      <c r="F663" s="518"/>
      <c r="G663" s="702"/>
      <c r="H663" s="518"/>
      <c r="I663" s="702"/>
      <c r="J663" s="518"/>
      <c r="K663" s="702">
        <v>2</v>
      </c>
      <c r="L663" s="518"/>
      <c r="M663" s="702"/>
      <c r="N663" s="518"/>
      <c r="O663" s="702"/>
      <c r="P663" s="518"/>
      <c r="Q663" s="702"/>
      <c r="R663" s="588" t="s">
        <v>114</v>
      </c>
      <c r="S663" s="986">
        <f>K663</f>
        <v>2</v>
      </c>
      <c r="T663" s="972">
        <f t="shared" si="9"/>
        <v>2</v>
      </c>
      <c r="U663" s="987" t="s">
        <v>9</v>
      </c>
      <c r="W663" s="1028"/>
      <c r="X663" s="467"/>
    </row>
    <row r="664" spans="2:24" x14ac:dyDescent="0.3">
      <c r="B664" s="325"/>
      <c r="C664" s="17"/>
      <c r="D664" s="985" t="e">
        <f>RAB!#REF!</f>
        <v>#REF!</v>
      </c>
      <c r="E664" s="702"/>
      <c r="F664" s="518"/>
      <c r="G664" s="702"/>
      <c r="H664" s="518"/>
      <c r="I664" s="702"/>
      <c r="J664" s="518"/>
      <c r="K664" s="702">
        <v>2</v>
      </c>
      <c r="L664" s="518"/>
      <c r="M664" s="702"/>
      <c r="N664" s="518"/>
      <c r="O664" s="702"/>
      <c r="P664" s="518"/>
      <c r="Q664" s="702"/>
      <c r="R664" s="588" t="s">
        <v>114</v>
      </c>
      <c r="S664" s="986">
        <f>K664</f>
        <v>2</v>
      </c>
      <c r="T664" s="972">
        <f t="shared" si="9"/>
        <v>2</v>
      </c>
      <c r="U664" s="987" t="s">
        <v>9</v>
      </c>
      <c r="W664" s="1028"/>
      <c r="X664" s="467"/>
    </row>
    <row r="665" spans="2:24" x14ac:dyDescent="0.3">
      <c r="B665" s="325"/>
      <c r="C665" s="17"/>
      <c r="D665" s="985" t="e">
        <f>RAB!#REF!</f>
        <v>#REF!</v>
      </c>
      <c r="E665" s="702"/>
      <c r="F665" s="518"/>
      <c r="G665" s="702"/>
      <c r="H665" s="518"/>
      <c r="I665" s="702"/>
      <c r="J665" s="518"/>
      <c r="K665" s="702">
        <v>2</v>
      </c>
      <c r="L665" s="518"/>
      <c r="M665" s="702"/>
      <c r="N665" s="518"/>
      <c r="O665" s="702"/>
      <c r="P665" s="518"/>
      <c r="Q665" s="702"/>
      <c r="R665" s="588" t="s">
        <v>114</v>
      </c>
      <c r="S665" s="986">
        <f>K665</f>
        <v>2</v>
      </c>
      <c r="T665" s="972">
        <f t="shared" si="9"/>
        <v>2</v>
      </c>
      <c r="U665" s="987" t="s">
        <v>9</v>
      </c>
      <c r="W665" s="1028"/>
      <c r="X665" s="467"/>
    </row>
    <row r="666" spans="2:24" x14ac:dyDescent="0.3">
      <c r="B666" s="325"/>
      <c r="C666" s="17"/>
      <c r="D666" s="985" t="e">
        <f>RAB!#REF!</f>
        <v>#REF!</v>
      </c>
      <c r="E666" s="702">
        <v>27</v>
      </c>
      <c r="F666" s="518"/>
      <c r="G666" s="702"/>
      <c r="H666" s="518"/>
      <c r="I666" s="702"/>
      <c r="J666" s="518"/>
      <c r="K666" s="702"/>
      <c r="L666" s="518"/>
      <c r="M666" s="702"/>
      <c r="N666" s="518"/>
      <c r="O666" s="702"/>
      <c r="P666" s="518"/>
      <c r="Q666" s="702"/>
      <c r="R666" s="588" t="s">
        <v>114</v>
      </c>
      <c r="S666" s="986">
        <f>E666</f>
        <v>27</v>
      </c>
      <c r="T666" s="972">
        <f t="shared" si="9"/>
        <v>27</v>
      </c>
      <c r="U666" s="987" t="s">
        <v>27</v>
      </c>
      <c r="W666" s="1028"/>
      <c r="X666" s="467"/>
    </row>
    <row r="667" spans="2:24" ht="26.1" customHeight="1" x14ac:dyDescent="0.3">
      <c r="B667" s="325"/>
      <c r="C667" s="17"/>
      <c r="D667" s="985" t="e">
        <f>RAB!#REF!</f>
        <v>#REF!</v>
      </c>
      <c r="E667" s="702"/>
      <c r="F667" s="518"/>
      <c r="G667" s="702"/>
      <c r="H667" s="518"/>
      <c r="I667" s="702"/>
      <c r="J667" s="518"/>
      <c r="K667" s="702">
        <v>2</v>
      </c>
      <c r="L667" s="518"/>
      <c r="M667" s="702"/>
      <c r="N667" s="518"/>
      <c r="O667" s="702"/>
      <c r="P667" s="518"/>
      <c r="Q667" s="702"/>
      <c r="R667" s="588" t="s">
        <v>114</v>
      </c>
      <c r="S667" s="986">
        <f>K667</f>
        <v>2</v>
      </c>
      <c r="T667" s="972">
        <f t="shared" si="9"/>
        <v>2</v>
      </c>
      <c r="U667" s="987" t="s">
        <v>9</v>
      </c>
      <c r="W667" s="1028"/>
      <c r="X667" s="467"/>
    </row>
    <row r="668" spans="2:24" x14ac:dyDescent="0.3">
      <c r="B668" s="325"/>
      <c r="C668" s="17"/>
      <c r="D668" s="985" t="e">
        <f>RAB!#REF!</f>
        <v>#REF!</v>
      </c>
      <c r="E668" s="702"/>
      <c r="F668" s="518"/>
      <c r="G668" s="702"/>
      <c r="H668" s="518"/>
      <c r="I668" s="702"/>
      <c r="J668" s="518"/>
      <c r="K668" s="702">
        <v>2</v>
      </c>
      <c r="L668" s="518"/>
      <c r="M668" s="702"/>
      <c r="N668" s="518"/>
      <c r="O668" s="702"/>
      <c r="P668" s="518"/>
      <c r="Q668" s="702"/>
      <c r="R668" s="588" t="s">
        <v>114</v>
      </c>
      <c r="S668" s="986">
        <f>K668</f>
        <v>2</v>
      </c>
      <c r="T668" s="972">
        <f t="shared" si="9"/>
        <v>2</v>
      </c>
      <c r="U668" s="987" t="s">
        <v>9</v>
      </c>
      <c r="W668" s="1028"/>
      <c r="X668" s="467"/>
    </row>
    <row r="669" spans="2:24" x14ac:dyDescent="0.3">
      <c r="B669" s="325"/>
      <c r="C669" s="17"/>
      <c r="D669" s="985" t="e">
        <f>RAB!#REF!</f>
        <v>#REF!</v>
      </c>
      <c r="E669" s="702">
        <v>12</v>
      </c>
      <c r="F669" s="518"/>
      <c r="G669" s="702"/>
      <c r="H669" s="518"/>
      <c r="I669" s="702"/>
      <c r="J669" s="518"/>
      <c r="K669" s="702"/>
      <c r="L669" s="518"/>
      <c r="M669" s="702"/>
      <c r="N669" s="518"/>
      <c r="O669" s="702"/>
      <c r="P669" s="518"/>
      <c r="Q669" s="702"/>
      <c r="R669" s="588" t="s">
        <v>114</v>
      </c>
      <c r="S669" s="986">
        <f>E669</f>
        <v>12</v>
      </c>
      <c r="T669" s="972">
        <f t="shared" si="9"/>
        <v>12</v>
      </c>
      <c r="U669" s="987" t="s">
        <v>27</v>
      </c>
      <c r="W669" s="1028"/>
      <c r="X669" s="467"/>
    </row>
    <row r="670" spans="2:24" ht="26.1" customHeight="1" x14ac:dyDescent="0.3">
      <c r="B670" s="325"/>
      <c r="C670" s="17"/>
      <c r="D670" s="985" t="e">
        <f>RAB!#REF!</f>
        <v>#REF!</v>
      </c>
      <c r="E670" s="702"/>
      <c r="F670" s="518"/>
      <c r="G670" s="702"/>
      <c r="H670" s="518"/>
      <c r="I670" s="702"/>
      <c r="J670" s="518"/>
      <c r="K670" s="702">
        <v>1</v>
      </c>
      <c r="L670" s="518"/>
      <c r="M670" s="702"/>
      <c r="N670" s="518"/>
      <c r="O670" s="702"/>
      <c r="P670" s="518"/>
      <c r="Q670" s="702"/>
      <c r="R670" s="588" t="s">
        <v>114</v>
      </c>
      <c r="S670" s="986">
        <f>K670</f>
        <v>1</v>
      </c>
      <c r="T670" s="972">
        <f t="shared" si="9"/>
        <v>1</v>
      </c>
      <c r="U670" s="987" t="s">
        <v>837</v>
      </c>
      <c r="W670" s="1028"/>
      <c r="X670" s="467"/>
    </row>
    <row r="671" spans="2:24" ht="26.1" customHeight="1" x14ac:dyDescent="0.3">
      <c r="B671" s="325"/>
      <c r="C671" s="17"/>
      <c r="D671" s="985" t="e">
        <f>RAB!#REF!</f>
        <v>#REF!</v>
      </c>
      <c r="E671" s="702"/>
      <c r="F671" s="518"/>
      <c r="G671" s="702"/>
      <c r="H671" s="518"/>
      <c r="I671" s="702"/>
      <c r="J671" s="518"/>
      <c r="K671" s="702">
        <v>1</v>
      </c>
      <c r="L671" s="518"/>
      <c r="M671" s="702"/>
      <c r="N671" s="518"/>
      <c r="O671" s="702"/>
      <c r="P671" s="518"/>
      <c r="Q671" s="702"/>
      <c r="R671" s="588" t="s">
        <v>114</v>
      </c>
      <c r="S671" s="986">
        <f>K671</f>
        <v>1</v>
      </c>
      <c r="T671" s="972">
        <f t="shared" si="9"/>
        <v>1</v>
      </c>
      <c r="U671" s="987" t="s">
        <v>132</v>
      </c>
      <c r="W671" s="1028"/>
      <c r="X671" s="467"/>
    </row>
    <row r="672" spans="2:24" x14ac:dyDescent="0.3">
      <c r="B672" s="473"/>
      <c r="C672" s="465"/>
      <c r="D672" s="970"/>
      <c r="E672" s="695"/>
      <c r="F672" s="692"/>
      <c r="G672" s="695"/>
      <c r="H672" s="692"/>
      <c r="I672" s="695"/>
      <c r="J672" s="692"/>
      <c r="K672" s="695"/>
      <c r="L672" s="692"/>
      <c r="M672" s="695"/>
      <c r="N672" s="692"/>
      <c r="O672" s="695"/>
      <c r="P672" s="692"/>
      <c r="Q672" s="695"/>
      <c r="R672" s="692"/>
      <c r="S672" s="693"/>
      <c r="T672" s="474"/>
      <c r="W672" s="467"/>
      <c r="X672" s="467"/>
    </row>
    <row r="673" spans="2:24" x14ac:dyDescent="0.3">
      <c r="B673" s="473"/>
      <c r="C673" s="465"/>
      <c r="D673" s="990" t="str">
        <f>RAB!C131</f>
        <v>Instalasi Pipa Air Bersih Pipa PPR PN 10.</v>
      </c>
      <c r="E673" s="1161"/>
      <c r="F673" s="517"/>
      <c r="G673" s="1161"/>
      <c r="H673" s="517"/>
      <c r="I673" s="1161"/>
      <c r="J673" s="517"/>
      <c r="K673" s="1161"/>
      <c r="L673" s="517"/>
      <c r="M673" s="1161"/>
      <c r="N673" s="517"/>
      <c r="O673" s="1161"/>
      <c r="P673" s="517"/>
      <c r="Q673" s="1161"/>
      <c r="R673" s="517"/>
      <c r="S673" s="519"/>
      <c r="T673" s="474"/>
      <c r="U673" s="987"/>
      <c r="W673" s="467"/>
      <c r="X673" s="467"/>
    </row>
    <row r="674" spans="2:24" x14ac:dyDescent="0.3">
      <c r="B674" s="473"/>
      <c r="C674" s="465"/>
      <c r="D674" s="991" t="str">
        <f>RAB!D132</f>
        <v>Dia. 20 mm (1/2")</v>
      </c>
      <c r="E674" s="1161">
        <v>60</v>
      </c>
      <c r="F674" s="517"/>
      <c r="G674" s="1161"/>
      <c r="H674" s="517"/>
      <c r="I674" s="1161"/>
      <c r="J674" s="517"/>
      <c r="K674" s="1161"/>
      <c r="L674" s="517"/>
      <c r="M674" s="1161"/>
      <c r="N674" s="517"/>
      <c r="O674" s="1161"/>
      <c r="P674" s="517"/>
      <c r="Q674" s="1161"/>
      <c r="R674" s="588" t="s">
        <v>114</v>
      </c>
      <c r="S674" s="986">
        <f>E674</f>
        <v>60</v>
      </c>
      <c r="T674" s="972">
        <f t="shared" ref="T674:T684" si="10">ROUNDDOWN(S674,2)</f>
        <v>60</v>
      </c>
      <c r="U674" s="987" t="s">
        <v>27</v>
      </c>
      <c r="W674" s="1029"/>
      <c r="X674" s="1030"/>
    </row>
    <row r="675" spans="2:24" x14ac:dyDescent="0.3">
      <c r="B675" s="473"/>
      <c r="C675" s="465"/>
      <c r="D675" s="991" t="str">
        <f>RAB!D133</f>
        <v xml:space="preserve">Gate Valve Dia 15 mm (1/2") </v>
      </c>
      <c r="E675" s="1161">
        <v>1</v>
      </c>
      <c r="F675" s="517"/>
      <c r="G675" s="1161"/>
      <c r="H675" s="517"/>
      <c r="I675" s="1161"/>
      <c r="J675" s="517"/>
      <c r="K675" s="1161"/>
      <c r="L675" s="517"/>
      <c r="M675" s="1161"/>
      <c r="N675" s="517"/>
      <c r="O675" s="1161"/>
      <c r="P675" s="517"/>
      <c r="Q675" s="1161"/>
      <c r="R675" s="588" t="s">
        <v>114</v>
      </c>
      <c r="S675" s="986">
        <f>E675</f>
        <v>1</v>
      </c>
      <c r="T675" s="972">
        <f t="shared" si="10"/>
        <v>1</v>
      </c>
      <c r="U675" s="987" t="s">
        <v>9</v>
      </c>
      <c r="W675" s="1029"/>
      <c r="X675" s="1030"/>
    </row>
    <row r="676" spans="2:24" x14ac:dyDescent="0.3">
      <c r="B676" s="473"/>
      <c r="C676" s="465"/>
      <c r="D676" s="990"/>
      <c r="E676" s="1161"/>
      <c r="F676" s="517"/>
      <c r="G676" s="1161"/>
      <c r="H676" s="517"/>
      <c r="I676" s="1161"/>
      <c r="J676" s="517"/>
      <c r="K676" s="1161"/>
      <c r="L676" s="517"/>
      <c r="M676" s="1161"/>
      <c r="N676" s="517"/>
      <c r="O676" s="1161"/>
      <c r="P676" s="517"/>
      <c r="Q676" s="1161"/>
      <c r="R676" s="588"/>
      <c r="S676" s="986"/>
      <c r="T676" s="972"/>
      <c r="W676" s="1029"/>
      <c r="X676" s="1030"/>
    </row>
    <row r="677" spans="2:24" ht="27" x14ac:dyDescent="0.3">
      <c r="B677" s="473"/>
      <c r="C677" s="465"/>
      <c r="D677" s="992" t="str">
        <f>RAB!C134</f>
        <v>Instalasi Pipa Air kotor dan bekas pipa PVC class AW 10 kg/cm3.</v>
      </c>
      <c r="E677" s="1161"/>
      <c r="F677" s="517"/>
      <c r="G677" s="1161"/>
      <c r="H677" s="517"/>
      <c r="I677" s="1161"/>
      <c r="J677" s="517"/>
      <c r="K677" s="1161"/>
      <c r="L677" s="517"/>
      <c r="M677" s="1161"/>
      <c r="N677" s="517"/>
      <c r="O677" s="1161"/>
      <c r="P677" s="517"/>
      <c r="Q677" s="1161"/>
      <c r="R677" s="588"/>
      <c r="S677" s="986"/>
      <c r="T677" s="972"/>
      <c r="W677" s="1028"/>
      <c r="X677" s="971"/>
    </row>
    <row r="678" spans="2:24" x14ac:dyDescent="0.3">
      <c r="B678" s="473"/>
      <c r="C678" s="465"/>
      <c r="D678" s="991" t="str">
        <f>RAB!D135</f>
        <v>Dia. 150 mm (6") tinja</v>
      </c>
      <c r="E678" s="1161">
        <v>6</v>
      </c>
      <c r="F678" s="517" t="s">
        <v>185</v>
      </c>
      <c r="G678" s="1161"/>
      <c r="H678" s="517"/>
      <c r="I678" s="1161"/>
      <c r="J678" s="517"/>
      <c r="K678" s="1161">
        <f>2*2+4</f>
        <v>8</v>
      </c>
      <c r="L678" s="517"/>
      <c r="M678" s="1161"/>
      <c r="N678" s="517"/>
      <c r="O678" s="1161"/>
      <c r="P678" s="517"/>
      <c r="Q678" s="1161"/>
      <c r="R678" s="588" t="s">
        <v>114</v>
      </c>
      <c r="S678" s="986">
        <v>15</v>
      </c>
      <c r="T678" s="972">
        <f t="shared" si="10"/>
        <v>15</v>
      </c>
      <c r="U678" s="987" t="s">
        <v>27</v>
      </c>
      <c r="W678" s="1028"/>
      <c r="X678" s="971"/>
    </row>
    <row r="679" spans="2:24" x14ac:dyDescent="0.3">
      <c r="B679" s="473"/>
      <c r="C679" s="465"/>
      <c r="D679" s="991" t="str">
        <f>RAB!D136</f>
        <v>Dia. 150 mm (6") Air kotor</v>
      </c>
      <c r="E679" s="1161">
        <v>30</v>
      </c>
      <c r="F679" s="517"/>
      <c r="G679" s="1161"/>
      <c r="H679" s="517"/>
      <c r="I679" s="1161"/>
      <c r="J679" s="517"/>
      <c r="K679" s="1161"/>
      <c r="L679" s="517"/>
      <c r="M679" s="1161"/>
      <c r="N679" s="517"/>
      <c r="O679" s="1161"/>
      <c r="P679" s="517"/>
      <c r="Q679" s="1161"/>
      <c r="R679" s="588" t="s">
        <v>114</v>
      </c>
      <c r="S679" s="986">
        <f>E679</f>
        <v>30</v>
      </c>
      <c r="T679" s="972">
        <f t="shared" si="10"/>
        <v>30</v>
      </c>
      <c r="U679" s="987" t="s">
        <v>27</v>
      </c>
      <c r="W679" s="1028"/>
      <c r="X679" s="971"/>
    </row>
    <row r="680" spans="2:24" x14ac:dyDescent="0.3">
      <c r="B680" s="473"/>
      <c r="C680" s="465"/>
      <c r="D680" s="991" t="str">
        <f>RAB!D137</f>
        <v>Dia. 100 mm (4") Air hujan</v>
      </c>
      <c r="E680" s="1161">
        <v>6</v>
      </c>
      <c r="F680" s="517" t="s">
        <v>185</v>
      </c>
      <c r="G680" s="1161"/>
      <c r="H680" s="517"/>
      <c r="I680" s="1161"/>
      <c r="J680" s="517"/>
      <c r="K680" s="1161">
        <v>12</v>
      </c>
      <c r="L680" s="517"/>
      <c r="M680" s="1161"/>
      <c r="N680" s="517"/>
      <c r="O680" s="1161"/>
      <c r="P680" s="517"/>
      <c r="Q680" s="1161"/>
      <c r="R680" s="588" t="s">
        <v>114</v>
      </c>
      <c r="S680" s="986">
        <f>K680*E680</f>
        <v>72</v>
      </c>
      <c r="T680" s="972">
        <f t="shared" si="10"/>
        <v>72</v>
      </c>
      <c r="U680" s="987" t="s">
        <v>27</v>
      </c>
      <c r="W680" s="1028"/>
      <c r="X680" s="971"/>
    </row>
    <row r="681" spans="2:24" x14ac:dyDescent="0.3">
      <c r="B681" s="473"/>
      <c r="C681" s="465"/>
      <c r="D681" s="970"/>
      <c r="E681" s="695"/>
      <c r="F681" s="692"/>
      <c r="G681" s="695"/>
      <c r="H681" s="692"/>
      <c r="I681" s="695"/>
      <c r="J681" s="692"/>
      <c r="K681" s="695"/>
      <c r="L681" s="692"/>
      <c r="M681" s="695"/>
      <c r="N681" s="692"/>
      <c r="O681" s="695"/>
      <c r="P681" s="692"/>
      <c r="Q681" s="695"/>
      <c r="R681" s="692"/>
      <c r="S681" s="693"/>
      <c r="T681" s="474"/>
      <c r="W681" s="467"/>
      <c r="X681" s="467"/>
    </row>
    <row r="682" spans="2:24" s="1" customFormat="1" x14ac:dyDescent="0.3">
      <c r="B682" s="325"/>
      <c r="C682" s="17"/>
      <c r="D682" s="991" t="str">
        <f>RAB!C138</f>
        <v>Kloset Jongkok porselin</v>
      </c>
      <c r="E682" s="1161"/>
      <c r="F682" s="517"/>
      <c r="G682" s="1161"/>
      <c r="H682" s="517"/>
      <c r="I682" s="1161"/>
      <c r="J682" s="517"/>
      <c r="K682" s="1161">
        <v>8</v>
      </c>
      <c r="L682" s="517"/>
      <c r="M682" s="1161"/>
      <c r="N682" s="517"/>
      <c r="O682" s="1161"/>
      <c r="P682" s="517"/>
      <c r="Q682" s="1161"/>
      <c r="R682" s="588" t="s">
        <v>114</v>
      </c>
      <c r="S682" s="986">
        <f>K682</f>
        <v>8</v>
      </c>
      <c r="T682" s="972">
        <f t="shared" si="10"/>
        <v>8</v>
      </c>
      <c r="U682" s="987" t="s">
        <v>9</v>
      </c>
      <c r="V682" s="43"/>
    </row>
    <row r="683" spans="2:24" s="1" customFormat="1" x14ac:dyDescent="0.3">
      <c r="B683" s="325"/>
      <c r="C683" s="17"/>
      <c r="D683" s="991" t="str">
        <f>RAB!C139</f>
        <v xml:space="preserve">Floor Drain Stainless staill </v>
      </c>
      <c r="E683" s="1161"/>
      <c r="F683" s="517"/>
      <c r="G683" s="1161"/>
      <c r="H683" s="517"/>
      <c r="I683" s="1161"/>
      <c r="J683" s="517"/>
      <c r="K683" s="1161">
        <v>8</v>
      </c>
      <c r="L683" s="517"/>
      <c r="M683" s="1161"/>
      <c r="N683" s="517"/>
      <c r="O683" s="1161"/>
      <c r="P683" s="517"/>
      <c r="Q683" s="1161"/>
      <c r="R683" s="588" t="s">
        <v>114</v>
      </c>
      <c r="S683" s="986">
        <f>K683</f>
        <v>8</v>
      </c>
      <c r="T683" s="972">
        <f t="shared" si="10"/>
        <v>8</v>
      </c>
      <c r="U683" s="987" t="s">
        <v>9</v>
      </c>
      <c r="V683" s="43"/>
    </row>
    <row r="684" spans="2:24" s="1" customFormat="1" x14ac:dyDescent="0.3">
      <c r="B684" s="325"/>
      <c r="C684" s="17"/>
      <c r="D684" s="991" t="str">
        <f>RAB!C140</f>
        <v>Kran air Stainless staill 1/2 inc</v>
      </c>
      <c r="E684" s="1161"/>
      <c r="F684" s="517"/>
      <c r="G684" s="1161"/>
      <c r="H684" s="517"/>
      <c r="I684" s="1161"/>
      <c r="J684" s="517"/>
      <c r="K684" s="1161">
        <v>8</v>
      </c>
      <c r="L684" s="517"/>
      <c r="M684" s="1161"/>
      <c r="N684" s="517"/>
      <c r="O684" s="1161"/>
      <c r="P684" s="517"/>
      <c r="Q684" s="1161"/>
      <c r="R684" s="588" t="s">
        <v>114</v>
      </c>
      <c r="S684" s="986">
        <f>K684</f>
        <v>8</v>
      </c>
      <c r="T684" s="972">
        <f t="shared" si="10"/>
        <v>8</v>
      </c>
      <c r="U684" s="987" t="s">
        <v>9</v>
      </c>
      <c r="V684" s="43"/>
    </row>
    <row r="685" spans="2:24" x14ac:dyDescent="0.3">
      <c r="B685" s="473"/>
      <c r="C685" s="465"/>
      <c r="D685" s="989"/>
      <c r="E685" s="695"/>
      <c r="F685" s="692"/>
      <c r="G685" s="695"/>
      <c r="H685" s="692"/>
      <c r="I685" s="695"/>
      <c r="J685" s="692"/>
      <c r="K685" s="695"/>
      <c r="L685" s="692"/>
      <c r="M685" s="695"/>
      <c r="N685" s="692"/>
      <c r="O685" s="695"/>
      <c r="P685" s="692"/>
      <c r="Q685" s="695"/>
      <c r="R685" s="692"/>
      <c r="S685" s="693"/>
      <c r="T685" s="474"/>
    </row>
    <row r="686" spans="2:24" s="1" customFormat="1" x14ac:dyDescent="0.3">
      <c r="B686" s="325"/>
      <c r="C686" s="17"/>
      <c r="D686" s="990" t="str">
        <f>RAB!C141</f>
        <v>Septiktank  &amp; Resapan</v>
      </c>
      <c r="E686" s="1161"/>
      <c r="F686" s="517"/>
      <c r="G686" s="1161"/>
      <c r="H686" s="517"/>
      <c r="I686" s="1161"/>
      <c r="J686" s="517"/>
      <c r="K686" s="1161"/>
      <c r="L686" s="517"/>
      <c r="M686" s="1161"/>
      <c r="N686" s="517"/>
      <c r="O686" s="1161"/>
      <c r="P686" s="517"/>
      <c r="Q686" s="1161"/>
      <c r="R686" s="517"/>
      <c r="S686" s="519"/>
      <c r="T686" s="134"/>
      <c r="U686" s="2"/>
      <c r="V686" s="43"/>
    </row>
    <row r="687" spans="2:24" s="1" customFormat="1" x14ac:dyDescent="0.3">
      <c r="B687" s="325"/>
      <c r="C687" s="17"/>
      <c r="D687" s="991" t="str">
        <f>RAB!D142</f>
        <v xml:space="preserve">- Galian Tanah </v>
      </c>
      <c r="E687" s="1161"/>
      <c r="F687" s="517"/>
      <c r="G687" s="1161"/>
      <c r="H687" s="517"/>
      <c r="I687" s="1161"/>
      <c r="J687" s="517"/>
      <c r="K687" s="1161"/>
      <c r="L687" s="517"/>
      <c r="M687" s="1161"/>
      <c r="N687" s="517"/>
      <c r="O687" s="1161"/>
      <c r="P687" s="517"/>
      <c r="Q687" s="1161"/>
      <c r="R687" s="517"/>
      <c r="S687" s="519">
        <f>SUM(S688:S689)</f>
        <v>12.600000000000001</v>
      </c>
      <c r="T687" s="972">
        <f>ROUNDDOWN(S687,2)</f>
        <v>12.6</v>
      </c>
      <c r="U687" s="987" t="s">
        <v>3</v>
      </c>
      <c r="V687" s="43"/>
    </row>
    <row r="688" spans="2:24" s="1" customFormat="1" x14ac:dyDescent="0.3">
      <c r="B688" s="325"/>
      <c r="C688" s="17"/>
      <c r="D688" s="991" t="s">
        <v>838</v>
      </c>
      <c r="E688" s="1161">
        <v>3</v>
      </c>
      <c r="F688" s="517" t="s">
        <v>185</v>
      </c>
      <c r="G688" s="1161">
        <v>1.8</v>
      </c>
      <c r="H688" s="517" t="s">
        <v>185</v>
      </c>
      <c r="I688" s="1161">
        <v>1.5</v>
      </c>
      <c r="J688" s="517"/>
      <c r="K688" s="1161"/>
      <c r="L688" s="517"/>
      <c r="M688" s="1161"/>
      <c r="N688" s="517"/>
      <c r="O688" s="1161"/>
      <c r="P688" s="517"/>
      <c r="Q688" s="1161"/>
      <c r="R688" s="517" t="s">
        <v>114</v>
      </c>
      <c r="S688" s="519">
        <f>I688*G688*E688</f>
        <v>8.1000000000000014</v>
      </c>
      <c r="T688" s="134"/>
      <c r="U688" s="2"/>
      <c r="V688" s="43"/>
    </row>
    <row r="689" spans="2:23" s="1" customFormat="1" x14ac:dyDescent="0.3">
      <c r="B689" s="325"/>
      <c r="C689" s="17"/>
      <c r="D689" s="991" t="s">
        <v>839</v>
      </c>
      <c r="E689" s="1161">
        <v>2</v>
      </c>
      <c r="F689" s="517" t="s">
        <v>185</v>
      </c>
      <c r="G689" s="1161">
        <v>1.5</v>
      </c>
      <c r="H689" s="517" t="s">
        <v>185</v>
      </c>
      <c r="I689" s="1161">
        <v>1.5</v>
      </c>
      <c r="J689" s="517"/>
      <c r="K689" s="1161"/>
      <c r="L689" s="517"/>
      <c r="M689" s="1161"/>
      <c r="N689" s="517"/>
      <c r="O689" s="1161"/>
      <c r="P689" s="517"/>
      <c r="Q689" s="1161"/>
      <c r="R689" s="517" t="s">
        <v>114</v>
      </c>
      <c r="S689" s="519">
        <f>I689*G689*E689</f>
        <v>4.5</v>
      </c>
      <c r="T689" s="134"/>
      <c r="U689" s="2"/>
      <c r="V689" s="43"/>
    </row>
    <row r="690" spans="2:23" s="1" customFormat="1" x14ac:dyDescent="0.3">
      <c r="B690" s="325"/>
      <c r="C690" s="17"/>
      <c r="D690" s="991" t="str">
        <f>RAB!D143</f>
        <v>- Pasangan Batu-Bata 1 : 4</v>
      </c>
      <c r="E690" s="1161"/>
      <c r="F690" s="517"/>
      <c r="G690" s="1161"/>
      <c r="H690" s="517"/>
      <c r="I690" s="1161"/>
      <c r="J690" s="517"/>
      <c r="K690" s="1161"/>
      <c r="L690" s="517"/>
      <c r="M690" s="1161"/>
      <c r="N690" s="517"/>
      <c r="O690" s="1161"/>
      <c r="P690" s="517"/>
      <c r="Q690" s="327">
        <f>SUM(Q691:Q692)</f>
        <v>31.5</v>
      </c>
      <c r="R690" s="517"/>
      <c r="S690" s="519"/>
      <c r="T690" s="972">
        <f>ROUNDDOWN(Q690,2)</f>
        <v>31.5</v>
      </c>
      <c r="U690" s="987" t="s">
        <v>2</v>
      </c>
      <c r="V690" s="43"/>
    </row>
    <row r="691" spans="2:23" s="1" customFormat="1" x14ac:dyDescent="0.3">
      <c r="B691" s="325"/>
      <c r="C691" s="17"/>
      <c r="D691" s="991" t="s">
        <v>838</v>
      </c>
      <c r="E691" s="1161">
        <f>(2.6+1.6)*3</f>
        <v>12.600000000000001</v>
      </c>
      <c r="F691" s="517" t="s">
        <v>185</v>
      </c>
      <c r="G691" s="1161">
        <v>1.5</v>
      </c>
      <c r="H691" s="517"/>
      <c r="I691" s="1161"/>
      <c r="J691" s="517"/>
      <c r="K691" s="1161"/>
      <c r="L691" s="517"/>
      <c r="M691" s="1161"/>
      <c r="N691" s="517"/>
      <c r="O691" s="1161"/>
      <c r="P691" s="517" t="s">
        <v>114</v>
      </c>
      <c r="Q691" s="1161">
        <f>G691*E691</f>
        <v>18.900000000000002</v>
      </c>
      <c r="R691" s="517"/>
      <c r="S691" s="519"/>
      <c r="T691" s="134"/>
      <c r="U691" s="2"/>
      <c r="V691" s="43"/>
    </row>
    <row r="692" spans="2:23" s="1" customFormat="1" x14ac:dyDescent="0.3">
      <c r="B692" s="325"/>
      <c r="C692" s="17"/>
      <c r="D692" s="991" t="s">
        <v>839</v>
      </c>
      <c r="E692" s="1161">
        <f>(1.6+1.2)*3</f>
        <v>8.3999999999999986</v>
      </c>
      <c r="F692" s="517" t="s">
        <v>185</v>
      </c>
      <c r="G692" s="1161">
        <v>1.5</v>
      </c>
      <c r="H692" s="517"/>
      <c r="I692" s="1161"/>
      <c r="J692" s="517"/>
      <c r="K692" s="1161"/>
      <c r="L692" s="517"/>
      <c r="M692" s="1161"/>
      <c r="N692" s="517"/>
      <c r="O692" s="1161"/>
      <c r="P692" s="517" t="s">
        <v>114</v>
      </c>
      <c r="Q692" s="1161">
        <f>G692*E692</f>
        <v>12.599999999999998</v>
      </c>
      <c r="R692" s="517"/>
      <c r="S692" s="519"/>
      <c r="T692" s="134"/>
      <c r="U692" s="2"/>
      <c r="V692" s="43"/>
    </row>
    <row r="693" spans="2:23" s="1" customFormat="1" x14ac:dyDescent="0.3">
      <c r="B693" s="325"/>
      <c r="C693" s="17"/>
      <c r="D693" s="991" t="str">
        <f>RAB!D144</f>
        <v>- Plasteran 1 : 2 Tebal 1,5 cm</v>
      </c>
      <c r="E693" s="1161"/>
      <c r="F693" s="517"/>
      <c r="G693" s="1161"/>
      <c r="H693" s="517"/>
      <c r="I693" s="1161"/>
      <c r="J693" s="517"/>
      <c r="K693" s="1161">
        <f>Q690</f>
        <v>31.5</v>
      </c>
      <c r="L693" s="517" t="s">
        <v>185</v>
      </c>
      <c r="M693" s="1161"/>
      <c r="N693" s="517"/>
      <c r="O693" s="1161">
        <v>1</v>
      </c>
      <c r="P693" s="517" t="s">
        <v>114</v>
      </c>
      <c r="Q693" s="1161">
        <f>O693*K693</f>
        <v>31.5</v>
      </c>
      <c r="R693" s="517"/>
      <c r="S693" s="519"/>
      <c r="T693" s="972">
        <f>ROUNDDOWN(Q693,2)</f>
        <v>31.5</v>
      </c>
      <c r="U693" s="987" t="s">
        <v>2</v>
      </c>
      <c r="V693" s="43"/>
    </row>
    <row r="694" spans="2:23" ht="27" x14ac:dyDescent="0.3">
      <c r="B694" s="473"/>
      <c r="C694" s="465"/>
      <c r="D694" s="993" t="str">
        <f>RAB!D145</f>
        <v>- Beton mutu f'c=14,5 Mpa (K 175) Lantai dan Cover</v>
      </c>
      <c r="E694" s="695"/>
      <c r="F694" s="692"/>
      <c r="G694" s="695"/>
      <c r="H694" s="692"/>
      <c r="I694" s="695"/>
      <c r="J694" s="692"/>
      <c r="K694" s="695"/>
      <c r="L694" s="692"/>
      <c r="M694" s="695"/>
      <c r="N694" s="692"/>
      <c r="O694" s="695"/>
      <c r="P694" s="692"/>
      <c r="Q694" s="695"/>
      <c r="R694" s="692"/>
      <c r="S694" s="519">
        <f>SUM(S695:S696)</f>
        <v>0.67200000000000004</v>
      </c>
      <c r="T694" s="972">
        <f>ROUNDDOWN(S694,2)</f>
        <v>0.67</v>
      </c>
      <c r="U694" s="987" t="s">
        <v>3</v>
      </c>
    </row>
    <row r="695" spans="2:23" s="1" customFormat="1" x14ac:dyDescent="0.3">
      <c r="B695" s="325"/>
      <c r="C695" s="17"/>
      <c r="D695" s="991" t="s">
        <v>838</v>
      </c>
      <c r="E695" s="1161">
        <v>3</v>
      </c>
      <c r="F695" s="517" t="s">
        <v>185</v>
      </c>
      <c r="G695" s="1161">
        <v>1.8</v>
      </c>
      <c r="H695" s="517" t="s">
        <v>185</v>
      </c>
      <c r="I695" s="1161">
        <v>0.08</v>
      </c>
      <c r="J695" s="517"/>
      <c r="K695" s="1161"/>
      <c r="L695" s="517"/>
      <c r="M695" s="1161"/>
      <c r="N695" s="517"/>
      <c r="O695" s="1161"/>
      <c r="P695" s="517"/>
      <c r="Q695" s="1161"/>
      <c r="R695" s="517" t="s">
        <v>114</v>
      </c>
      <c r="S695" s="519">
        <f>I695*G695*E695</f>
        <v>0.43200000000000005</v>
      </c>
      <c r="T695" s="134"/>
      <c r="U695" s="2"/>
      <c r="V695" s="43"/>
    </row>
    <row r="696" spans="2:23" s="1" customFormat="1" x14ac:dyDescent="0.3">
      <c r="B696" s="325"/>
      <c r="C696" s="17"/>
      <c r="D696" s="991" t="s">
        <v>839</v>
      </c>
      <c r="E696" s="1161">
        <v>2</v>
      </c>
      <c r="F696" s="517" t="s">
        <v>185</v>
      </c>
      <c r="G696" s="1161">
        <v>1.5</v>
      </c>
      <c r="H696" s="517" t="s">
        <v>185</v>
      </c>
      <c r="I696" s="1161">
        <f>I695</f>
        <v>0.08</v>
      </c>
      <c r="J696" s="517"/>
      <c r="K696" s="1161"/>
      <c r="L696" s="517"/>
      <c r="M696" s="1161"/>
      <c r="N696" s="517"/>
      <c r="O696" s="1161"/>
      <c r="P696" s="517"/>
      <c r="Q696" s="1161"/>
      <c r="R696" s="517" t="s">
        <v>114</v>
      </c>
      <c r="S696" s="519">
        <f>I696*G696*E696</f>
        <v>0.24</v>
      </c>
      <c r="T696" s="134"/>
      <c r="U696" s="2"/>
      <c r="V696" s="43"/>
    </row>
    <row r="697" spans="2:23" s="1" customFormat="1" x14ac:dyDescent="0.3">
      <c r="B697" s="325"/>
      <c r="C697" s="17"/>
      <c r="D697" s="991" t="str">
        <f>RAB!D146</f>
        <v>- Pembesian dengan Besi Polos</v>
      </c>
      <c r="E697" s="1161"/>
      <c r="F697" s="517"/>
      <c r="G697" s="1161"/>
      <c r="H697" s="517"/>
      <c r="I697" s="1161"/>
      <c r="J697" s="517"/>
      <c r="K697" s="1161"/>
      <c r="L697" s="517"/>
      <c r="M697" s="1161"/>
      <c r="N697" s="517"/>
      <c r="O697" s="1161"/>
      <c r="P697" s="517"/>
      <c r="Q697" s="1161"/>
      <c r="R697" s="517"/>
      <c r="S697" s="519">
        <f>SUM(S698:S703)</f>
        <v>220.06914285714288</v>
      </c>
      <c r="T697" s="972">
        <f>ROUNDDOWN(S697,2)</f>
        <v>220.06</v>
      </c>
      <c r="U697" s="987" t="s">
        <v>0</v>
      </c>
      <c r="V697" s="43"/>
    </row>
    <row r="698" spans="2:23" s="1" customFormat="1" x14ac:dyDescent="0.3">
      <c r="B698" s="325"/>
      <c r="C698" s="17"/>
      <c r="D698" s="991" t="s">
        <v>838</v>
      </c>
      <c r="E698" s="1161"/>
      <c r="F698" s="517"/>
      <c r="G698" s="1161"/>
      <c r="H698" s="517"/>
      <c r="I698" s="1161"/>
      <c r="J698" s="517"/>
      <c r="K698" s="1161"/>
      <c r="L698" s="517"/>
      <c r="M698" s="1161"/>
      <c r="N698" s="517"/>
      <c r="O698" s="1161"/>
      <c r="P698" s="517"/>
      <c r="Q698" s="1161"/>
      <c r="R698" s="517"/>
      <c r="S698" s="519"/>
      <c r="T698" s="134"/>
      <c r="U698" s="2"/>
      <c r="V698" s="43"/>
      <c r="W698" s="37">
        <f>E699/0.15</f>
        <v>24</v>
      </c>
    </row>
    <row r="699" spans="2:23" s="1" customFormat="1" x14ac:dyDescent="0.3">
      <c r="B699" s="325"/>
      <c r="C699" s="17"/>
      <c r="D699" s="994" t="s">
        <v>840</v>
      </c>
      <c r="E699" s="1161">
        <v>3.6</v>
      </c>
      <c r="F699" s="517" t="s">
        <v>185</v>
      </c>
      <c r="G699" s="1161"/>
      <c r="H699" s="517"/>
      <c r="I699" s="1161"/>
      <c r="J699" s="517"/>
      <c r="K699" s="1161">
        <v>2</v>
      </c>
      <c r="L699" s="517" t="s">
        <v>185</v>
      </c>
      <c r="M699" s="1161">
        <v>16</v>
      </c>
      <c r="N699" s="517" t="s">
        <v>185</v>
      </c>
      <c r="O699" s="1161">
        <v>7850</v>
      </c>
      <c r="P699" s="517" t="s">
        <v>185</v>
      </c>
      <c r="Q699" s="1161">
        <f>22/7*0.005*0.005</f>
        <v>7.857142857142858E-5</v>
      </c>
      <c r="R699" s="517" t="s">
        <v>114</v>
      </c>
      <c r="S699" s="519">
        <f>Q699*O699*M699*K699*E699</f>
        <v>71.053714285714292</v>
      </c>
      <c r="T699" s="134"/>
      <c r="U699" s="2"/>
      <c r="V699" s="43"/>
      <c r="W699" s="37">
        <f>E700/0.15</f>
        <v>16</v>
      </c>
    </row>
    <row r="700" spans="2:23" s="1" customFormat="1" x14ac:dyDescent="0.3">
      <c r="B700" s="325"/>
      <c r="C700" s="17"/>
      <c r="D700" s="994" t="s">
        <v>252</v>
      </c>
      <c r="E700" s="1161">
        <v>2.4</v>
      </c>
      <c r="F700" s="517" t="s">
        <v>185</v>
      </c>
      <c r="G700" s="1161"/>
      <c r="H700" s="517"/>
      <c r="I700" s="1161"/>
      <c r="J700" s="517"/>
      <c r="K700" s="1161">
        <v>2</v>
      </c>
      <c r="L700" s="517" t="s">
        <v>185</v>
      </c>
      <c r="M700" s="1161">
        <v>24</v>
      </c>
      <c r="N700" s="517" t="s">
        <v>185</v>
      </c>
      <c r="O700" s="1161">
        <f>O699</f>
        <v>7850</v>
      </c>
      <c r="P700" s="517" t="s">
        <v>185</v>
      </c>
      <c r="Q700" s="1161">
        <f>Q699</f>
        <v>7.857142857142858E-5</v>
      </c>
      <c r="R700" s="517" t="s">
        <v>114</v>
      </c>
      <c r="S700" s="519">
        <f>Q700*O700*M700*K700*E700</f>
        <v>71.053714285714292</v>
      </c>
      <c r="T700" s="134"/>
      <c r="U700" s="2"/>
      <c r="V700" s="43"/>
    </row>
    <row r="701" spans="2:23" s="1" customFormat="1" x14ac:dyDescent="0.3">
      <c r="B701" s="325"/>
      <c r="C701" s="17"/>
      <c r="D701" s="991" t="str">
        <f>D696</f>
        <v>st 2</v>
      </c>
      <c r="E701" s="1161"/>
      <c r="F701" s="517"/>
      <c r="G701" s="1161"/>
      <c r="H701" s="517"/>
      <c r="I701" s="1161"/>
      <c r="J701" s="517"/>
      <c r="K701" s="1161"/>
      <c r="L701" s="517"/>
      <c r="M701" s="1161"/>
      <c r="N701" s="517"/>
      <c r="O701" s="1161"/>
      <c r="P701" s="517"/>
      <c r="Q701" s="1161"/>
      <c r="R701" s="517"/>
      <c r="S701" s="519"/>
      <c r="T701" s="134"/>
      <c r="U701" s="2"/>
      <c r="V701" s="43"/>
    </row>
    <row r="702" spans="2:23" s="1" customFormat="1" x14ac:dyDescent="0.3">
      <c r="B702" s="325"/>
      <c r="C702" s="17"/>
      <c r="D702" s="994" t="s">
        <v>840</v>
      </c>
      <c r="E702" s="1161">
        <v>2.4</v>
      </c>
      <c r="F702" s="517" t="s">
        <v>185</v>
      </c>
      <c r="G702" s="1161"/>
      <c r="H702" s="517"/>
      <c r="I702" s="1161"/>
      <c r="J702" s="517"/>
      <c r="K702" s="1161">
        <v>2</v>
      </c>
      <c r="L702" s="517" t="s">
        <v>185</v>
      </c>
      <c r="M702" s="1161">
        <v>13</v>
      </c>
      <c r="N702" s="517" t="s">
        <v>185</v>
      </c>
      <c r="O702" s="1161">
        <v>7850</v>
      </c>
      <c r="P702" s="517" t="s">
        <v>185</v>
      </c>
      <c r="Q702" s="1161">
        <f>22/7*0.005*0.005</f>
        <v>7.857142857142858E-5</v>
      </c>
      <c r="R702" s="517" t="s">
        <v>114</v>
      </c>
      <c r="S702" s="519">
        <f>Q702*O702*M702*K702*E702</f>
        <v>38.487428571428573</v>
      </c>
      <c r="T702" s="134"/>
      <c r="U702" s="2"/>
      <c r="V702" s="43"/>
      <c r="W702" s="37">
        <f>E702/0.15</f>
        <v>16</v>
      </c>
    </row>
    <row r="703" spans="2:23" s="1" customFormat="1" x14ac:dyDescent="0.3">
      <c r="B703" s="325"/>
      <c r="C703" s="17"/>
      <c r="D703" s="994" t="s">
        <v>252</v>
      </c>
      <c r="E703" s="1161">
        <v>2</v>
      </c>
      <c r="F703" s="517" t="s">
        <v>185</v>
      </c>
      <c r="G703" s="1161"/>
      <c r="H703" s="517"/>
      <c r="I703" s="1161"/>
      <c r="J703" s="517"/>
      <c r="K703" s="1161">
        <v>2</v>
      </c>
      <c r="L703" s="517" t="s">
        <v>185</v>
      </c>
      <c r="M703" s="1161">
        <v>16</v>
      </c>
      <c r="N703" s="517" t="s">
        <v>185</v>
      </c>
      <c r="O703" s="1161">
        <f>O702</f>
        <v>7850</v>
      </c>
      <c r="P703" s="517" t="s">
        <v>185</v>
      </c>
      <c r="Q703" s="1161">
        <f>Q702</f>
        <v>7.857142857142858E-5</v>
      </c>
      <c r="R703" s="517" t="s">
        <v>114</v>
      </c>
      <c r="S703" s="519">
        <f>Q703*O703*M703*K703*E703</f>
        <v>39.47428571428572</v>
      </c>
      <c r="T703" s="134"/>
      <c r="U703" s="2"/>
      <c r="V703" s="43"/>
      <c r="W703" s="37">
        <f>E703/0.15</f>
        <v>13.333333333333334</v>
      </c>
    </row>
    <row r="704" spans="2:23" s="1" customFormat="1" x14ac:dyDescent="0.3">
      <c r="B704" s="325"/>
      <c r="C704" s="17"/>
      <c r="D704" s="991" t="str">
        <f>RAB!D147</f>
        <v>- Bekisting plat</v>
      </c>
      <c r="E704" s="1161"/>
      <c r="F704" s="517"/>
      <c r="G704" s="1161"/>
      <c r="H704" s="517"/>
      <c r="I704" s="1161"/>
      <c r="J704" s="517"/>
      <c r="K704" s="1161"/>
      <c r="L704" s="517"/>
      <c r="M704" s="1161"/>
      <c r="N704" s="517"/>
      <c r="O704" s="1161"/>
      <c r="P704" s="517"/>
      <c r="Q704" s="327">
        <f>SUM(Q705:Q706)</f>
        <v>8.4</v>
      </c>
      <c r="R704" s="517"/>
      <c r="S704" s="519"/>
      <c r="T704" s="972">
        <f>ROUNDDOWN(Q704,2)</f>
        <v>8.4</v>
      </c>
      <c r="U704" s="987" t="s">
        <v>2</v>
      </c>
      <c r="V704" s="43"/>
    </row>
    <row r="705" spans="2:23" s="1" customFormat="1" x14ac:dyDescent="0.3">
      <c r="B705" s="325"/>
      <c r="C705" s="17"/>
      <c r="D705" s="991" t="s">
        <v>838</v>
      </c>
      <c r="E705" s="1161">
        <v>3</v>
      </c>
      <c r="F705" s="517" t="s">
        <v>185</v>
      </c>
      <c r="G705" s="1161">
        <v>1.8</v>
      </c>
      <c r="H705" s="517"/>
      <c r="I705" s="1161"/>
      <c r="J705" s="517"/>
      <c r="K705" s="1161"/>
      <c r="L705" s="517"/>
      <c r="M705" s="1161"/>
      <c r="N705" s="517"/>
      <c r="O705" s="1161"/>
      <c r="P705" s="517" t="s">
        <v>114</v>
      </c>
      <c r="Q705" s="1161">
        <f>G705*E705</f>
        <v>5.4</v>
      </c>
      <c r="R705" s="517"/>
      <c r="S705" s="519"/>
      <c r="T705" s="134"/>
      <c r="U705" s="2"/>
      <c r="V705" s="43"/>
    </row>
    <row r="706" spans="2:23" s="1" customFormat="1" x14ac:dyDescent="0.3">
      <c r="B706" s="325"/>
      <c r="C706" s="17"/>
      <c r="D706" s="991" t="s">
        <v>839</v>
      </c>
      <c r="E706" s="1161">
        <v>2</v>
      </c>
      <c r="F706" s="517" t="s">
        <v>185</v>
      </c>
      <c r="G706" s="1161">
        <v>1.5</v>
      </c>
      <c r="H706" s="517"/>
      <c r="I706" s="1161"/>
      <c r="J706" s="517"/>
      <c r="K706" s="1161"/>
      <c r="L706" s="517"/>
      <c r="M706" s="1161"/>
      <c r="N706" s="517"/>
      <c r="O706" s="1161"/>
      <c r="P706" s="517" t="s">
        <v>114</v>
      </c>
      <c r="Q706" s="1161">
        <f>G706*E706</f>
        <v>3</v>
      </c>
      <c r="R706" s="517"/>
      <c r="S706" s="519"/>
      <c r="T706" s="134"/>
      <c r="U706" s="2"/>
      <c r="V706" s="43"/>
    </row>
    <row r="707" spans="2:23" s="1" customFormat="1" x14ac:dyDescent="0.3">
      <c r="B707" s="325"/>
      <c r="C707" s="17"/>
      <c r="D707" s="991" t="str">
        <f>RAB!D148</f>
        <v>- Pipa Hawa</v>
      </c>
      <c r="E707" s="1161"/>
      <c r="F707" s="517"/>
      <c r="G707" s="1161"/>
      <c r="H707" s="517"/>
      <c r="I707" s="1161"/>
      <c r="J707" s="517"/>
      <c r="K707" s="1161">
        <v>2</v>
      </c>
      <c r="L707" s="517"/>
      <c r="M707" s="1161"/>
      <c r="N707" s="517"/>
      <c r="O707" s="1161"/>
      <c r="P707" s="517"/>
      <c r="Q707" s="1161"/>
      <c r="R707" s="588" t="s">
        <v>114</v>
      </c>
      <c r="S707" s="986">
        <f>K707</f>
        <v>2</v>
      </c>
      <c r="T707" s="972">
        <f>ROUNDDOWN(S707,2)</f>
        <v>2</v>
      </c>
      <c r="U707" s="987" t="s">
        <v>9</v>
      </c>
      <c r="V707" s="43"/>
    </row>
    <row r="708" spans="2:23" s="1" customFormat="1" x14ac:dyDescent="0.3">
      <c r="B708" s="325"/>
      <c r="C708" s="17"/>
      <c r="D708" s="991" t="str">
        <f>RAB!D149</f>
        <v>- Pipa PVC 4 Inc Berlobang 4 inc</v>
      </c>
      <c r="E708" s="1161">
        <v>9</v>
      </c>
      <c r="F708" s="517"/>
      <c r="G708" s="1161"/>
      <c r="H708" s="517"/>
      <c r="I708" s="1161"/>
      <c r="J708" s="517"/>
      <c r="K708" s="1161"/>
      <c r="L708" s="517"/>
      <c r="M708" s="1161"/>
      <c r="N708" s="517"/>
      <c r="O708" s="1161"/>
      <c r="P708" s="517"/>
      <c r="Q708" s="1161"/>
      <c r="R708" s="588" t="s">
        <v>114</v>
      </c>
      <c r="S708" s="986">
        <f>E708</f>
        <v>9</v>
      </c>
      <c r="T708" s="972">
        <f>ROUNDDOWN(S708,2)</f>
        <v>9</v>
      </c>
      <c r="U708" s="987" t="s">
        <v>27</v>
      </c>
      <c r="V708" s="43"/>
    </row>
    <row r="709" spans="2:23" s="1" customFormat="1" x14ac:dyDescent="0.3">
      <c r="B709" s="325"/>
      <c r="C709" s="17"/>
      <c r="D709" s="991" t="str">
        <f>RAB!D150</f>
        <v>- Lapisan ijuk</v>
      </c>
      <c r="E709" s="1161">
        <v>3</v>
      </c>
      <c r="F709" s="517" t="s">
        <v>185</v>
      </c>
      <c r="G709" s="1161">
        <f>22/7*0.2</f>
        <v>0.62857142857142856</v>
      </c>
      <c r="H709" s="517"/>
      <c r="I709" s="1161"/>
      <c r="J709" s="517"/>
      <c r="K709" s="1161"/>
      <c r="L709" s="517"/>
      <c r="M709" s="1161"/>
      <c r="N709" s="517"/>
      <c r="O709" s="1161"/>
      <c r="P709" s="517" t="s">
        <v>114</v>
      </c>
      <c r="Q709" s="1161">
        <f>G709*E709</f>
        <v>1.8857142857142857</v>
      </c>
      <c r="R709" s="588"/>
      <c r="S709" s="986"/>
      <c r="T709" s="972">
        <f>ROUNDDOWN(Q709,2)</f>
        <v>1.88</v>
      </c>
      <c r="U709" s="987" t="s">
        <v>2</v>
      </c>
      <c r="V709" s="43"/>
    </row>
    <row r="710" spans="2:23" s="1" customFormat="1" x14ac:dyDescent="0.3">
      <c r="B710" s="325"/>
      <c r="C710" s="17"/>
      <c r="D710" s="991" t="str">
        <f>RAB!D151</f>
        <v>- Kerikil</v>
      </c>
      <c r="E710" s="1161"/>
      <c r="F710" s="517"/>
      <c r="G710" s="1161"/>
      <c r="H710" s="517"/>
      <c r="I710" s="1161"/>
      <c r="J710" s="517"/>
      <c r="K710" s="1161">
        <v>0.98000000000000009</v>
      </c>
      <c r="L710" s="517"/>
      <c r="M710" s="1161"/>
      <c r="N710" s="517"/>
      <c r="O710" s="1161"/>
      <c r="P710" s="517"/>
      <c r="Q710" s="1161"/>
      <c r="R710" s="588" t="s">
        <v>114</v>
      </c>
      <c r="S710" s="986">
        <f>K710</f>
        <v>0.98000000000000009</v>
      </c>
      <c r="T710" s="972">
        <f>ROUNDDOWN(S710,2)</f>
        <v>0.98</v>
      </c>
      <c r="U710" s="987" t="s">
        <v>3</v>
      </c>
      <c r="V710" s="43"/>
    </row>
    <row r="711" spans="2:23" x14ac:dyDescent="0.3">
      <c r="B711" s="473"/>
      <c r="C711" s="465"/>
      <c r="D711" s="989"/>
      <c r="E711" s="695"/>
      <c r="F711" s="692"/>
      <c r="G711" s="695"/>
      <c r="H711" s="692"/>
      <c r="I711" s="695"/>
      <c r="J711" s="692"/>
      <c r="K711" s="695"/>
      <c r="L711" s="692"/>
      <c r="M711" s="695"/>
      <c r="N711" s="692"/>
      <c r="O711" s="695"/>
      <c r="P711" s="692"/>
      <c r="Q711" s="695"/>
      <c r="R711" s="692"/>
      <c r="S711" s="693"/>
      <c r="T711" s="474"/>
    </row>
    <row r="712" spans="2:23" s="1" customFormat="1" x14ac:dyDescent="0.3">
      <c r="B712" s="325"/>
      <c r="C712" s="17"/>
      <c r="D712" s="995" t="e">
        <f>RAB!#REF!</f>
        <v>#REF!</v>
      </c>
      <c r="E712" s="1161"/>
      <c r="F712" s="517"/>
      <c r="G712" s="1161"/>
      <c r="H712" s="517"/>
      <c r="I712" s="1161"/>
      <c r="J712" s="517"/>
      <c r="K712" s="1161"/>
      <c r="L712" s="517"/>
      <c r="M712" s="1161"/>
      <c r="N712" s="517"/>
      <c r="O712" s="1161"/>
      <c r="P712" s="517"/>
      <c r="Q712" s="1161"/>
      <c r="R712" s="517"/>
      <c r="S712" s="519"/>
      <c r="T712" s="134"/>
      <c r="U712" s="2"/>
      <c r="V712" s="43"/>
    </row>
    <row r="713" spans="2:23" s="1" customFormat="1" x14ac:dyDescent="0.3">
      <c r="B713" s="325"/>
      <c r="C713" s="17"/>
      <c r="D713" s="991" t="e">
        <f>RAB!#REF!</f>
        <v>#REF!</v>
      </c>
      <c r="E713" s="1161">
        <v>4</v>
      </c>
      <c r="F713" s="517" t="s">
        <v>185</v>
      </c>
      <c r="G713" s="1161">
        <v>2</v>
      </c>
      <c r="H713" s="517" t="s">
        <v>185</v>
      </c>
      <c r="I713" s="1161">
        <v>1.7</v>
      </c>
      <c r="J713" s="517"/>
      <c r="K713" s="1161"/>
      <c r="L713" s="517"/>
      <c r="M713" s="1161"/>
      <c r="N713" s="517"/>
      <c r="O713" s="1161"/>
      <c r="P713" s="517"/>
      <c r="Q713" s="1161"/>
      <c r="R713" s="517" t="s">
        <v>114</v>
      </c>
      <c r="S713" s="519">
        <f>I713*G713*E713</f>
        <v>13.6</v>
      </c>
      <c r="T713" s="972">
        <f>ROUNDDOWN(S713,2)</f>
        <v>13.6</v>
      </c>
      <c r="U713" s="987" t="s">
        <v>3</v>
      </c>
      <c r="V713" s="43"/>
    </row>
    <row r="714" spans="2:23" s="1" customFormat="1" x14ac:dyDescent="0.3">
      <c r="B714" s="325"/>
      <c r="C714" s="17"/>
      <c r="D714" s="991" t="e">
        <f>RAB!#REF!</f>
        <v>#REF!</v>
      </c>
      <c r="E714" s="1161">
        <v>4</v>
      </c>
      <c r="F714" s="517" t="s">
        <v>185</v>
      </c>
      <c r="G714" s="1161">
        <v>2</v>
      </c>
      <c r="H714" s="517" t="s">
        <v>185</v>
      </c>
      <c r="I714" s="1161">
        <v>0.05</v>
      </c>
      <c r="J714" s="517"/>
      <c r="K714" s="1161"/>
      <c r="L714" s="517"/>
      <c r="M714" s="1161"/>
      <c r="N714" s="517"/>
      <c r="O714" s="1161"/>
      <c r="P714" s="517"/>
      <c r="Q714" s="1161"/>
      <c r="R714" s="517" t="s">
        <v>114</v>
      </c>
      <c r="S714" s="519">
        <f>I714*G714*E714</f>
        <v>0.4</v>
      </c>
      <c r="T714" s="972">
        <f>ROUNDDOWN(S714,2)</f>
        <v>0.4</v>
      </c>
      <c r="U714" s="987" t="s">
        <v>3</v>
      </c>
      <c r="V714" s="43"/>
    </row>
    <row r="715" spans="2:23" s="1" customFormat="1" x14ac:dyDescent="0.3">
      <c r="B715" s="325"/>
      <c r="C715" s="17"/>
      <c r="D715" s="1031" t="e">
        <f>RAB!#REF!</f>
        <v>#REF!</v>
      </c>
      <c r="E715" s="1161">
        <v>4</v>
      </c>
      <c r="F715" s="517" t="s">
        <v>185</v>
      </c>
      <c r="G715" s="1161">
        <v>2</v>
      </c>
      <c r="H715" s="517" t="s">
        <v>185</v>
      </c>
      <c r="I715" s="1161">
        <v>0.2</v>
      </c>
      <c r="J715" s="517"/>
      <c r="K715" s="1161"/>
      <c r="L715" s="517"/>
      <c r="M715" s="1161"/>
      <c r="N715" s="517"/>
      <c r="O715" s="1161"/>
      <c r="P715" s="517"/>
      <c r="Q715" s="1161"/>
      <c r="R715" s="517" t="s">
        <v>114</v>
      </c>
      <c r="S715" s="519">
        <f>I715*G715*E715</f>
        <v>1.6</v>
      </c>
      <c r="T715" s="972">
        <f>ROUNDDOWN(S715,2)</f>
        <v>1.6</v>
      </c>
      <c r="U715" s="987" t="s">
        <v>3</v>
      </c>
      <c r="V715" s="43"/>
    </row>
    <row r="716" spans="2:23" s="1" customFormat="1" x14ac:dyDescent="0.3">
      <c r="B716" s="325"/>
      <c r="C716" s="17"/>
      <c r="D716" s="991" t="e">
        <f>RAB!#REF!</f>
        <v>#REF!</v>
      </c>
      <c r="E716" s="1161"/>
      <c r="F716" s="517"/>
      <c r="G716" s="1161"/>
      <c r="H716" s="517"/>
      <c r="I716" s="1161"/>
      <c r="J716" s="517"/>
      <c r="K716" s="1161"/>
      <c r="L716" s="517"/>
      <c r="M716" s="1161"/>
      <c r="N716" s="517"/>
      <c r="O716" s="1161"/>
      <c r="P716" s="517"/>
      <c r="Q716" s="1161"/>
      <c r="R716" s="517"/>
      <c r="S716" s="519">
        <f>SUM(S717:S718)</f>
        <v>135.69285714285718</v>
      </c>
      <c r="T716" s="972">
        <f>ROUNDDOWN(S716,2)</f>
        <v>135.69</v>
      </c>
      <c r="U716" s="987" t="s">
        <v>0</v>
      </c>
      <c r="V716" s="43"/>
    </row>
    <row r="717" spans="2:23" s="1" customFormat="1" x14ac:dyDescent="0.3">
      <c r="B717" s="325"/>
      <c r="C717" s="17"/>
      <c r="D717" s="994" t="s">
        <v>840</v>
      </c>
      <c r="E717" s="1161">
        <f>E713</f>
        <v>4</v>
      </c>
      <c r="F717" s="517" t="s">
        <v>185</v>
      </c>
      <c r="G717" s="1161"/>
      <c r="H717" s="517"/>
      <c r="I717" s="1161"/>
      <c r="J717" s="517"/>
      <c r="K717" s="1161">
        <v>2</v>
      </c>
      <c r="L717" s="517" t="s">
        <v>185</v>
      </c>
      <c r="M717" s="1161">
        <v>14</v>
      </c>
      <c r="N717" s="517" t="s">
        <v>185</v>
      </c>
      <c r="O717" s="1161">
        <v>7850</v>
      </c>
      <c r="P717" s="517" t="s">
        <v>185</v>
      </c>
      <c r="Q717" s="1161">
        <f>22/7*0.005*0.005</f>
        <v>7.857142857142858E-5</v>
      </c>
      <c r="R717" s="517" t="s">
        <v>114</v>
      </c>
      <c r="S717" s="519">
        <f>Q717*O717*M717*K717*E717</f>
        <v>69.080000000000013</v>
      </c>
      <c r="T717" s="134"/>
      <c r="U717" s="2"/>
      <c r="V717" s="43"/>
      <c r="W717" s="37">
        <f>E718/0.15</f>
        <v>13.333333333333334</v>
      </c>
    </row>
    <row r="718" spans="2:23" s="1" customFormat="1" x14ac:dyDescent="0.3">
      <c r="B718" s="325"/>
      <c r="C718" s="17"/>
      <c r="D718" s="994" t="s">
        <v>252</v>
      </c>
      <c r="E718" s="1161">
        <f>G713</f>
        <v>2</v>
      </c>
      <c r="F718" s="517" t="s">
        <v>185</v>
      </c>
      <c r="G718" s="1161"/>
      <c r="H718" s="517"/>
      <c r="I718" s="1161"/>
      <c r="J718" s="517"/>
      <c r="K718" s="1161">
        <v>2</v>
      </c>
      <c r="L718" s="517" t="s">
        <v>185</v>
      </c>
      <c r="M718" s="1161">
        <v>27</v>
      </c>
      <c r="N718" s="517" t="s">
        <v>185</v>
      </c>
      <c r="O718" s="1161">
        <f>O717</f>
        <v>7850</v>
      </c>
      <c r="P718" s="517" t="s">
        <v>185</v>
      </c>
      <c r="Q718" s="1161">
        <f>Q717</f>
        <v>7.857142857142858E-5</v>
      </c>
      <c r="R718" s="517" t="s">
        <v>114</v>
      </c>
      <c r="S718" s="519">
        <f>Q718*O718*M718*K718*E718</f>
        <v>66.612857142857152</v>
      </c>
      <c r="T718" s="134"/>
      <c r="U718" s="2"/>
      <c r="V718" s="43"/>
      <c r="W718" s="37">
        <f>E717/0.15</f>
        <v>26.666666666666668</v>
      </c>
    </row>
    <row r="719" spans="2:23" s="1" customFormat="1" x14ac:dyDescent="0.3">
      <c r="B719" s="325"/>
      <c r="C719" s="17"/>
      <c r="D719" s="991" t="e">
        <f>RAB!#REF!</f>
        <v>#REF!</v>
      </c>
      <c r="E719" s="1161"/>
      <c r="F719" s="517"/>
      <c r="G719" s="1161"/>
      <c r="H719" s="517"/>
      <c r="I719" s="1161"/>
      <c r="J719" s="517"/>
      <c r="K719" s="1161">
        <v>2</v>
      </c>
      <c r="L719" s="517"/>
      <c r="M719" s="1161"/>
      <c r="N719" s="517"/>
      <c r="O719" s="1161"/>
      <c r="P719" s="517"/>
      <c r="Q719" s="1161"/>
      <c r="R719" s="588" t="s">
        <v>114</v>
      </c>
      <c r="S719" s="986">
        <f>K719</f>
        <v>2</v>
      </c>
      <c r="T719" s="972">
        <f>ROUNDDOWN(S719,2)</f>
        <v>2</v>
      </c>
      <c r="U719" s="987" t="s">
        <v>9</v>
      </c>
      <c r="V719" s="43"/>
    </row>
    <row r="720" spans="2:23" s="1" customFormat="1" x14ac:dyDescent="0.3">
      <c r="B720" s="325"/>
      <c r="C720" s="17"/>
      <c r="D720" s="991" t="e">
        <f>RAB!#REF!</f>
        <v>#REF!</v>
      </c>
      <c r="E720" s="619"/>
      <c r="F720" s="526"/>
      <c r="G720" s="619"/>
      <c r="H720" s="526"/>
      <c r="I720" s="619"/>
      <c r="J720" s="526"/>
      <c r="K720" s="619"/>
      <c r="L720" s="526"/>
      <c r="M720" s="619"/>
      <c r="N720" s="526"/>
      <c r="O720" s="619"/>
      <c r="P720" s="526"/>
      <c r="Q720" s="619"/>
      <c r="R720" s="526"/>
      <c r="S720" s="620">
        <f>S713-6</f>
        <v>7.6</v>
      </c>
      <c r="T720" s="972">
        <f>ROUNDDOWN(S720,2)</f>
        <v>7.6</v>
      </c>
      <c r="U720" s="987" t="s">
        <v>3</v>
      </c>
      <c r="V720" s="43"/>
    </row>
    <row r="721" spans="2:23" x14ac:dyDescent="0.3">
      <c r="B721" s="473"/>
      <c r="C721" s="465"/>
      <c r="D721" s="475"/>
      <c r="E721" s="503"/>
      <c r="F721" s="694"/>
      <c r="G721" s="503"/>
      <c r="H721" s="694"/>
      <c r="I721" s="503"/>
      <c r="J721" s="694"/>
      <c r="K721" s="503"/>
      <c r="L721" s="694"/>
      <c r="M721" s="503"/>
      <c r="N721" s="694"/>
      <c r="O721" s="503"/>
      <c r="P721" s="694"/>
      <c r="Q721" s="503"/>
      <c r="R721" s="694"/>
      <c r="S721" s="550"/>
    </row>
    <row r="722" spans="2:23" x14ac:dyDescent="0.3">
      <c r="B722" s="473"/>
      <c r="C722" s="465"/>
      <c r="D722" s="658"/>
      <c r="E722" s="974"/>
      <c r="F722" s="975"/>
      <c r="G722" s="974"/>
      <c r="H722" s="975"/>
      <c r="I722" s="974"/>
      <c r="J722" s="975"/>
      <c r="K722" s="974"/>
      <c r="L722" s="975"/>
      <c r="M722" s="974"/>
      <c r="N722" s="975"/>
      <c r="O722" s="974"/>
      <c r="P722" s="975"/>
      <c r="Q722" s="974"/>
      <c r="R722" s="975"/>
      <c r="S722" s="976"/>
      <c r="W722" s="351">
        <f>2*22/7*1.5*0.8*0.8</f>
        <v>6.0342857142857156</v>
      </c>
    </row>
    <row r="723" spans="2:23" s="1002" customFormat="1" ht="17.25" thickBot="1" x14ac:dyDescent="0.25">
      <c r="B723" s="996" t="str">
        <f>RAB!B154</f>
        <v>IX</v>
      </c>
      <c r="C723" s="112" t="str">
        <f>RAB!C154</f>
        <v>PEKERJAAN ELEKTRIKAL</v>
      </c>
      <c r="D723" s="997"/>
      <c r="E723" s="998"/>
      <c r="F723" s="999"/>
      <c r="G723" s="998"/>
      <c r="H723" s="999"/>
      <c r="I723" s="998"/>
      <c r="J723" s="999"/>
      <c r="K723" s="998"/>
      <c r="L723" s="999"/>
      <c r="M723" s="998"/>
      <c r="N723" s="999"/>
      <c r="O723" s="998"/>
      <c r="P723" s="999"/>
      <c r="Q723" s="998"/>
      <c r="R723" s="999"/>
      <c r="S723" s="1000"/>
      <c r="T723" s="1001"/>
      <c r="U723" s="973"/>
      <c r="V723" s="1157"/>
    </row>
    <row r="724" spans="2:23" s="1" customFormat="1" x14ac:dyDescent="0.3">
      <c r="B724" s="325"/>
      <c r="C724" s="17"/>
      <c r="D724" s="8" t="s">
        <v>95</v>
      </c>
      <c r="E724" s="154" t="s">
        <v>150</v>
      </c>
      <c r="F724" s="493"/>
      <c r="G724" s="154" t="s">
        <v>151</v>
      </c>
      <c r="H724" s="493"/>
      <c r="I724" s="154" t="s">
        <v>152</v>
      </c>
      <c r="J724" s="493"/>
      <c r="K724" s="154" t="s">
        <v>153</v>
      </c>
      <c r="L724" s="494"/>
      <c r="M724" s="163" t="s">
        <v>32</v>
      </c>
      <c r="N724" s="494"/>
      <c r="O724" s="201" t="s">
        <v>163</v>
      </c>
      <c r="P724" s="494"/>
      <c r="Q724" s="202" t="s">
        <v>151</v>
      </c>
      <c r="R724" s="494"/>
      <c r="S724" s="226" t="s">
        <v>143</v>
      </c>
      <c r="T724" s="66"/>
      <c r="U724" s="2"/>
      <c r="V724" s="43"/>
    </row>
    <row r="725" spans="2:23" s="1" customFormat="1" x14ac:dyDescent="0.3">
      <c r="B725" s="325"/>
      <c r="C725" s="17"/>
      <c r="D725" s="1005" t="str">
        <f>RAB!C155</f>
        <v>Pekerjaan Jaringan Distribusi dan KWH Meter</v>
      </c>
      <c r="E725" s="331"/>
      <c r="F725" s="575"/>
      <c r="G725" s="331"/>
      <c r="H725" s="575"/>
      <c r="I725" s="331"/>
      <c r="J725" s="575"/>
      <c r="K725" s="331"/>
      <c r="L725" s="575"/>
      <c r="M725" s="331"/>
      <c r="N725" s="575"/>
      <c r="O725" s="331"/>
      <c r="P725" s="575"/>
      <c r="Q725" s="331"/>
      <c r="R725" s="575"/>
      <c r="S725" s="577"/>
      <c r="T725" s="66"/>
      <c r="U725" s="2"/>
      <c r="V725" s="43"/>
    </row>
    <row r="726" spans="2:23" s="1" customFormat="1" x14ac:dyDescent="0.3">
      <c r="B726" s="325"/>
      <c r="C726" s="17"/>
      <c r="D726" s="1003" t="str">
        <f>RAB!D156</f>
        <v>* Biaya penyambungan baru 41500 VA ; 3 Ph</v>
      </c>
      <c r="E726" s="1161"/>
      <c r="F726" s="517"/>
      <c r="G726" s="1161"/>
      <c r="H726" s="517"/>
      <c r="I726" s="1161"/>
      <c r="J726" s="517"/>
      <c r="K726" s="1161">
        <v>53000</v>
      </c>
      <c r="L726" s="517"/>
      <c r="M726" s="1161"/>
      <c r="N726" s="517"/>
      <c r="O726" s="1161"/>
      <c r="P726" s="517"/>
      <c r="Q726" s="1161"/>
      <c r="R726" s="588" t="s">
        <v>114</v>
      </c>
      <c r="S726" s="986">
        <f>K726</f>
        <v>53000</v>
      </c>
      <c r="T726" s="972">
        <f>ROUNDDOWN(S726,2)</f>
        <v>53000</v>
      </c>
      <c r="U726" s="987" t="s">
        <v>841</v>
      </c>
      <c r="V726" s="43"/>
    </row>
    <row r="727" spans="2:23" s="1" customFormat="1" x14ac:dyDescent="0.3">
      <c r="B727" s="325"/>
      <c r="C727" s="17"/>
      <c r="D727" s="1003" t="str">
        <f>RAB!D157</f>
        <v>* Uang jaminan listrik ( UJL ) 41500 VA</v>
      </c>
      <c r="E727" s="619"/>
      <c r="F727" s="517"/>
      <c r="G727" s="1161"/>
      <c r="H727" s="517"/>
      <c r="I727" s="1161"/>
      <c r="J727" s="517"/>
      <c r="K727" s="1161">
        <v>53000</v>
      </c>
      <c r="L727" s="517"/>
      <c r="M727" s="1161"/>
      <c r="N727" s="517"/>
      <c r="O727" s="1161"/>
      <c r="P727" s="517"/>
      <c r="Q727" s="1161"/>
      <c r="R727" s="588" t="s">
        <v>114</v>
      </c>
      <c r="S727" s="986">
        <f>K727</f>
        <v>53000</v>
      </c>
      <c r="T727" s="972">
        <f>ROUNDDOWN(S727,2)</f>
        <v>53000</v>
      </c>
      <c r="U727" s="987" t="s">
        <v>841</v>
      </c>
      <c r="V727" s="43"/>
    </row>
    <row r="728" spans="2:23" s="1" customFormat="1" x14ac:dyDescent="0.3">
      <c r="B728" s="325"/>
      <c r="C728" s="17"/>
      <c r="D728" s="1003" t="str">
        <f>RAB!D158</f>
        <v>* Sertifikat Laik Operasi</v>
      </c>
      <c r="E728" s="619"/>
      <c r="F728" s="517"/>
      <c r="G728" s="1161"/>
      <c r="H728" s="517"/>
      <c r="I728" s="1161"/>
      <c r="J728" s="517"/>
      <c r="K728" s="1161">
        <v>1</v>
      </c>
      <c r="L728" s="517"/>
      <c r="M728" s="1161"/>
      <c r="N728" s="517"/>
      <c r="O728" s="1161"/>
      <c r="P728" s="517"/>
      <c r="Q728" s="1161"/>
      <c r="R728" s="588" t="s">
        <v>114</v>
      </c>
      <c r="S728" s="986">
        <f>K728</f>
        <v>1</v>
      </c>
      <c r="T728" s="972">
        <f>ROUNDDOWN(S728,2)</f>
        <v>1</v>
      </c>
      <c r="U728" s="987" t="s">
        <v>1</v>
      </c>
      <c r="V728" s="43"/>
    </row>
    <row r="729" spans="2:23" s="1" customFormat="1" x14ac:dyDescent="0.3">
      <c r="B729" s="325"/>
      <c r="C729" s="17"/>
      <c r="D729" s="1003" t="str">
        <f>RAB!D159</f>
        <v>* Biaya Administrasi</v>
      </c>
      <c r="E729" s="619"/>
      <c r="F729" s="517"/>
      <c r="G729" s="1161"/>
      <c r="H729" s="517"/>
      <c r="I729" s="1161"/>
      <c r="J729" s="517"/>
      <c r="K729" s="1161">
        <v>1</v>
      </c>
      <c r="L729" s="517"/>
      <c r="M729" s="1161"/>
      <c r="N729" s="517"/>
      <c r="O729" s="1161"/>
      <c r="P729" s="517"/>
      <c r="Q729" s="1161"/>
      <c r="R729" s="588" t="s">
        <v>114</v>
      </c>
      <c r="S729" s="986">
        <f>K729</f>
        <v>1</v>
      </c>
      <c r="T729" s="972">
        <f>ROUNDDOWN(S729,2)</f>
        <v>1</v>
      </c>
      <c r="U729" s="987" t="s">
        <v>1</v>
      </c>
      <c r="V729" s="43"/>
    </row>
    <row r="730" spans="2:23" s="1" customFormat="1" x14ac:dyDescent="0.3">
      <c r="B730" s="325"/>
      <c r="C730" s="17"/>
      <c r="D730" s="1004"/>
      <c r="E730" s="619"/>
      <c r="F730" s="517"/>
      <c r="G730" s="1161"/>
      <c r="H730" s="517"/>
      <c r="I730" s="1161"/>
      <c r="J730" s="517"/>
      <c r="K730" s="1161"/>
      <c r="L730" s="517"/>
      <c r="M730" s="1161"/>
      <c r="N730" s="517"/>
      <c r="O730" s="1161"/>
      <c r="P730" s="517"/>
      <c r="Q730" s="1161"/>
      <c r="R730" s="526"/>
      <c r="S730" s="620"/>
      <c r="T730" s="66"/>
      <c r="U730" s="2"/>
      <c r="V730" s="43"/>
    </row>
    <row r="731" spans="2:23" s="1" customFormat="1" x14ac:dyDescent="0.3">
      <c r="B731" s="325"/>
      <c r="C731" s="17"/>
      <c r="D731" s="1007" t="str">
        <f>RAB!C160</f>
        <v>PANEL</v>
      </c>
      <c r="E731" s="619"/>
      <c r="F731" s="517"/>
      <c r="G731" s="1161"/>
      <c r="H731" s="517"/>
      <c r="I731" s="1161"/>
      <c r="J731" s="517"/>
      <c r="K731" s="1161"/>
      <c r="L731" s="517"/>
      <c r="M731" s="1161"/>
      <c r="N731" s="517"/>
      <c r="O731" s="1161"/>
      <c r="P731" s="517"/>
      <c r="Q731" s="1161"/>
      <c r="R731" s="526"/>
      <c r="S731" s="620"/>
      <c r="T731" s="66"/>
      <c r="U731" s="2"/>
      <c r="V731" s="43"/>
    </row>
    <row r="732" spans="2:23" s="1" customFormat="1" x14ac:dyDescent="0.3">
      <c r="B732" s="325"/>
      <c r="C732" s="17"/>
      <c r="D732" s="1004" t="str">
        <f>RAB!C161</f>
        <v>- Main distribution panel ( MDP ) c/w Interlock COS</v>
      </c>
      <c r="E732" s="619"/>
      <c r="F732" s="517"/>
      <c r="G732" s="1161"/>
      <c r="H732" s="517"/>
      <c r="I732" s="1161"/>
      <c r="J732" s="517"/>
      <c r="K732" s="1161">
        <v>1</v>
      </c>
      <c r="L732" s="517"/>
      <c r="M732" s="1161"/>
      <c r="N732" s="517"/>
      <c r="O732" s="1161"/>
      <c r="P732" s="517"/>
      <c r="Q732" s="1161"/>
      <c r="R732" s="588" t="s">
        <v>114</v>
      </c>
      <c r="S732" s="986">
        <f>K732</f>
        <v>1</v>
      </c>
      <c r="T732" s="972">
        <f>ROUNDDOWN(S732,2)</f>
        <v>1</v>
      </c>
      <c r="U732" s="987" t="s">
        <v>32</v>
      </c>
      <c r="V732" s="43"/>
    </row>
    <row r="733" spans="2:23" s="1" customFormat="1" x14ac:dyDescent="0.3">
      <c r="B733" s="325"/>
      <c r="C733" s="17"/>
      <c r="D733" s="1004" t="str">
        <f>RAB!C162</f>
        <v>- Sub Distribution Panel ( SDP ) Lantai 1</v>
      </c>
      <c r="E733" s="619"/>
      <c r="F733" s="517"/>
      <c r="G733" s="1161"/>
      <c r="H733" s="517"/>
      <c r="I733" s="1161"/>
      <c r="J733" s="517"/>
      <c r="K733" s="1161">
        <v>1</v>
      </c>
      <c r="L733" s="517"/>
      <c r="M733" s="1161"/>
      <c r="N733" s="517"/>
      <c r="O733" s="1161"/>
      <c r="P733" s="517"/>
      <c r="Q733" s="1161"/>
      <c r="R733" s="588" t="s">
        <v>114</v>
      </c>
      <c r="S733" s="986">
        <f>K733</f>
        <v>1</v>
      </c>
      <c r="T733" s="972">
        <f>ROUNDDOWN(S733,2)</f>
        <v>1</v>
      </c>
      <c r="U733" s="987" t="s">
        <v>32</v>
      </c>
      <c r="V733" s="43"/>
    </row>
    <row r="734" spans="2:23" s="1" customFormat="1" x14ac:dyDescent="0.3">
      <c r="B734" s="325"/>
      <c r="C734" s="17"/>
      <c r="D734" s="1026" t="e">
        <f>RAB!#REF!</f>
        <v>#REF!</v>
      </c>
      <c r="E734" s="619"/>
      <c r="F734" s="517"/>
      <c r="G734" s="1161"/>
      <c r="H734" s="517"/>
      <c r="I734" s="1161"/>
      <c r="J734" s="517"/>
      <c r="K734" s="1161">
        <v>1</v>
      </c>
      <c r="L734" s="517"/>
      <c r="M734" s="1161"/>
      <c r="N734" s="517"/>
      <c r="O734" s="1161"/>
      <c r="P734" s="517"/>
      <c r="Q734" s="1161"/>
      <c r="R734" s="588" t="s">
        <v>114</v>
      </c>
      <c r="S734" s="986">
        <f>K734</f>
        <v>1</v>
      </c>
      <c r="T734" s="972">
        <f>ROUNDDOWN(S734,2)</f>
        <v>1</v>
      </c>
      <c r="U734" s="987" t="s">
        <v>32</v>
      </c>
      <c r="V734" s="43"/>
    </row>
    <row r="735" spans="2:23" s="1" customFormat="1" x14ac:dyDescent="0.3">
      <c r="B735" s="325"/>
      <c r="C735" s="17"/>
      <c r="D735" s="1004"/>
      <c r="E735" s="619"/>
      <c r="F735" s="517"/>
      <c r="G735" s="1161"/>
      <c r="H735" s="517"/>
      <c r="I735" s="1161"/>
      <c r="J735" s="517"/>
      <c r="K735" s="1161"/>
      <c r="L735" s="517"/>
      <c r="M735" s="1161"/>
      <c r="N735" s="517"/>
      <c r="O735" s="1161"/>
      <c r="P735" s="517"/>
      <c r="Q735" s="1161"/>
      <c r="R735" s="526"/>
      <c r="S735" s="620"/>
      <c r="T735" s="66"/>
      <c r="U735" s="2"/>
      <c r="V735" s="43"/>
    </row>
    <row r="736" spans="2:23" s="1" customFormat="1" x14ac:dyDescent="0.3">
      <c r="B736" s="325"/>
      <c r="C736" s="17"/>
      <c r="D736" s="1007" t="str">
        <f>RAB!C163</f>
        <v>KABEL</v>
      </c>
      <c r="E736" s="619"/>
      <c r="F736" s="517"/>
      <c r="G736" s="1161"/>
      <c r="H736" s="517"/>
      <c r="I736" s="1161"/>
      <c r="J736" s="517"/>
      <c r="K736" s="1161"/>
      <c r="L736" s="517"/>
      <c r="M736" s="1161"/>
      <c r="N736" s="517"/>
      <c r="O736" s="1161"/>
      <c r="P736" s="517"/>
      <c r="Q736" s="1161"/>
      <c r="R736" s="526"/>
      <c r="S736" s="620"/>
      <c r="T736" s="66"/>
      <c r="U736" s="2"/>
      <c r="V736" s="43"/>
    </row>
    <row r="737" spans="2:22" s="1" customFormat="1" x14ac:dyDescent="0.3">
      <c r="B737" s="325"/>
      <c r="C737" s="17"/>
      <c r="D737" s="1004" t="str">
        <f>RAB!C164</f>
        <v>Kabel dari Box APP PLN ke MDP NYY 4 x 35 mm</v>
      </c>
      <c r="E737" s="619"/>
      <c r="F737" s="517"/>
      <c r="G737" s="1161"/>
      <c r="H737" s="517"/>
      <c r="I737" s="1161"/>
      <c r="J737" s="517"/>
      <c r="K737" s="1161">
        <v>20</v>
      </c>
      <c r="L737" s="517"/>
      <c r="M737" s="1161"/>
      <c r="N737" s="517"/>
      <c r="O737" s="1161"/>
      <c r="P737" s="517"/>
      <c r="Q737" s="1161"/>
      <c r="R737" s="588" t="s">
        <v>114</v>
      </c>
      <c r="S737" s="986">
        <f>K737</f>
        <v>20</v>
      </c>
      <c r="T737" s="972">
        <f>ROUNDDOWN(S737,2)</f>
        <v>20</v>
      </c>
      <c r="U737" s="987" t="s">
        <v>27</v>
      </c>
      <c r="V737" s="43"/>
    </row>
    <row r="738" spans="2:22" s="1" customFormat="1" ht="27" x14ac:dyDescent="0.3">
      <c r="B738" s="325"/>
      <c r="C738" s="17"/>
      <c r="D738" s="1026" t="str">
        <f>RAB!C165</f>
        <v>Kabel dari MDP ke SDP lantai 1  NYY 4 x 10 mm + BC 10 mm.</v>
      </c>
      <c r="E738" s="619"/>
      <c r="F738" s="517"/>
      <c r="G738" s="1161"/>
      <c r="H738" s="517"/>
      <c r="I738" s="1161"/>
      <c r="J738" s="517"/>
      <c r="K738" s="1161">
        <v>6</v>
      </c>
      <c r="L738" s="517"/>
      <c r="M738" s="1161"/>
      <c r="N738" s="517"/>
      <c r="O738" s="1161"/>
      <c r="P738" s="517"/>
      <c r="Q738" s="1161"/>
      <c r="R738" s="588" t="s">
        <v>114</v>
      </c>
      <c r="S738" s="986">
        <f>K738</f>
        <v>6</v>
      </c>
      <c r="T738" s="972">
        <f>ROUNDDOWN(S738,2)</f>
        <v>6</v>
      </c>
      <c r="U738" s="987" t="s">
        <v>27</v>
      </c>
      <c r="V738" s="43"/>
    </row>
    <row r="739" spans="2:22" s="1" customFormat="1" x14ac:dyDescent="0.3">
      <c r="B739" s="325"/>
      <c r="C739" s="17"/>
      <c r="D739" s="1026" t="e">
        <f>RAB!#REF!</f>
        <v>#REF!</v>
      </c>
      <c r="E739" s="619"/>
      <c r="F739" s="517"/>
      <c r="G739" s="1161"/>
      <c r="H739" s="517"/>
      <c r="I739" s="1161"/>
      <c r="J739" s="517"/>
      <c r="K739" s="1161">
        <v>8</v>
      </c>
      <c r="L739" s="517"/>
      <c r="M739" s="1161"/>
      <c r="N739" s="517"/>
      <c r="O739" s="1161"/>
      <c r="P739" s="517"/>
      <c r="Q739" s="1161"/>
      <c r="R739" s="588" t="s">
        <v>114</v>
      </c>
      <c r="S739" s="986">
        <f>K739</f>
        <v>8</v>
      </c>
      <c r="T739" s="972">
        <f>ROUNDDOWN(S739,2)</f>
        <v>8</v>
      </c>
      <c r="U739" s="987" t="s">
        <v>27</v>
      </c>
      <c r="V739" s="43"/>
    </row>
    <row r="740" spans="2:22" s="1" customFormat="1" x14ac:dyDescent="0.3">
      <c r="B740" s="325"/>
      <c r="C740" s="17"/>
      <c r="D740" s="1026" t="e">
        <f>RAB!#REF!</f>
        <v>#REF!</v>
      </c>
      <c r="E740" s="619"/>
      <c r="F740" s="517"/>
      <c r="G740" s="1161"/>
      <c r="H740" s="517"/>
      <c r="I740" s="1161"/>
      <c r="J740" s="517"/>
      <c r="K740" s="1161">
        <v>6</v>
      </c>
      <c r="L740" s="517"/>
      <c r="M740" s="1161"/>
      <c r="N740" s="517"/>
      <c r="O740" s="1161"/>
      <c r="P740" s="517"/>
      <c r="Q740" s="1161"/>
      <c r="R740" s="588" t="s">
        <v>114</v>
      </c>
      <c r="S740" s="986">
        <f>K740</f>
        <v>6</v>
      </c>
      <c r="T740" s="972">
        <f>ROUNDDOWN(S740,2)</f>
        <v>6</v>
      </c>
      <c r="U740" s="987" t="s">
        <v>27</v>
      </c>
      <c r="V740" s="43"/>
    </row>
    <row r="741" spans="2:22" s="1" customFormat="1" x14ac:dyDescent="0.3">
      <c r="B741" s="325"/>
      <c r="C741" s="17"/>
      <c r="D741" s="1004"/>
      <c r="E741" s="619"/>
      <c r="F741" s="517"/>
      <c r="G741" s="1161"/>
      <c r="H741" s="517"/>
      <c r="I741" s="1161"/>
      <c r="J741" s="517"/>
      <c r="K741" s="1161"/>
      <c r="L741" s="517"/>
      <c r="M741" s="1161"/>
      <c r="N741" s="517"/>
      <c r="O741" s="1161"/>
      <c r="P741" s="517"/>
      <c r="Q741" s="1161"/>
      <c r="R741" s="526"/>
      <c r="S741" s="620"/>
      <c r="T741" s="66"/>
      <c r="U741" s="2"/>
      <c r="V741" s="43"/>
    </row>
    <row r="742" spans="2:22" s="1" customFormat="1" x14ac:dyDescent="0.3">
      <c r="B742" s="325"/>
      <c r="C742" s="17"/>
      <c r="D742" s="1004" t="str">
        <f>RAB!C166</f>
        <v>PEKERJAAN GROUNDING SYSTEM ARUS KUAT</v>
      </c>
      <c r="E742" s="619"/>
      <c r="F742" s="517"/>
      <c r="G742" s="1161"/>
      <c r="H742" s="517"/>
      <c r="I742" s="1161"/>
      <c r="J742" s="517"/>
      <c r="K742" s="1161"/>
      <c r="L742" s="517"/>
      <c r="M742" s="1161"/>
      <c r="N742" s="517"/>
      <c r="O742" s="1161"/>
      <c r="P742" s="517"/>
      <c r="Q742" s="1161"/>
      <c r="R742" s="526"/>
      <c r="S742" s="620"/>
      <c r="T742" s="66"/>
      <c r="U742" s="2"/>
      <c r="V742" s="43"/>
    </row>
    <row r="743" spans="2:22" s="1" customFormat="1" ht="27" x14ac:dyDescent="0.3">
      <c r="B743" s="325"/>
      <c r="C743" s="17"/>
      <c r="D743" s="1026" t="str">
        <f>RAB!C167</f>
        <v>Penarikan kabel grounding BC 35 mm dari MDP ke box grounding</v>
      </c>
      <c r="E743" s="619"/>
      <c r="F743" s="517"/>
      <c r="G743" s="1161"/>
      <c r="H743" s="517"/>
      <c r="I743" s="1161"/>
      <c r="J743" s="517"/>
      <c r="K743" s="1161">
        <v>8</v>
      </c>
      <c r="L743" s="517"/>
      <c r="M743" s="1161"/>
      <c r="N743" s="517"/>
      <c r="O743" s="1161"/>
      <c r="P743" s="517"/>
      <c r="Q743" s="1161"/>
      <c r="R743" s="588" t="s">
        <v>114</v>
      </c>
      <c r="S743" s="986">
        <f>K743</f>
        <v>8</v>
      </c>
      <c r="T743" s="972">
        <f>ROUNDDOWN(S743,2)</f>
        <v>8</v>
      </c>
      <c r="U743" s="987" t="s">
        <v>27</v>
      </c>
      <c r="V743" s="43"/>
    </row>
    <row r="744" spans="2:22" s="1" customFormat="1" x14ac:dyDescent="0.3">
      <c r="B744" s="325"/>
      <c r="C744" s="17"/>
      <c r="D744" s="1004" t="str">
        <f>RAB!C168</f>
        <v>Grounding system max  5 ohm</v>
      </c>
      <c r="E744" s="1161"/>
      <c r="F744" s="517"/>
      <c r="G744" s="1161"/>
      <c r="H744" s="517"/>
      <c r="I744" s="1161"/>
      <c r="J744" s="517"/>
      <c r="K744" s="1161">
        <v>1</v>
      </c>
      <c r="L744" s="517"/>
      <c r="M744" s="1161"/>
      <c r="N744" s="517"/>
      <c r="O744" s="1161"/>
      <c r="P744" s="517"/>
      <c r="Q744" s="1161"/>
      <c r="R744" s="518" t="s">
        <v>114</v>
      </c>
      <c r="S744" s="986">
        <f>K744</f>
        <v>1</v>
      </c>
      <c r="T744" s="972">
        <f>ROUNDDOWN(S744,2)</f>
        <v>1</v>
      </c>
      <c r="U744" s="987" t="s">
        <v>115</v>
      </c>
      <c r="V744" s="43"/>
    </row>
    <row r="745" spans="2:22" s="1" customFormat="1" x14ac:dyDescent="0.3">
      <c r="B745" s="325"/>
      <c r="C745" s="17"/>
      <c r="D745" s="1004"/>
      <c r="E745" s="1161"/>
      <c r="F745" s="517"/>
      <c r="G745" s="1161"/>
      <c r="H745" s="517"/>
      <c r="I745" s="1161"/>
      <c r="J745" s="517"/>
      <c r="K745" s="1161"/>
      <c r="L745" s="517"/>
      <c r="M745" s="1161"/>
      <c r="N745" s="517"/>
      <c r="O745" s="1161"/>
      <c r="P745" s="517"/>
      <c r="Q745" s="1161"/>
      <c r="R745" s="517"/>
      <c r="S745" s="519"/>
      <c r="T745" s="66"/>
      <c r="U745" s="2"/>
      <c r="V745" s="43"/>
    </row>
    <row r="746" spans="2:22" s="1" customFormat="1" x14ac:dyDescent="0.3">
      <c r="B746" s="325"/>
      <c r="C746" s="17"/>
      <c r="D746" s="1007" t="str">
        <f>RAB!C173</f>
        <v>SISTEM PENERANGAN</v>
      </c>
      <c r="E746" s="1161"/>
      <c r="F746" s="517"/>
      <c r="G746" s="1161"/>
      <c r="H746" s="517"/>
      <c r="I746" s="1161"/>
      <c r="J746" s="517"/>
      <c r="K746" s="1161"/>
      <c r="L746" s="517"/>
      <c r="M746" s="1161"/>
      <c r="N746" s="517"/>
      <c r="O746" s="1161"/>
      <c r="P746" s="517"/>
      <c r="Q746" s="1161"/>
      <c r="R746" s="517"/>
      <c r="S746" s="519"/>
      <c r="T746" s="66"/>
      <c r="U746" s="2"/>
      <c r="V746" s="43"/>
    </row>
    <row r="747" spans="2:22" s="1" customFormat="1" x14ac:dyDescent="0.3">
      <c r="B747" s="325"/>
      <c r="C747" s="17"/>
      <c r="D747" s="1004" t="str">
        <f>RAB!C174</f>
        <v xml:space="preserve">Fiting duduk + bola Lampu essential LED 5 watt </v>
      </c>
      <c r="E747" s="1161"/>
      <c r="F747" s="517"/>
      <c r="G747" s="1161"/>
      <c r="H747" s="517"/>
      <c r="I747" s="1161"/>
      <c r="J747" s="517"/>
      <c r="K747" s="1161">
        <v>11</v>
      </c>
      <c r="L747" s="517"/>
      <c r="M747" s="1161"/>
      <c r="N747" s="517"/>
      <c r="O747" s="1161"/>
      <c r="P747" s="517"/>
      <c r="Q747" s="1161"/>
      <c r="R747" s="518" t="s">
        <v>114</v>
      </c>
      <c r="S747" s="986">
        <f t="shared" ref="S747:S754" si="11">K747</f>
        <v>11</v>
      </c>
      <c r="T747" s="972">
        <f t="shared" ref="T747:T754" si="12">ROUNDDOWN(S747,2)</f>
        <v>11</v>
      </c>
      <c r="U747" s="987" t="s">
        <v>9</v>
      </c>
      <c r="V747" s="43"/>
    </row>
    <row r="748" spans="2:22" s="1" customFormat="1" x14ac:dyDescent="0.3">
      <c r="B748" s="325"/>
      <c r="C748" s="17"/>
      <c r="D748" s="1004" t="str">
        <f>RAB!C175</f>
        <v xml:space="preserve">Fiting duduk + bola Lampu essential  LED 15 watt </v>
      </c>
      <c r="E748" s="1161"/>
      <c r="F748" s="517"/>
      <c r="G748" s="1161"/>
      <c r="H748" s="517"/>
      <c r="I748" s="1161"/>
      <c r="J748" s="517"/>
      <c r="K748" s="1161">
        <v>37</v>
      </c>
      <c r="L748" s="517"/>
      <c r="M748" s="1161"/>
      <c r="N748" s="517"/>
      <c r="O748" s="1161"/>
      <c r="P748" s="517"/>
      <c r="Q748" s="1161"/>
      <c r="R748" s="518" t="s">
        <v>114</v>
      </c>
      <c r="S748" s="986">
        <f t="shared" si="11"/>
        <v>37</v>
      </c>
      <c r="T748" s="972">
        <f t="shared" si="12"/>
        <v>37</v>
      </c>
      <c r="U748" s="987" t="s">
        <v>9</v>
      </c>
      <c r="V748" s="43"/>
    </row>
    <row r="749" spans="2:22" s="1" customFormat="1" ht="27" x14ac:dyDescent="0.3">
      <c r="B749" s="325"/>
      <c r="C749" s="17"/>
      <c r="D749" s="1026" t="str">
        <f>RAB!C176</f>
        <v>Fiting duduk + bola Lampu essential AC/DC  LED 15 watt (emergency )</v>
      </c>
      <c r="E749" s="1161"/>
      <c r="F749" s="517"/>
      <c r="G749" s="1161"/>
      <c r="H749" s="517"/>
      <c r="I749" s="1161"/>
      <c r="J749" s="517"/>
      <c r="K749" s="1161">
        <v>16</v>
      </c>
      <c r="L749" s="517"/>
      <c r="M749" s="1161"/>
      <c r="N749" s="517"/>
      <c r="O749" s="1161"/>
      <c r="P749" s="517"/>
      <c r="Q749" s="1161"/>
      <c r="R749" s="518" t="s">
        <v>114</v>
      </c>
      <c r="S749" s="986">
        <f t="shared" si="11"/>
        <v>16</v>
      </c>
      <c r="T749" s="972">
        <f t="shared" si="12"/>
        <v>16</v>
      </c>
      <c r="U749" s="987" t="s">
        <v>9</v>
      </c>
      <c r="V749" s="43"/>
    </row>
    <row r="750" spans="2:22" s="1" customFormat="1" x14ac:dyDescent="0.3">
      <c r="B750" s="325"/>
      <c r="C750" s="17"/>
      <c r="D750" s="1004" t="e">
        <f>RAB!#REF!</f>
        <v>#REF!</v>
      </c>
      <c r="E750" s="1161"/>
      <c r="F750" s="517"/>
      <c r="G750" s="1161"/>
      <c r="H750" s="517"/>
      <c r="I750" s="1161"/>
      <c r="J750" s="517"/>
      <c r="K750" s="1161">
        <v>0</v>
      </c>
      <c r="L750" s="517"/>
      <c r="M750" s="1161"/>
      <c r="N750" s="517"/>
      <c r="O750" s="1161"/>
      <c r="P750" s="517"/>
      <c r="Q750" s="1161"/>
      <c r="R750" s="518" t="s">
        <v>114</v>
      </c>
      <c r="S750" s="986">
        <f t="shared" si="11"/>
        <v>0</v>
      </c>
      <c r="T750" s="972">
        <f t="shared" si="12"/>
        <v>0</v>
      </c>
      <c r="U750" s="987" t="s">
        <v>9</v>
      </c>
      <c r="V750" s="43"/>
    </row>
    <row r="751" spans="2:22" s="1" customFormat="1" x14ac:dyDescent="0.3">
      <c r="B751" s="325"/>
      <c r="C751" s="17"/>
      <c r="D751" s="1004" t="str">
        <f>RAB!C177</f>
        <v xml:space="preserve">Saklar double </v>
      </c>
      <c r="E751" s="1161"/>
      <c r="F751" s="517"/>
      <c r="G751" s="1161"/>
      <c r="H751" s="517"/>
      <c r="I751" s="1161"/>
      <c r="J751" s="517"/>
      <c r="K751" s="1161">
        <v>2</v>
      </c>
      <c r="L751" s="517"/>
      <c r="M751" s="1161"/>
      <c r="N751" s="517"/>
      <c r="O751" s="1161"/>
      <c r="P751" s="517"/>
      <c r="Q751" s="1161"/>
      <c r="R751" s="518" t="s">
        <v>114</v>
      </c>
      <c r="S751" s="986">
        <f t="shared" si="11"/>
        <v>2</v>
      </c>
      <c r="T751" s="972">
        <f t="shared" si="12"/>
        <v>2</v>
      </c>
      <c r="U751" s="987" t="s">
        <v>9</v>
      </c>
      <c r="V751" s="43"/>
    </row>
    <row r="752" spans="2:22" s="32" customFormat="1" x14ac:dyDescent="0.3">
      <c r="B752" s="124"/>
      <c r="C752" s="114"/>
      <c r="D752" s="1004" t="str">
        <f>RAB!C178</f>
        <v>Saklar triple</v>
      </c>
      <c r="E752" s="328"/>
      <c r="F752" s="510"/>
      <c r="G752" s="328"/>
      <c r="H752" s="510"/>
      <c r="I752" s="328"/>
      <c r="J752" s="510"/>
      <c r="K752" s="328">
        <v>10</v>
      </c>
      <c r="L752" s="510"/>
      <c r="M752" s="328"/>
      <c r="N752" s="510"/>
      <c r="O752" s="328"/>
      <c r="P752" s="510"/>
      <c r="Q752" s="328"/>
      <c r="R752" s="518" t="s">
        <v>114</v>
      </c>
      <c r="S752" s="986">
        <f t="shared" si="11"/>
        <v>10</v>
      </c>
      <c r="T752" s="972">
        <f t="shared" si="12"/>
        <v>10</v>
      </c>
      <c r="U752" s="987" t="s">
        <v>9</v>
      </c>
      <c r="V752" s="51"/>
    </row>
    <row r="753" spans="2:22" s="32" customFormat="1" x14ac:dyDescent="0.3">
      <c r="B753" s="124"/>
      <c r="C753" s="114"/>
      <c r="D753" s="1004" t="e">
        <f>RAB!#REF!</f>
        <v>#REF!</v>
      </c>
      <c r="E753" s="328"/>
      <c r="F753" s="510"/>
      <c r="G753" s="328"/>
      <c r="H753" s="510"/>
      <c r="I753" s="328"/>
      <c r="J753" s="510"/>
      <c r="K753" s="328">
        <v>2</v>
      </c>
      <c r="L753" s="510"/>
      <c r="M753" s="328"/>
      <c r="N753" s="510"/>
      <c r="O753" s="328"/>
      <c r="P753" s="510"/>
      <c r="Q753" s="328"/>
      <c r="R753" s="518" t="s">
        <v>114</v>
      </c>
      <c r="S753" s="986">
        <f t="shared" si="11"/>
        <v>2</v>
      </c>
      <c r="T753" s="972">
        <f t="shared" si="12"/>
        <v>2</v>
      </c>
      <c r="U753" s="987" t="s">
        <v>9</v>
      </c>
      <c r="V753" s="51"/>
    </row>
    <row r="754" spans="2:22" s="32" customFormat="1" x14ac:dyDescent="0.3">
      <c r="B754" s="124"/>
      <c r="C754" s="114"/>
      <c r="D754" s="1004" t="e">
        <f>RAB!#REF!</f>
        <v>#REF!</v>
      </c>
      <c r="E754" s="328"/>
      <c r="F754" s="510"/>
      <c r="G754" s="328"/>
      <c r="H754" s="510"/>
      <c r="I754" s="328"/>
      <c r="J754" s="510"/>
      <c r="K754" s="328">
        <v>47</v>
      </c>
      <c r="L754" s="510"/>
      <c r="M754" s="328"/>
      <c r="N754" s="510"/>
      <c r="O754" s="328"/>
      <c r="P754" s="510"/>
      <c r="Q754" s="328"/>
      <c r="R754" s="518" t="s">
        <v>114</v>
      </c>
      <c r="S754" s="986">
        <f t="shared" si="11"/>
        <v>47</v>
      </c>
      <c r="T754" s="972">
        <f t="shared" si="12"/>
        <v>47</v>
      </c>
      <c r="U754" s="987" t="s">
        <v>9</v>
      </c>
      <c r="V754" s="51"/>
    </row>
    <row r="755" spans="2:22" s="32" customFormat="1" ht="9.75" customHeight="1" x14ac:dyDescent="0.3">
      <c r="B755" s="124"/>
      <c r="C755" s="114"/>
      <c r="D755" s="1004"/>
      <c r="E755" s="328"/>
      <c r="F755" s="510"/>
      <c r="G755" s="328"/>
      <c r="H755" s="510"/>
      <c r="I755" s="328"/>
      <c r="J755" s="510"/>
      <c r="K755" s="328"/>
      <c r="L755" s="510"/>
      <c r="M755" s="328"/>
      <c r="N755" s="510"/>
      <c r="O755" s="328"/>
      <c r="P755" s="510"/>
      <c r="Q755" s="328"/>
      <c r="R755" s="510"/>
      <c r="S755" s="596"/>
      <c r="T755" s="53"/>
      <c r="U755" s="50"/>
      <c r="V755" s="51"/>
    </row>
    <row r="756" spans="2:22" s="32" customFormat="1" x14ac:dyDescent="0.3">
      <c r="B756" s="124"/>
      <c r="C756" s="114"/>
      <c r="D756" s="1014" t="str">
        <f>RAB!C179</f>
        <v>INSTALASI KABEL</v>
      </c>
      <c r="E756" s="328"/>
      <c r="F756" s="510"/>
      <c r="G756" s="328"/>
      <c r="H756" s="510"/>
      <c r="I756" s="328"/>
      <c r="J756" s="510"/>
      <c r="K756" s="328"/>
      <c r="L756" s="510"/>
      <c r="M756" s="328"/>
      <c r="N756" s="510"/>
      <c r="O756" s="328"/>
      <c r="P756" s="510"/>
      <c r="Q756" s="328"/>
      <c r="R756" s="510"/>
      <c r="S756" s="596"/>
      <c r="T756" s="53"/>
      <c r="U756" s="50"/>
      <c r="V756" s="51"/>
    </row>
    <row r="757" spans="2:22" s="32" customFormat="1" ht="27.75" x14ac:dyDescent="0.3">
      <c r="B757" s="124"/>
      <c r="C757" s="114"/>
      <c r="D757" s="1015" t="str">
        <f>RAB!C180</f>
        <v xml:space="preserve">Instalasi Penerangan kabel NYM 3 x 1,5 mm dalam pipa counduit high impact </v>
      </c>
      <c r="E757" s="328"/>
      <c r="F757" s="510"/>
      <c r="G757" s="328"/>
      <c r="H757" s="510"/>
      <c r="I757" s="328"/>
      <c r="J757" s="510"/>
      <c r="K757" s="1032">
        <v>48</v>
      </c>
      <c r="L757" s="510"/>
      <c r="M757" s="328"/>
      <c r="N757" s="510"/>
      <c r="O757" s="328"/>
      <c r="P757" s="510"/>
      <c r="Q757" s="328"/>
      <c r="R757" s="518" t="s">
        <v>114</v>
      </c>
      <c r="S757" s="986">
        <f>K757</f>
        <v>48</v>
      </c>
      <c r="T757" s="972">
        <f>ROUNDDOWN(S757,2)</f>
        <v>48</v>
      </c>
      <c r="U757" s="1016" t="s">
        <v>312</v>
      </c>
      <c r="V757" s="133"/>
    </row>
    <row r="758" spans="2:22" s="32" customFormat="1" ht="27.75" x14ac:dyDescent="0.3">
      <c r="B758" s="124"/>
      <c r="C758" s="114"/>
      <c r="D758" s="1015" t="str">
        <f>RAB!C181</f>
        <v>Instalasi saklar kabel NYM 3 x 1,5 mm dalam pipa counduit high impact</v>
      </c>
      <c r="E758" s="328"/>
      <c r="F758" s="510"/>
      <c r="G758" s="328"/>
      <c r="H758" s="510"/>
      <c r="I758" s="328"/>
      <c r="J758" s="510"/>
      <c r="K758" s="1032">
        <v>8</v>
      </c>
      <c r="L758" s="510"/>
      <c r="M758" s="328"/>
      <c r="N758" s="510"/>
      <c r="O758" s="328"/>
      <c r="P758" s="510"/>
      <c r="Q758" s="328"/>
      <c r="R758" s="518" t="s">
        <v>114</v>
      </c>
      <c r="S758" s="986">
        <f>K758</f>
        <v>8</v>
      </c>
      <c r="T758" s="972">
        <f>ROUNDDOWN(S758,2)</f>
        <v>8</v>
      </c>
      <c r="U758" s="1016" t="s">
        <v>312</v>
      </c>
      <c r="V758" s="133"/>
    </row>
    <row r="759" spans="2:22" s="32" customFormat="1" ht="27.75" x14ac:dyDescent="0.3">
      <c r="B759" s="124"/>
      <c r="C759" s="114"/>
      <c r="D759" s="1015" t="str">
        <f>RAB!C182</f>
        <v>Instalasi stopkontak kabel NYM 3  x 2,5 mm dalam pipa counduit</v>
      </c>
      <c r="E759" s="328"/>
      <c r="F759" s="510"/>
      <c r="G759" s="328"/>
      <c r="H759" s="510"/>
      <c r="I759" s="328"/>
      <c r="J759" s="510"/>
      <c r="K759" s="1032">
        <v>4</v>
      </c>
      <c r="L759" s="510"/>
      <c r="M759" s="328"/>
      <c r="N759" s="510"/>
      <c r="O759" s="328"/>
      <c r="P759" s="510"/>
      <c r="Q759" s="328"/>
      <c r="R759" s="518" t="s">
        <v>114</v>
      </c>
      <c r="S759" s="986">
        <f>K759</f>
        <v>4</v>
      </c>
      <c r="T759" s="972">
        <f>ROUNDDOWN(S759,2)</f>
        <v>4</v>
      </c>
      <c r="U759" s="1016" t="s">
        <v>312</v>
      </c>
      <c r="V759" s="133"/>
    </row>
    <row r="760" spans="2:22" s="32" customFormat="1" ht="17.25" thickBot="1" x14ac:dyDescent="0.35">
      <c r="B760" s="124"/>
      <c r="C760" s="114"/>
      <c r="D760" s="1141"/>
      <c r="E760" s="1127"/>
      <c r="F760" s="1142"/>
      <c r="G760" s="1127"/>
      <c r="H760" s="1142"/>
      <c r="I760" s="1127"/>
      <c r="J760" s="1142"/>
      <c r="K760" s="1127"/>
      <c r="L760" s="1142"/>
      <c r="M760" s="1127"/>
      <c r="N760" s="1142"/>
      <c r="O760" s="1127"/>
      <c r="P760" s="1142"/>
      <c r="Q760" s="1127"/>
      <c r="R760" s="1142"/>
      <c r="S760" s="1143"/>
      <c r="T760" s="53"/>
      <c r="U760" s="50"/>
      <c r="V760" s="51"/>
    </row>
    <row r="761" spans="2:22" x14ac:dyDescent="0.3">
      <c r="B761" s="473"/>
      <c r="C761" s="465"/>
      <c r="D761" s="453"/>
      <c r="E761" s="455"/>
      <c r="F761" s="485"/>
      <c r="G761" s="455"/>
      <c r="H761" s="485"/>
      <c r="I761" s="455"/>
      <c r="J761" s="485"/>
      <c r="K761" s="477"/>
      <c r="L761" s="492"/>
      <c r="M761" s="477"/>
      <c r="N761" s="492"/>
      <c r="O761" s="477"/>
      <c r="P761" s="492"/>
      <c r="Q761" s="477"/>
      <c r="R761" s="492"/>
      <c r="S761" s="454"/>
    </row>
    <row r="762" spans="2:22" x14ac:dyDescent="0.3">
      <c r="C762" s="473"/>
    </row>
    <row r="763" spans="2:22" x14ac:dyDescent="0.3">
      <c r="C763" s="473"/>
    </row>
    <row r="764" spans="2:22" x14ac:dyDescent="0.3">
      <c r="C764" s="473"/>
    </row>
    <row r="765" spans="2:22" x14ac:dyDescent="0.3">
      <c r="C765" s="473"/>
    </row>
    <row r="766" spans="2:22" x14ac:dyDescent="0.3">
      <c r="C766" s="473"/>
    </row>
    <row r="767" spans="2:22" x14ac:dyDescent="0.3">
      <c r="C767" s="473"/>
    </row>
    <row r="768" spans="2:22" x14ac:dyDescent="0.3">
      <c r="C768" s="473"/>
    </row>
    <row r="769" spans="3:3" x14ac:dyDescent="0.3">
      <c r="C769" s="473"/>
    </row>
    <row r="770" spans="3:3" x14ac:dyDescent="0.3">
      <c r="C770" s="473"/>
    </row>
    <row r="771" spans="3:3" x14ac:dyDescent="0.3">
      <c r="C771" s="473"/>
    </row>
    <row r="772" spans="3:3" x14ac:dyDescent="0.3">
      <c r="C772" s="473"/>
    </row>
    <row r="773" spans="3:3" x14ac:dyDescent="0.3">
      <c r="C773" s="473"/>
    </row>
    <row r="774" spans="3:3" x14ac:dyDescent="0.3">
      <c r="C774" s="473"/>
    </row>
    <row r="775" spans="3:3" x14ac:dyDescent="0.3">
      <c r="C775" s="473"/>
    </row>
    <row r="776" spans="3:3" x14ac:dyDescent="0.3">
      <c r="C776" s="473"/>
    </row>
    <row r="777" spans="3:3" x14ac:dyDescent="0.3">
      <c r="C777" s="473"/>
    </row>
    <row r="778" spans="3:3" x14ac:dyDescent="0.3">
      <c r="C778" s="473"/>
    </row>
    <row r="779" spans="3:3" x14ac:dyDescent="0.3">
      <c r="C779" s="473"/>
    </row>
    <row r="780" spans="3:3" x14ac:dyDescent="0.3">
      <c r="C780" s="473"/>
    </row>
    <row r="781" spans="3:3" x14ac:dyDescent="0.3">
      <c r="C781" s="473"/>
    </row>
    <row r="782" spans="3:3" x14ac:dyDescent="0.3">
      <c r="C782" s="473"/>
    </row>
    <row r="783" spans="3:3" x14ac:dyDescent="0.3">
      <c r="C783" s="473"/>
    </row>
    <row r="784" spans="3:3" x14ac:dyDescent="0.3">
      <c r="C784" s="473"/>
    </row>
    <row r="785" spans="3:3" x14ac:dyDescent="0.3">
      <c r="C785" s="473"/>
    </row>
    <row r="786" spans="3:3" x14ac:dyDescent="0.3">
      <c r="C786" s="473"/>
    </row>
    <row r="787" spans="3:3" x14ac:dyDescent="0.3">
      <c r="C787" s="473"/>
    </row>
    <row r="788" spans="3:3" x14ac:dyDescent="0.3">
      <c r="C788" s="473"/>
    </row>
    <row r="789" spans="3:3" x14ac:dyDescent="0.3">
      <c r="C789" s="473"/>
    </row>
    <row r="790" spans="3:3" x14ac:dyDescent="0.3">
      <c r="C790" s="473"/>
    </row>
    <row r="791" spans="3:3" x14ac:dyDescent="0.3">
      <c r="C791" s="473"/>
    </row>
  </sheetData>
  <mergeCells count="67">
    <mergeCell ref="D112:I112"/>
    <mergeCell ref="B4:U4"/>
    <mergeCell ref="D13:I13"/>
    <mergeCell ref="D20:I20"/>
    <mergeCell ref="D37:I37"/>
    <mergeCell ref="D45:I45"/>
    <mergeCell ref="D59:I59"/>
    <mergeCell ref="D70:I70"/>
    <mergeCell ref="D77:I77"/>
    <mergeCell ref="D87:I87"/>
    <mergeCell ref="D98:I98"/>
    <mergeCell ref="D105:I105"/>
    <mergeCell ref="D216:I216"/>
    <mergeCell ref="D119:I119"/>
    <mergeCell ref="D125:I125"/>
    <mergeCell ref="D134:I134"/>
    <mergeCell ref="D141:I141"/>
    <mergeCell ref="D147:I147"/>
    <mergeCell ref="D156:I156"/>
    <mergeCell ref="D163:I163"/>
    <mergeCell ref="D169:I169"/>
    <mergeCell ref="D180:I180"/>
    <mergeCell ref="D198:I198"/>
    <mergeCell ref="D205:I205"/>
    <mergeCell ref="D358:I358"/>
    <mergeCell ref="D222:I222"/>
    <mergeCell ref="D229:I229"/>
    <mergeCell ref="D235:I235"/>
    <mergeCell ref="D265:I265"/>
    <mergeCell ref="D273:I273"/>
    <mergeCell ref="D280:I280"/>
    <mergeCell ref="D286:I286"/>
    <mergeCell ref="D303:I303"/>
    <mergeCell ref="D325:I325"/>
    <mergeCell ref="D336:I336"/>
    <mergeCell ref="D344:I344"/>
    <mergeCell ref="D485:I485"/>
    <mergeCell ref="D371:I371"/>
    <mergeCell ref="D379:I379"/>
    <mergeCell ref="D387:I387"/>
    <mergeCell ref="D399:I399"/>
    <mergeCell ref="D411:I411"/>
    <mergeCell ref="D420:I420"/>
    <mergeCell ref="D431:I431"/>
    <mergeCell ref="D441:I441"/>
    <mergeCell ref="D451:I451"/>
    <mergeCell ref="D465:I465"/>
    <mergeCell ref="D479:I479"/>
    <mergeCell ref="D591:I591"/>
    <mergeCell ref="D494:I494"/>
    <mergeCell ref="D501:I501"/>
    <mergeCell ref="D508:I508"/>
    <mergeCell ref="D515:I515"/>
    <mergeCell ref="D536:I536"/>
    <mergeCell ref="D542:I542"/>
    <mergeCell ref="D551:I551"/>
    <mergeCell ref="D558:I558"/>
    <mergeCell ref="D564:I564"/>
    <mergeCell ref="D578:I578"/>
    <mergeCell ref="D585:I585"/>
    <mergeCell ref="D656:I656"/>
    <mergeCell ref="D597:I597"/>
    <mergeCell ref="D615:I615"/>
    <mergeCell ref="D621:I621"/>
    <mergeCell ref="D634:I634"/>
    <mergeCell ref="D640:I640"/>
    <mergeCell ref="D647:I647"/>
  </mergeCells>
  <conditionalFormatting sqref="P259">
    <cfRule type="uniqueValues" dxfId="95" priority="50"/>
  </conditionalFormatting>
  <conditionalFormatting sqref="R259">
    <cfRule type="uniqueValues" dxfId="94" priority="49"/>
  </conditionalFormatting>
  <conditionalFormatting sqref="R277:R278">
    <cfRule type="uniqueValues" dxfId="93" priority="48"/>
  </conditionalFormatting>
  <conditionalFormatting sqref="P248">
    <cfRule type="uniqueValues" dxfId="92" priority="47"/>
  </conditionalFormatting>
  <conditionalFormatting sqref="R248">
    <cfRule type="uniqueValues" dxfId="91" priority="46"/>
  </conditionalFormatting>
  <conditionalFormatting sqref="R260">
    <cfRule type="uniqueValues" dxfId="90" priority="45"/>
  </conditionalFormatting>
  <conditionalFormatting sqref="P260">
    <cfRule type="uniqueValues" dxfId="89" priority="44"/>
  </conditionalFormatting>
  <conditionalFormatting sqref="P250">
    <cfRule type="uniqueValues" dxfId="88" priority="43"/>
  </conditionalFormatting>
  <conditionalFormatting sqref="R212">
    <cfRule type="uniqueValues" dxfId="87" priority="42"/>
  </conditionalFormatting>
  <conditionalFormatting sqref="R220">
    <cfRule type="uniqueValues" dxfId="86" priority="41"/>
  </conditionalFormatting>
  <conditionalFormatting sqref="R226:R227">
    <cfRule type="uniqueValues" dxfId="85" priority="40"/>
  </conditionalFormatting>
  <conditionalFormatting sqref="R233">
    <cfRule type="uniqueValues" dxfId="84" priority="39"/>
  </conditionalFormatting>
  <conditionalFormatting sqref="P233">
    <cfRule type="uniqueValues" dxfId="83" priority="38"/>
  </conditionalFormatting>
  <conditionalFormatting sqref="R197">
    <cfRule type="uniqueValues" dxfId="82" priority="37"/>
  </conditionalFormatting>
  <conditionalFormatting sqref="P202:P203">
    <cfRule type="uniqueValues" dxfId="81" priority="36"/>
  </conditionalFormatting>
  <conditionalFormatting sqref="P398">
    <cfRule type="uniqueValues" dxfId="80" priority="35"/>
  </conditionalFormatting>
  <conditionalFormatting sqref="R403">
    <cfRule type="uniqueValues" dxfId="79" priority="34"/>
  </conditionalFormatting>
  <conditionalFormatting sqref="R415:R417">
    <cfRule type="uniqueValues" dxfId="78" priority="33"/>
  </conditionalFormatting>
  <conditionalFormatting sqref="P415:P416">
    <cfRule type="uniqueValues" dxfId="77" priority="32"/>
  </conditionalFormatting>
  <conditionalFormatting sqref="P417">
    <cfRule type="uniqueValues" dxfId="76" priority="31"/>
  </conditionalFormatting>
  <conditionalFormatting sqref="P294">
    <cfRule type="uniqueValues" dxfId="75" priority="30"/>
  </conditionalFormatting>
  <conditionalFormatting sqref="R298">
    <cfRule type="uniqueValues" dxfId="74" priority="29"/>
  </conditionalFormatting>
  <conditionalFormatting sqref="P298">
    <cfRule type="uniqueValues" dxfId="73" priority="28"/>
  </conditionalFormatting>
  <conditionalFormatting sqref="R450">
    <cfRule type="uniqueValues" dxfId="72" priority="27"/>
  </conditionalFormatting>
  <conditionalFormatting sqref="P291">
    <cfRule type="uniqueValues" dxfId="71" priority="26"/>
  </conditionalFormatting>
  <conditionalFormatting sqref="R291">
    <cfRule type="uniqueValues" dxfId="70" priority="25"/>
  </conditionalFormatting>
  <conditionalFormatting sqref="R294:R296">
    <cfRule type="uniqueValues" dxfId="69" priority="24"/>
  </conditionalFormatting>
  <conditionalFormatting sqref="R418">
    <cfRule type="uniqueValues" dxfId="68" priority="23"/>
  </conditionalFormatting>
  <conditionalFormatting sqref="P418">
    <cfRule type="uniqueValues" dxfId="67" priority="22"/>
  </conditionalFormatting>
  <conditionalFormatting sqref="P239:P240">
    <cfRule type="uniqueValues" dxfId="66" priority="21"/>
  </conditionalFormatting>
  <conditionalFormatting sqref="R353">
    <cfRule type="uniqueValues" dxfId="65" priority="20"/>
  </conditionalFormatting>
  <conditionalFormatting sqref="P353">
    <cfRule type="uniqueValues" dxfId="64" priority="19"/>
  </conditionalFormatting>
  <conditionalFormatting sqref="P349:P352">
    <cfRule type="uniqueValues" dxfId="63" priority="18"/>
  </conditionalFormatting>
  <conditionalFormatting sqref="R349:R352">
    <cfRule type="uniqueValues" dxfId="62" priority="17"/>
  </conditionalFormatting>
  <conditionalFormatting sqref="R362">
    <cfRule type="uniqueValues" dxfId="61" priority="16"/>
  </conditionalFormatting>
  <conditionalFormatting sqref="R383:R385">
    <cfRule type="uniqueValues" dxfId="60" priority="15"/>
  </conditionalFormatting>
  <conditionalFormatting sqref="R226">
    <cfRule type="uniqueValues" dxfId="59" priority="14"/>
  </conditionalFormatting>
  <conditionalFormatting sqref="R227">
    <cfRule type="uniqueValues" dxfId="58" priority="13"/>
  </conditionalFormatting>
  <conditionalFormatting sqref="R284">
    <cfRule type="uniqueValues" dxfId="57" priority="12"/>
  </conditionalFormatting>
  <conditionalFormatting sqref="P292">
    <cfRule type="uniqueValues" dxfId="56" priority="11"/>
  </conditionalFormatting>
  <conditionalFormatting sqref="R292">
    <cfRule type="uniqueValues" dxfId="55" priority="10"/>
  </conditionalFormatting>
  <conditionalFormatting sqref="P293">
    <cfRule type="uniqueValues" dxfId="54" priority="9"/>
  </conditionalFormatting>
  <conditionalFormatting sqref="R293">
    <cfRule type="uniqueValues" dxfId="53" priority="8"/>
  </conditionalFormatting>
  <conditionalFormatting sqref="P295:P297">
    <cfRule type="uniqueValues" dxfId="52" priority="7"/>
  </conditionalFormatting>
  <conditionalFormatting sqref="R295:R297">
    <cfRule type="uniqueValues" dxfId="51" priority="6"/>
  </conditionalFormatting>
  <conditionalFormatting sqref="R340:R342">
    <cfRule type="uniqueValues" dxfId="50" priority="5"/>
  </conditionalFormatting>
  <conditionalFormatting sqref="R299:R300">
    <cfRule type="uniqueValues" dxfId="49" priority="4"/>
  </conditionalFormatting>
  <conditionalFormatting sqref="R366">
    <cfRule type="uniqueValues" dxfId="48" priority="3"/>
  </conditionalFormatting>
  <conditionalFormatting sqref="R369">
    <cfRule type="uniqueValues" dxfId="47" priority="2"/>
  </conditionalFormatting>
  <conditionalFormatting sqref="R365:R369">
    <cfRule type="uniqueValues" dxfId="46" priority="1"/>
  </conditionalFormatting>
  <printOptions horizontalCentered="1"/>
  <pageMargins left="0.5" right="0.5" top="0.5" bottom="0" header="0" footer="0"/>
  <pageSetup paperSize="9" scale="70" orientation="portrait" horizontalDpi="4294967293" r:id="rId1"/>
  <rowBreaks count="14" manualBreakCount="14">
    <brk id="65" min="1" max="20" man="1"/>
    <brk id="126" min="1" max="20" man="1"/>
    <brk id="180" min="1" max="20" man="1"/>
    <brk id="236" min="1" max="20" man="1"/>
    <brk id="281" min="1" max="20" man="1"/>
    <brk id="359" min="1" max="20" man="1"/>
    <brk id="474" min="1" max="20" man="1"/>
    <brk id="558" min="1" max="20" man="1"/>
    <brk id="622" min="1" max="20" man="1"/>
    <brk id="672" min="1" max="20" man="1"/>
    <brk id="735" min="1" max="20" man="1"/>
    <brk id="1540" min="1" max="20" man="1"/>
    <brk id="2519" min="1" max="20" man="1"/>
    <brk id="3269" min="1" max="20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2:Y696"/>
  <sheetViews>
    <sheetView showGridLines="0" view="pageBreakPreview" topLeftCell="A660" zoomScaleNormal="70" zoomScaleSheetLayoutView="100" workbookViewId="0">
      <selection activeCell="T666" sqref="T4:T666"/>
    </sheetView>
  </sheetViews>
  <sheetFormatPr defaultColWidth="9.28515625" defaultRowHeight="16.5" x14ac:dyDescent="0.3"/>
  <cols>
    <col min="1" max="1" width="1.42578125" style="2199" customWidth="1"/>
    <col min="2" max="2" width="3.5703125" style="2207" customWidth="1"/>
    <col min="3" max="3" width="4.7109375" style="2208" customWidth="1"/>
    <col min="4" max="4" width="29.7109375" style="2199" customWidth="1"/>
    <col min="5" max="5" width="7.140625" style="2200" customWidth="1"/>
    <col min="6" max="6" width="2.28515625" style="2201" customWidth="1"/>
    <col min="7" max="7" width="6.7109375" style="2200" customWidth="1"/>
    <col min="8" max="8" width="2.28515625" style="2201" customWidth="1"/>
    <col min="9" max="9" width="6.7109375" style="2200" customWidth="1"/>
    <col min="10" max="10" width="2.28515625" style="2201" customWidth="1"/>
    <col min="11" max="11" width="9.7109375" style="2200" customWidth="1"/>
    <col min="12" max="12" width="2.28515625" style="2201" customWidth="1"/>
    <col min="13" max="13" width="6.7109375" style="2202" customWidth="1"/>
    <col min="14" max="14" width="2.28515625" style="2201" customWidth="1"/>
    <col min="15" max="15" width="8.5703125" style="2200" customWidth="1"/>
    <col min="16" max="16" width="2.7109375" style="2201" customWidth="1"/>
    <col min="17" max="17" width="10.7109375" style="2200" customWidth="1"/>
    <col min="18" max="18" width="2.85546875" style="2201" customWidth="1"/>
    <col min="19" max="19" width="10.140625" style="2203" customWidth="1"/>
    <col min="20" max="20" width="10" style="2204" customWidth="1"/>
    <col min="21" max="21" width="4.28515625" style="2205" bestFit="1" customWidth="1"/>
    <col min="22" max="22" width="14.85546875" style="2206" customWidth="1"/>
    <col min="23" max="23" width="12.5703125" style="2199" bestFit="1" customWidth="1"/>
    <col min="24" max="24" width="11.28515625" style="2199" customWidth="1"/>
    <col min="25" max="25" width="13.7109375" style="2199" bestFit="1" customWidth="1"/>
    <col min="26" max="16384" width="9.28515625" style="2199"/>
  </cols>
  <sheetData>
    <row r="2" spans="2:22" s="2194" customFormat="1" ht="22.15" customHeight="1" x14ac:dyDescent="0.2">
      <c r="B2" s="3134" t="s">
        <v>1374</v>
      </c>
      <c r="C2" s="3134"/>
      <c r="D2" s="3134"/>
      <c r="E2" s="3134"/>
      <c r="F2" s="3134"/>
      <c r="G2" s="3134"/>
      <c r="H2" s="3134"/>
      <c r="I2" s="3134"/>
      <c r="J2" s="3134"/>
      <c r="K2" s="3134"/>
      <c r="L2" s="3134"/>
      <c r="M2" s="3134"/>
      <c r="N2" s="3134"/>
      <c r="O2" s="3134"/>
      <c r="P2" s="3134"/>
      <c r="Q2" s="3134"/>
      <c r="R2" s="3134"/>
      <c r="S2" s="3134"/>
      <c r="T2" s="3134"/>
      <c r="U2" s="3134"/>
      <c r="V2" s="2193"/>
    </row>
    <row r="3" spans="2:22" s="2186" customFormat="1" x14ac:dyDescent="0.3">
      <c r="B3" s="2195"/>
      <c r="C3" s="2196"/>
      <c r="D3" s="2191"/>
      <c r="E3" s="2187"/>
      <c r="F3" s="2188"/>
      <c r="G3" s="2187"/>
      <c r="H3" s="2188"/>
      <c r="I3" s="2187"/>
      <c r="J3" s="2188"/>
      <c r="K3" s="2187"/>
      <c r="L3" s="2188"/>
      <c r="M3" s="2189"/>
      <c r="N3" s="2188"/>
      <c r="O3" s="2187"/>
      <c r="P3" s="2188"/>
      <c r="Q3" s="2187"/>
      <c r="R3" s="2188"/>
      <c r="S3" s="2197"/>
      <c r="T3" s="2191" t="s">
        <v>183</v>
      </c>
      <c r="U3" s="2191" t="s">
        <v>184</v>
      </c>
      <c r="V3" s="2192"/>
    </row>
    <row r="4" spans="2:22" s="2186" customFormat="1" x14ac:dyDescent="0.3">
      <c r="B4" s="2356" t="str">
        <f>[61]RAB!B10</f>
        <v>A</v>
      </c>
      <c r="C4" s="2357" t="str">
        <f>[61]RAB!C10</f>
        <v>PEKERJAAN PERSIAPAN</v>
      </c>
      <c r="D4" s="2358"/>
      <c r="E4" s="2359"/>
      <c r="F4" s="2360"/>
      <c r="G4" s="2359"/>
      <c r="H4" s="2360"/>
      <c r="I4" s="2359"/>
      <c r="J4" s="2360"/>
      <c r="K4" s="2359"/>
      <c r="L4" s="2360"/>
      <c r="M4" s="2360"/>
      <c r="N4" s="2360"/>
      <c r="O4" s="2359"/>
      <c r="P4" s="2360"/>
      <c r="Q4" s="2359"/>
      <c r="R4" s="2360"/>
      <c r="S4" s="2361"/>
      <c r="T4" s="2362"/>
      <c r="U4" s="2363"/>
      <c r="V4" s="2192"/>
    </row>
    <row r="5" spans="2:22" x14ac:dyDescent="0.3">
      <c r="B5" s="2364"/>
      <c r="C5" s="2365"/>
      <c r="D5" s="2366"/>
      <c r="E5" s="2367"/>
      <c r="F5" s="2368"/>
      <c r="G5" s="2367"/>
      <c r="H5" s="2368"/>
      <c r="I5" s="2367"/>
      <c r="J5" s="2368"/>
      <c r="K5" s="2367"/>
      <c r="L5" s="2368"/>
      <c r="M5" s="2368"/>
      <c r="N5" s="2368"/>
      <c r="O5" s="2367"/>
      <c r="P5" s="2368"/>
      <c r="Q5" s="2367"/>
      <c r="R5" s="2368"/>
      <c r="S5" s="2369"/>
      <c r="T5" s="2370"/>
      <c r="U5" s="2371"/>
    </row>
    <row r="6" spans="2:22" s="2186" customFormat="1" ht="17.25" thickBot="1" x14ac:dyDescent="0.35">
      <c r="B6" s="2372">
        <f>'[61]RAB (2)'!B11</f>
        <v>1</v>
      </c>
      <c r="C6" s="2373" t="str">
        <f>'[61]RAB (2)'!C11</f>
        <v>Pengukuran/Bowplank</v>
      </c>
      <c r="D6" s="2358"/>
      <c r="E6" s="2359"/>
      <c r="F6" s="2360"/>
      <c r="G6" s="2359"/>
      <c r="H6" s="2360"/>
      <c r="I6" s="2359"/>
      <c r="J6" s="2360"/>
      <c r="K6" s="2359"/>
      <c r="L6" s="2360"/>
      <c r="M6" s="2360"/>
      <c r="N6" s="2360"/>
      <c r="O6" s="2359"/>
      <c r="P6" s="2360"/>
      <c r="Q6" s="2359"/>
      <c r="R6" s="2360"/>
      <c r="S6" s="2361"/>
      <c r="T6" s="2374"/>
      <c r="U6" s="2363" t="s">
        <v>27</v>
      </c>
      <c r="V6" s="2192"/>
    </row>
    <row r="7" spans="2:22" s="2186" customFormat="1" x14ac:dyDescent="0.3">
      <c r="B7" s="2372"/>
      <c r="C7" s="2373"/>
      <c r="D7" s="2375" t="s">
        <v>95</v>
      </c>
      <c r="E7" s="2376" t="s">
        <v>150</v>
      </c>
      <c r="F7" s="2377"/>
      <c r="G7" s="2376" t="s">
        <v>151</v>
      </c>
      <c r="H7" s="2377"/>
      <c r="I7" s="2376" t="s">
        <v>152</v>
      </c>
      <c r="J7" s="2377"/>
      <c r="K7" s="2376" t="s">
        <v>153</v>
      </c>
      <c r="L7" s="2378"/>
      <c r="M7" s="2378" t="s">
        <v>32</v>
      </c>
      <c r="N7" s="2378"/>
      <c r="O7" s="2379" t="s">
        <v>163</v>
      </c>
      <c r="P7" s="2378"/>
      <c r="Q7" s="2379" t="s">
        <v>151</v>
      </c>
      <c r="R7" s="2378"/>
      <c r="S7" s="2380" t="s">
        <v>143</v>
      </c>
      <c r="T7" s="2381"/>
      <c r="U7" s="2363"/>
      <c r="V7" s="2192"/>
    </row>
    <row r="8" spans="2:22" s="2186" customFormat="1" x14ac:dyDescent="0.3">
      <c r="B8" s="2372"/>
      <c r="C8" s="2373"/>
      <c r="D8" s="2382" t="str">
        <f>[61]RAB!C11</f>
        <v>Pengukuran/Bowplank</v>
      </c>
      <c r="E8" s="2383"/>
      <c r="F8" s="2384"/>
      <c r="G8" s="2383"/>
      <c r="H8" s="2385"/>
      <c r="I8" s="2383"/>
      <c r="J8" s="2384"/>
      <c r="K8" s="2383"/>
      <c r="L8" s="2385"/>
      <c r="M8" s="2385"/>
      <c r="N8" s="2385"/>
      <c r="O8" s="2383"/>
      <c r="P8" s="2384"/>
      <c r="Q8" s="2383"/>
      <c r="R8" s="2384"/>
      <c r="S8" s="2386"/>
      <c r="T8" s="2374"/>
      <c r="U8" s="2363"/>
      <c r="V8" s="2192"/>
    </row>
    <row r="9" spans="2:22" s="2186" customFormat="1" x14ac:dyDescent="0.3">
      <c r="B9" s="2372"/>
      <c r="C9" s="2373"/>
      <c r="D9" s="2387" t="s">
        <v>286</v>
      </c>
      <c r="E9" s="2388">
        <f>16+5</f>
        <v>21</v>
      </c>
      <c r="F9" s="2389" t="s">
        <v>185</v>
      </c>
      <c r="G9" s="2388"/>
      <c r="H9" s="2390"/>
      <c r="I9" s="2388"/>
      <c r="J9" s="2389"/>
      <c r="K9" s="2388">
        <v>2</v>
      </c>
      <c r="L9" s="2390"/>
      <c r="M9" s="2390"/>
      <c r="N9" s="2390"/>
      <c r="O9" s="2388"/>
      <c r="P9" s="2389"/>
      <c r="Q9" s="2388"/>
      <c r="R9" s="2389" t="s">
        <v>114</v>
      </c>
      <c r="S9" s="2391">
        <f>K9*E9</f>
        <v>42</v>
      </c>
      <c r="T9" s="2374"/>
      <c r="U9" s="2363"/>
      <c r="V9" s="2192"/>
    </row>
    <row r="10" spans="2:22" s="2186" customFormat="1" x14ac:dyDescent="0.3">
      <c r="B10" s="2372"/>
      <c r="C10" s="2373"/>
      <c r="D10" s="2387" t="s">
        <v>252</v>
      </c>
      <c r="E10" s="2388">
        <f>8+5</f>
        <v>13</v>
      </c>
      <c r="F10" s="2389" t="s">
        <v>185</v>
      </c>
      <c r="G10" s="2388"/>
      <c r="H10" s="2390"/>
      <c r="I10" s="2388"/>
      <c r="J10" s="2389"/>
      <c r="K10" s="2388">
        <v>2</v>
      </c>
      <c r="L10" s="2390"/>
      <c r="M10" s="2390"/>
      <c r="N10" s="2390"/>
      <c r="O10" s="2388"/>
      <c r="P10" s="2389"/>
      <c r="Q10" s="2388"/>
      <c r="R10" s="2389" t="s">
        <v>114</v>
      </c>
      <c r="S10" s="2391">
        <f>K10*E10</f>
        <v>26</v>
      </c>
      <c r="T10" s="2374"/>
      <c r="U10" s="2363"/>
      <c r="V10" s="2192"/>
    </row>
    <row r="11" spans="2:22" s="2186" customFormat="1" ht="17.25" thickBot="1" x14ac:dyDescent="0.35">
      <c r="B11" s="2372"/>
      <c r="C11" s="2373"/>
      <c r="D11" s="3135" t="s">
        <v>164</v>
      </c>
      <c r="E11" s="3136"/>
      <c r="F11" s="3136"/>
      <c r="G11" s="3136"/>
      <c r="H11" s="3136"/>
      <c r="I11" s="3136"/>
      <c r="J11" s="2392"/>
      <c r="K11" s="2393"/>
      <c r="L11" s="2394"/>
      <c r="M11" s="2394"/>
      <c r="N11" s="2394"/>
      <c r="O11" s="2392"/>
      <c r="P11" s="2394"/>
      <c r="Q11" s="2392"/>
      <c r="R11" s="2394"/>
      <c r="S11" s="2395">
        <f>SUM(S8:S10)</f>
        <v>68</v>
      </c>
      <c r="T11" s="2381"/>
      <c r="U11" s="2363"/>
      <c r="V11" s="2192"/>
    </row>
    <row r="12" spans="2:22" s="2186" customFormat="1" x14ac:dyDescent="0.3">
      <c r="B12" s="2372"/>
      <c r="C12" s="2373"/>
      <c r="D12" s="2396"/>
      <c r="E12" s="2397"/>
      <c r="F12" s="2398"/>
      <c r="G12" s="2397"/>
      <c r="H12" s="2398"/>
      <c r="I12" s="2397"/>
      <c r="J12" s="2398"/>
      <c r="K12" s="2397"/>
      <c r="L12" s="2398"/>
      <c r="M12" s="2398"/>
      <c r="N12" s="2398"/>
      <c r="O12" s="2397"/>
      <c r="P12" s="2398"/>
      <c r="Q12" s="2397"/>
      <c r="R12" s="2398"/>
      <c r="S12" s="2399"/>
      <c r="T12" s="2381"/>
      <c r="U12" s="2363"/>
      <c r="V12" s="2192"/>
    </row>
    <row r="13" spans="2:22" s="2186" customFormat="1" ht="17.25" thickBot="1" x14ac:dyDescent="0.35">
      <c r="B13" s="2372">
        <f>'[61]RAB (2)'!B12</f>
        <v>2</v>
      </c>
      <c r="C13" s="2373" t="str">
        <f>'[61]RAB (2)'!C12</f>
        <v>Pagar Pengaman Proyek</v>
      </c>
      <c r="D13" s="2396"/>
      <c r="E13" s="2397"/>
      <c r="F13" s="2398"/>
      <c r="G13" s="2397"/>
      <c r="H13" s="2398"/>
      <c r="I13" s="2397"/>
      <c r="J13" s="2398"/>
      <c r="K13" s="2397"/>
      <c r="L13" s="2398"/>
      <c r="M13" s="2398"/>
      <c r="N13" s="2398"/>
      <c r="O13" s="2397"/>
      <c r="P13" s="2398"/>
      <c r="Q13" s="2397"/>
      <c r="R13" s="2398"/>
      <c r="S13" s="2399"/>
      <c r="T13" s="2374"/>
      <c r="U13" s="2363" t="s">
        <v>27</v>
      </c>
      <c r="V13" s="2192"/>
    </row>
    <row r="14" spans="2:22" s="2186" customFormat="1" x14ac:dyDescent="0.3">
      <c r="B14" s="2372"/>
      <c r="C14" s="2373"/>
      <c r="D14" s="2375" t="s">
        <v>95</v>
      </c>
      <c r="E14" s="2376" t="s">
        <v>150</v>
      </c>
      <c r="F14" s="2377"/>
      <c r="G14" s="2376" t="s">
        <v>151</v>
      </c>
      <c r="H14" s="2377"/>
      <c r="I14" s="2376" t="s">
        <v>152</v>
      </c>
      <c r="J14" s="2377"/>
      <c r="K14" s="2376" t="s">
        <v>153</v>
      </c>
      <c r="L14" s="2378"/>
      <c r="M14" s="2378" t="s">
        <v>32</v>
      </c>
      <c r="N14" s="2378"/>
      <c r="O14" s="2379" t="s">
        <v>163</v>
      </c>
      <c r="P14" s="2378"/>
      <c r="Q14" s="2379" t="s">
        <v>151</v>
      </c>
      <c r="R14" s="2378"/>
      <c r="S14" s="2380" t="s">
        <v>143</v>
      </c>
      <c r="T14" s="2381"/>
      <c r="U14" s="2363"/>
      <c r="V14" s="2192"/>
    </row>
    <row r="15" spans="2:22" s="2186" customFormat="1" x14ac:dyDescent="0.3">
      <c r="B15" s="2372"/>
      <c r="C15" s="2373"/>
      <c r="D15" s="2400" t="s">
        <v>592</v>
      </c>
      <c r="E15" s="2383"/>
      <c r="F15" s="2384"/>
      <c r="G15" s="2383"/>
      <c r="H15" s="2385"/>
      <c r="I15" s="2383"/>
      <c r="J15" s="2384"/>
      <c r="K15" s="2383"/>
      <c r="L15" s="2385"/>
      <c r="M15" s="2385"/>
      <c r="N15" s="2385"/>
      <c r="O15" s="2383"/>
      <c r="P15" s="2384"/>
      <c r="Q15" s="2383"/>
      <c r="R15" s="2384"/>
      <c r="S15" s="2386"/>
      <c r="T15" s="2358"/>
      <c r="U15" s="2358"/>
      <c r="V15" s="2192"/>
    </row>
    <row r="16" spans="2:22" s="2186" customFormat="1" x14ac:dyDescent="0.3">
      <c r="B16" s="2372"/>
      <c r="C16" s="2373"/>
      <c r="D16" s="2387" t="s">
        <v>286</v>
      </c>
      <c r="E16" s="2401">
        <f>V16</f>
        <v>22</v>
      </c>
      <c r="F16" s="2389" t="s">
        <v>185</v>
      </c>
      <c r="G16" s="2388"/>
      <c r="H16" s="2390"/>
      <c r="I16" s="2388"/>
      <c r="J16" s="2389"/>
      <c r="K16" s="2388">
        <v>2</v>
      </c>
      <c r="L16" s="2390"/>
      <c r="M16" s="2390"/>
      <c r="N16" s="2390"/>
      <c r="O16" s="2388"/>
      <c r="P16" s="2389"/>
      <c r="Q16" s="2388"/>
      <c r="R16" s="2389" t="s">
        <v>114</v>
      </c>
      <c r="S16" s="2391">
        <f>K16*E16</f>
        <v>44</v>
      </c>
      <c r="T16" s="2374"/>
      <c r="U16" s="2363"/>
      <c r="V16" s="2192">
        <f>16+6</f>
        <v>22</v>
      </c>
    </row>
    <row r="17" spans="2:22" s="2186" customFormat="1" x14ac:dyDescent="0.3">
      <c r="B17" s="2372"/>
      <c r="C17" s="2373"/>
      <c r="D17" s="2387" t="s">
        <v>252</v>
      </c>
      <c r="E17" s="2401">
        <f>V17</f>
        <v>19</v>
      </c>
      <c r="F17" s="2389" t="s">
        <v>185</v>
      </c>
      <c r="G17" s="2388"/>
      <c r="H17" s="2390"/>
      <c r="I17" s="2388"/>
      <c r="J17" s="2389"/>
      <c r="K17" s="2388">
        <v>2</v>
      </c>
      <c r="L17" s="2390"/>
      <c r="M17" s="2390"/>
      <c r="N17" s="2390"/>
      <c r="O17" s="2388"/>
      <c r="P17" s="2389"/>
      <c r="Q17" s="2388"/>
      <c r="R17" s="2389" t="s">
        <v>114</v>
      </c>
      <c r="S17" s="2391">
        <f>K17*E17</f>
        <v>38</v>
      </c>
      <c r="T17" s="2374"/>
      <c r="U17" s="2363"/>
      <c r="V17" s="2192">
        <v>19</v>
      </c>
    </row>
    <row r="18" spans="2:22" s="2186" customFormat="1" ht="17.25" thickBot="1" x14ac:dyDescent="0.35">
      <c r="B18" s="2372"/>
      <c r="C18" s="2402"/>
      <c r="D18" s="3135" t="s">
        <v>164</v>
      </c>
      <c r="E18" s="3136"/>
      <c r="F18" s="3136"/>
      <c r="G18" s="3136"/>
      <c r="H18" s="3136"/>
      <c r="I18" s="3136"/>
      <c r="J18" s="2392"/>
      <c r="K18" s="2393"/>
      <c r="L18" s="2394"/>
      <c r="M18" s="2394"/>
      <c r="N18" s="2394"/>
      <c r="O18" s="2392"/>
      <c r="P18" s="2394"/>
      <c r="Q18" s="2392"/>
      <c r="R18" s="2394"/>
      <c r="S18" s="2395">
        <f>SUM(S16:S17)</f>
        <v>82</v>
      </c>
      <c r="T18" s="2362"/>
      <c r="U18" s="2363"/>
      <c r="V18" s="2192"/>
    </row>
    <row r="19" spans="2:22" x14ac:dyDescent="0.3">
      <c r="B19" s="2403"/>
      <c r="C19" s="2404"/>
      <c r="D19" s="2405"/>
      <c r="E19" s="2406"/>
      <c r="F19" s="2407"/>
      <c r="G19" s="2406"/>
      <c r="H19" s="2407"/>
      <c r="I19" s="2406"/>
      <c r="J19" s="2407"/>
      <c r="K19" s="2406"/>
      <c r="L19" s="2407"/>
      <c r="M19" s="2407"/>
      <c r="N19" s="2407"/>
      <c r="O19" s="2406"/>
      <c r="P19" s="2407"/>
      <c r="Q19" s="2406"/>
      <c r="R19" s="2407"/>
      <c r="S19" s="2408"/>
      <c r="T19" s="2409"/>
      <c r="U19" s="2371"/>
    </row>
    <row r="20" spans="2:22" s="2186" customFormat="1" x14ac:dyDescent="0.3">
      <c r="B20" s="2372">
        <f>'[61]RAB (2)'!B18</f>
        <v>8</v>
      </c>
      <c r="C20" s="2373" t="str">
        <f>'[61]RAB (2)'!C18</f>
        <v>Biaya SMK 3</v>
      </c>
      <c r="D20" s="2396"/>
      <c r="E20" s="2397"/>
      <c r="F20" s="2398"/>
      <c r="G20" s="2397"/>
      <c r="H20" s="2398"/>
      <c r="I20" s="2397"/>
      <c r="J20" s="2398"/>
      <c r="K20" s="2397"/>
      <c r="L20" s="2398"/>
      <c r="M20" s="2398"/>
      <c r="N20" s="2398"/>
      <c r="O20" s="2397"/>
      <c r="P20" s="2398"/>
      <c r="Q20" s="2397"/>
      <c r="R20" s="2398"/>
      <c r="S20" s="2399"/>
      <c r="T20" s="2381"/>
      <c r="U20" s="2363" t="s">
        <v>1</v>
      </c>
      <c r="V20" s="2192"/>
    </row>
    <row r="21" spans="2:22" x14ac:dyDescent="0.3">
      <c r="B21" s="2403"/>
      <c r="C21" s="2404"/>
      <c r="D21" s="2405"/>
      <c r="E21" s="2406"/>
      <c r="F21" s="2407"/>
      <c r="G21" s="2406"/>
      <c r="H21" s="2407"/>
      <c r="I21" s="2406"/>
      <c r="J21" s="2407"/>
      <c r="K21" s="2406"/>
      <c r="L21" s="2407"/>
      <c r="M21" s="2407"/>
      <c r="N21" s="2407"/>
      <c r="O21" s="2406"/>
      <c r="P21" s="2407"/>
      <c r="Q21" s="2406"/>
      <c r="R21" s="2407"/>
      <c r="S21" s="2408"/>
      <c r="T21" s="2409"/>
      <c r="U21" s="2371"/>
    </row>
    <row r="22" spans="2:22" s="2198" customFormat="1" ht="14.25" x14ac:dyDescent="0.2">
      <c r="B22" s="2410" t="s">
        <v>53</v>
      </c>
      <c r="C22" s="2411" t="str">
        <f>'[61]RAB (2)'!C22</f>
        <v>PEKERJAAN TANAH</v>
      </c>
      <c r="D22" s="2356"/>
      <c r="E22" s="2412"/>
      <c r="F22" s="2413"/>
      <c r="G22" s="2412"/>
      <c r="H22" s="2413"/>
      <c r="I22" s="2412"/>
      <c r="J22" s="2413"/>
      <c r="K22" s="2412"/>
      <c r="L22" s="2413"/>
      <c r="M22" s="2413"/>
      <c r="N22" s="2413"/>
      <c r="O22" s="2412"/>
      <c r="P22" s="2413"/>
      <c r="Q22" s="2412"/>
      <c r="R22" s="2413"/>
      <c r="S22" s="2414"/>
      <c r="T22" s="2356"/>
      <c r="U22" s="2356"/>
      <c r="V22" s="2246"/>
    </row>
    <row r="23" spans="2:22" s="2185" customFormat="1" ht="17.25" thickBot="1" x14ac:dyDescent="0.35">
      <c r="B23" s="2415">
        <f>'[61]RAB (2)'!B23</f>
        <v>1</v>
      </c>
      <c r="C23" s="2416" t="str">
        <f>'[61]RAB (2)'!C23</f>
        <v xml:space="preserve">Galian Tanah </v>
      </c>
      <c r="D23" s="2372"/>
      <c r="E23" s="2417"/>
      <c r="F23" s="2418"/>
      <c r="G23" s="2417"/>
      <c r="H23" s="2418"/>
      <c r="I23" s="2417"/>
      <c r="J23" s="2418"/>
      <c r="K23" s="2417"/>
      <c r="L23" s="2418"/>
      <c r="M23" s="2418"/>
      <c r="N23" s="2418"/>
      <c r="O23" s="2417"/>
      <c r="P23" s="2418"/>
      <c r="Q23" s="2417"/>
      <c r="R23" s="2418"/>
      <c r="S23" s="2419"/>
      <c r="T23" s="2374"/>
      <c r="U23" s="2410" t="s">
        <v>3</v>
      </c>
      <c r="V23" s="2209"/>
    </row>
    <row r="24" spans="2:22" s="2185" customFormat="1" x14ac:dyDescent="0.3">
      <c r="B24" s="2372"/>
      <c r="C24" s="2416"/>
      <c r="D24" s="2420" t="s">
        <v>95</v>
      </c>
      <c r="E24" s="2421" t="s">
        <v>150</v>
      </c>
      <c r="F24" s="2422"/>
      <c r="G24" s="2421" t="s">
        <v>151</v>
      </c>
      <c r="H24" s="2422"/>
      <c r="I24" s="2421" t="s">
        <v>152</v>
      </c>
      <c r="J24" s="2422"/>
      <c r="K24" s="2421" t="s">
        <v>153</v>
      </c>
      <c r="L24" s="2423"/>
      <c r="M24" s="2423" t="s">
        <v>32</v>
      </c>
      <c r="N24" s="2423"/>
      <c r="O24" s="2424" t="s">
        <v>163</v>
      </c>
      <c r="P24" s="2423"/>
      <c r="Q24" s="2424" t="s">
        <v>151</v>
      </c>
      <c r="R24" s="2423"/>
      <c r="S24" s="2425" t="s">
        <v>143</v>
      </c>
      <c r="T24" s="2426"/>
      <c r="U24" s="2410"/>
      <c r="V24" s="2209"/>
    </row>
    <row r="25" spans="2:22" s="2185" customFormat="1" x14ac:dyDescent="0.3">
      <c r="B25" s="2372"/>
      <c r="C25" s="2416"/>
      <c r="D25" s="2427" t="s">
        <v>249</v>
      </c>
      <c r="E25" s="2428"/>
      <c r="F25" s="2429"/>
      <c r="G25" s="2428"/>
      <c r="H25" s="2429"/>
      <c r="I25" s="2428"/>
      <c r="J25" s="2429"/>
      <c r="K25" s="2428"/>
      <c r="L25" s="2428"/>
      <c r="M25" s="2428"/>
      <c r="N25" s="2428"/>
      <c r="O25" s="2428"/>
      <c r="P25" s="2428"/>
      <c r="Q25" s="2428"/>
      <c r="R25" s="2429"/>
      <c r="S25" s="2430"/>
      <c r="T25" s="2426"/>
      <c r="U25" s="2410"/>
      <c r="V25" s="2209"/>
    </row>
    <row r="26" spans="2:22" s="2185" customFormat="1" x14ac:dyDescent="0.3">
      <c r="B26" s="2372"/>
      <c r="C26" s="2416"/>
      <c r="D26" s="2431" t="s">
        <v>1311</v>
      </c>
      <c r="E26" s="2332">
        <v>1.1000000000000001</v>
      </c>
      <c r="F26" s="2335" t="s">
        <v>185</v>
      </c>
      <c r="G26" s="2332">
        <v>1.1000000000000001</v>
      </c>
      <c r="H26" s="2335" t="s">
        <v>185</v>
      </c>
      <c r="I26" s="2332">
        <v>0.75</v>
      </c>
      <c r="J26" s="2335" t="s">
        <v>185</v>
      </c>
      <c r="K26" s="2332">
        <f>14*1</f>
        <v>14</v>
      </c>
      <c r="L26" s="2332"/>
      <c r="M26" s="2332"/>
      <c r="N26" s="2332"/>
      <c r="O26" s="2332"/>
      <c r="P26" s="2332"/>
      <c r="Q26" s="2332"/>
      <c r="R26" s="2335" t="s">
        <v>114</v>
      </c>
      <c r="S26" s="2432">
        <f>K26*I26*G26*E26</f>
        <v>12.705000000000002</v>
      </c>
      <c r="T26" s="2426"/>
      <c r="U26" s="2410"/>
      <c r="V26" s="2209">
        <f>SUM(S26:S27)</f>
        <v>17.655000000000001</v>
      </c>
    </row>
    <row r="27" spans="2:22" s="2185" customFormat="1" x14ac:dyDescent="0.3">
      <c r="B27" s="2372"/>
      <c r="C27" s="2416"/>
      <c r="D27" s="2431" t="s">
        <v>1312</v>
      </c>
      <c r="E27" s="2332">
        <v>2</v>
      </c>
      <c r="F27" s="2335" t="s">
        <v>185</v>
      </c>
      <c r="G27" s="2332">
        <v>1.1000000000000001</v>
      </c>
      <c r="H27" s="2335" t="s">
        <v>185</v>
      </c>
      <c r="I27" s="2332">
        <f>I26</f>
        <v>0.75</v>
      </c>
      <c r="J27" s="2335" t="s">
        <v>185</v>
      </c>
      <c r="K27" s="2332">
        <f>3*1</f>
        <v>3</v>
      </c>
      <c r="L27" s="2332"/>
      <c r="M27" s="2332"/>
      <c r="N27" s="2332"/>
      <c r="O27" s="2332"/>
      <c r="P27" s="2332"/>
      <c r="Q27" s="2332"/>
      <c r="R27" s="2335" t="s">
        <v>114</v>
      </c>
      <c r="S27" s="2432">
        <f>K27*I27*G27*E27</f>
        <v>4.95</v>
      </c>
      <c r="T27" s="2426"/>
      <c r="U27" s="2410"/>
      <c r="V27" s="2209"/>
    </row>
    <row r="28" spans="2:22" s="2186" customFormat="1" x14ac:dyDescent="0.3">
      <c r="B28" s="2372"/>
      <c r="C28" s="2402"/>
      <c r="D28" s="2433"/>
      <c r="E28" s="2434"/>
      <c r="F28" s="2434"/>
      <c r="G28" s="2434"/>
      <c r="H28" s="2434"/>
      <c r="I28" s="2434"/>
      <c r="J28" s="2434"/>
      <c r="K28" s="2434"/>
      <c r="L28" s="2434"/>
      <c r="M28" s="2434"/>
      <c r="N28" s="2434"/>
      <c r="O28" s="2434"/>
      <c r="P28" s="2434"/>
      <c r="Q28" s="2434"/>
      <c r="R28" s="2434"/>
      <c r="S28" s="2435"/>
      <c r="T28" s="2362"/>
      <c r="U28" s="2363"/>
      <c r="V28" s="2192"/>
    </row>
    <row r="29" spans="2:22" s="2186" customFormat="1" ht="17.25" thickBot="1" x14ac:dyDescent="0.35">
      <c r="B29" s="2372"/>
      <c r="C29" s="2402"/>
      <c r="D29" s="3135" t="s">
        <v>164</v>
      </c>
      <c r="E29" s="3136"/>
      <c r="F29" s="3136"/>
      <c r="G29" s="3136"/>
      <c r="H29" s="3136"/>
      <c r="I29" s="3136"/>
      <c r="J29" s="2392"/>
      <c r="K29" s="2393"/>
      <c r="L29" s="2394"/>
      <c r="M29" s="2394"/>
      <c r="N29" s="2394"/>
      <c r="O29" s="2392"/>
      <c r="P29" s="2394"/>
      <c r="Q29" s="2392"/>
      <c r="R29" s="2394"/>
      <c r="S29" s="2395">
        <f>SUM(S26:S27)</f>
        <v>17.655000000000001</v>
      </c>
      <c r="T29" s="2362"/>
      <c r="U29" s="2363"/>
      <c r="V29" s="2192"/>
    </row>
    <row r="30" spans="2:22" x14ac:dyDescent="0.3">
      <c r="B30" s="2403"/>
      <c r="C30" s="2436"/>
      <c r="D30" s="2437"/>
      <c r="E30" s="2406"/>
      <c r="F30" s="2406"/>
      <c r="G30" s="2406"/>
      <c r="H30" s="2406"/>
      <c r="I30" s="2406"/>
      <c r="J30" s="2406"/>
      <c r="K30" s="2406"/>
      <c r="L30" s="2407"/>
      <c r="M30" s="2407"/>
      <c r="N30" s="2407"/>
      <c r="O30" s="2406"/>
      <c r="P30" s="2407"/>
      <c r="Q30" s="2406"/>
      <c r="R30" s="2407"/>
      <c r="S30" s="2438"/>
      <c r="T30" s="2370"/>
      <c r="U30" s="2371"/>
    </row>
    <row r="31" spans="2:22" s="2185" customFormat="1" ht="17.25" thickBot="1" x14ac:dyDescent="0.35">
      <c r="B31" s="2415">
        <f>'[61]RAB (2)'!B24</f>
        <v>2</v>
      </c>
      <c r="C31" s="2439" t="str">
        <f>'[61]RAB (2)'!C24</f>
        <v>Urugan Tanah Kembali Bekas Galian</v>
      </c>
      <c r="D31" s="2372"/>
      <c r="E31" s="2417"/>
      <c r="F31" s="2418"/>
      <c r="G31" s="2417"/>
      <c r="H31" s="2418"/>
      <c r="I31" s="2417"/>
      <c r="J31" s="2418"/>
      <c r="K31" s="2417"/>
      <c r="L31" s="2418"/>
      <c r="M31" s="2418"/>
      <c r="N31" s="2418"/>
      <c r="O31" s="2417"/>
      <c r="P31" s="2418"/>
      <c r="Q31" s="2417"/>
      <c r="R31" s="2418"/>
      <c r="S31" s="2419"/>
      <c r="T31" s="2374"/>
      <c r="U31" s="2410" t="s">
        <v>3</v>
      </c>
      <c r="V31" s="2209"/>
    </row>
    <row r="32" spans="2:22" s="2185" customFormat="1" x14ac:dyDescent="0.3">
      <c r="B32" s="2372"/>
      <c r="C32" s="2416"/>
      <c r="D32" s="2420" t="s">
        <v>95</v>
      </c>
      <c r="E32" s="2421" t="s">
        <v>150</v>
      </c>
      <c r="F32" s="2422"/>
      <c r="G32" s="2421" t="s">
        <v>151</v>
      </c>
      <c r="H32" s="2422"/>
      <c r="I32" s="2421" t="s">
        <v>152</v>
      </c>
      <c r="J32" s="2422"/>
      <c r="K32" s="2421" t="s">
        <v>153</v>
      </c>
      <c r="L32" s="2423"/>
      <c r="M32" s="2423" t="s">
        <v>32</v>
      </c>
      <c r="N32" s="2423"/>
      <c r="O32" s="2424" t="s">
        <v>163</v>
      </c>
      <c r="P32" s="2423"/>
      <c r="Q32" s="2424" t="s">
        <v>151</v>
      </c>
      <c r="R32" s="2423"/>
      <c r="S32" s="2425" t="s">
        <v>143</v>
      </c>
      <c r="T32" s="2426"/>
      <c r="U32" s="2410"/>
      <c r="V32" s="2209"/>
    </row>
    <row r="33" spans="2:22" s="2185" customFormat="1" x14ac:dyDescent="0.3">
      <c r="B33" s="2372"/>
      <c r="C33" s="2416"/>
      <c r="D33" s="2427" t="s">
        <v>154</v>
      </c>
      <c r="E33" s="2428"/>
      <c r="F33" s="2429"/>
      <c r="G33" s="2428"/>
      <c r="H33" s="2429"/>
      <c r="I33" s="2428"/>
      <c r="J33" s="2429"/>
      <c r="K33" s="2428"/>
      <c r="L33" s="2428"/>
      <c r="M33" s="2428"/>
      <c r="N33" s="2428"/>
      <c r="O33" s="2428"/>
      <c r="P33" s="2428"/>
      <c r="Q33" s="2428"/>
      <c r="R33" s="2429"/>
      <c r="S33" s="2430"/>
      <c r="T33" s="2426"/>
      <c r="U33" s="2410"/>
      <c r="V33" s="2209"/>
    </row>
    <row r="34" spans="2:22" s="2185" customFormat="1" x14ac:dyDescent="0.3">
      <c r="B34" s="2372"/>
      <c r="C34" s="2416"/>
      <c r="D34" s="2431" t="str">
        <f>C105</f>
        <v>Pile Cap tipe - PC1</v>
      </c>
      <c r="E34" s="2440"/>
      <c r="F34" s="2441"/>
      <c r="G34" s="2440"/>
      <c r="H34" s="2441"/>
      <c r="I34" s="2440"/>
      <c r="J34" s="2441"/>
      <c r="K34" s="2440"/>
      <c r="L34" s="2440"/>
      <c r="M34" s="2440"/>
      <c r="N34" s="2440"/>
      <c r="O34" s="2440"/>
      <c r="P34" s="2440"/>
      <c r="Q34" s="2440"/>
      <c r="R34" s="2442" t="s">
        <v>114</v>
      </c>
      <c r="S34" s="2443">
        <f>S108</f>
        <v>6.8040000000000003</v>
      </c>
      <c r="T34" s="2426"/>
      <c r="U34" s="2410"/>
      <c r="V34" s="2209"/>
    </row>
    <row r="35" spans="2:22" s="2185" customFormat="1" x14ac:dyDescent="0.3">
      <c r="B35" s="2372"/>
      <c r="C35" s="2416"/>
      <c r="D35" s="2431" t="str">
        <f>C127</f>
        <v>Pile Cap tipe - PC2</v>
      </c>
      <c r="E35" s="2440"/>
      <c r="F35" s="2441"/>
      <c r="G35" s="2440"/>
      <c r="H35" s="2441"/>
      <c r="I35" s="2440"/>
      <c r="J35" s="2441"/>
      <c r="K35" s="2440"/>
      <c r="L35" s="2440"/>
      <c r="M35" s="2440"/>
      <c r="N35" s="2440"/>
      <c r="O35" s="2440"/>
      <c r="P35" s="2440"/>
      <c r="Q35" s="2440"/>
      <c r="R35" s="2442" t="s">
        <v>114</v>
      </c>
      <c r="S35" s="2443">
        <f>S130</f>
        <v>2.9159999999999999</v>
      </c>
      <c r="T35" s="2426"/>
      <c r="U35" s="2410"/>
      <c r="V35" s="2209"/>
    </row>
    <row r="36" spans="2:22" s="2186" customFormat="1" x14ac:dyDescent="0.3">
      <c r="B36" s="2372"/>
      <c r="C36" s="2402"/>
      <c r="D36" s="2444" t="s">
        <v>726</v>
      </c>
      <c r="E36" s="2440"/>
      <c r="F36" s="2441"/>
      <c r="G36" s="2440"/>
      <c r="H36" s="2442"/>
      <c r="I36" s="2388"/>
      <c r="J36" s="2442"/>
      <c r="K36" s="2388"/>
      <c r="L36" s="2390"/>
      <c r="M36" s="2390"/>
      <c r="N36" s="2390"/>
      <c r="O36" s="2388"/>
      <c r="P36" s="2390"/>
      <c r="Q36" s="2388"/>
      <c r="R36" s="2442" t="s">
        <v>114</v>
      </c>
      <c r="S36" s="2391">
        <f>SUM(S48:S52)</f>
        <v>3.5310000000000006</v>
      </c>
      <c r="T36" s="2362"/>
      <c r="U36" s="2363"/>
      <c r="V36" s="2192"/>
    </row>
    <row r="37" spans="2:22" x14ac:dyDescent="0.3">
      <c r="B37" s="2403"/>
      <c r="C37" s="2436"/>
      <c r="D37" s="2444" t="s">
        <v>725</v>
      </c>
      <c r="E37" s="2388"/>
      <c r="F37" s="2442"/>
      <c r="G37" s="2388"/>
      <c r="H37" s="2442"/>
      <c r="I37" s="2388"/>
      <c r="J37" s="2442"/>
      <c r="K37" s="2388"/>
      <c r="L37" s="2390"/>
      <c r="M37" s="2390"/>
      <c r="N37" s="2390"/>
      <c r="O37" s="2388"/>
      <c r="P37" s="2390"/>
      <c r="Q37" s="2388"/>
      <c r="R37" s="2442"/>
      <c r="S37" s="2445"/>
      <c r="T37" s="2370"/>
      <c r="U37" s="2371"/>
    </row>
    <row r="38" spans="2:22" x14ac:dyDescent="0.3">
      <c r="B38" s="2403"/>
      <c r="C38" s="2436"/>
      <c r="D38" s="2387" t="s">
        <v>186</v>
      </c>
      <c r="E38" s="2388"/>
      <c r="F38" s="2442"/>
      <c r="G38" s="2388"/>
      <c r="H38" s="2442"/>
      <c r="I38" s="2388"/>
      <c r="J38" s="2442"/>
      <c r="K38" s="2388"/>
      <c r="L38" s="2388"/>
      <c r="M38" s="2388"/>
      <c r="N38" s="2388"/>
      <c r="O38" s="2388"/>
      <c r="P38" s="2442"/>
      <c r="Q38" s="2388"/>
      <c r="R38" s="2388"/>
      <c r="S38" s="2391">
        <f>SUM(S34:S37)</f>
        <v>13.251000000000001</v>
      </c>
      <c r="T38" s="2370"/>
      <c r="U38" s="2371"/>
    </row>
    <row r="39" spans="2:22" x14ac:dyDescent="0.3">
      <c r="B39" s="2403"/>
      <c r="C39" s="2436"/>
      <c r="D39" s="2446" t="s">
        <v>170</v>
      </c>
      <c r="E39" s="2388"/>
      <c r="F39" s="2442"/>
      <c r="G39" s="2388"/>
      <c r="H39" s="2442"/>
      <c r="I39" s="2388"/>
      <c r="J39" s="2442"/>
      <c r="K39" s="2447">
        <f>S29</f>
        <v>17.655000000000001</v>
      </c>
      <c r="L39" s="2388"/>
      <c r="M39" s="2388"/>
      <c r="N39" s="2388"/>
      <c r="O39" s="2388"/>
      <c r="P39" s="2442"/>
      <c r="Q39" s="2388"/>
      <c r="R39" s="2442" t="s">
        <v>114</v>
      </c>
      <c r="S39" s="2391">
        <f>K39</f>
        <v>17.655000000000001</v>
      </c>
      <c r="T39" s="2370"/>
      <c r="U39" s="2371"/>
    </row>
    <row r="40" spans="2:22" x14ac:dyDescent="0.3">
      <c r="B40" s="2403"/>
      <c r="C40" s="2436"/>
      <c r="D40" s="2446" t="s">
        <v>187</v>
      </c>
      <c r="E40" s="2388"/>
      <c r="F40" s="2442"/>
      <c r="G40" s="2388"/>
      <c r="H40" s="2442"/>
      <c r="I40" s="2388"/>
      <c r="J40" s="2442"/>
      <c r="K40" s="2388"/>
      <c r="L40" s="2388"/>
      <c r="M40" s="2388"/>
      <c r="N40" s="2388"/>
      <c r="O40" s="2388"/>
      <c r="P40" s="2442"/>
      <c r="Q40" s="2388"/>
      <c r="R40" s="2442" t="s">
        <v>149</v>
      </c>
      <c r="S40" s="2391">
        <f>S38</f>
        <v>13.251000000000001</v>
      </c>
      <c r="T40" s="2370"/>
      <c r="U40" s="2371"/>
    </row>
    <row r="41" spans="2:22" x14ac:dyDescent="0.3">
      <c r="B41" s="2403"/>
      <c r="C41" s="2436"/>
      <c r="D41" s="2446" t="s">
        <v>188</v>
      </c>
      <c r="E41" s="2388"/>
      <c r="F41" s="2442"/>
      <c r="G41" s="2388"/>
      <c r="H41" s="2442"/>
      <c r="I41" s="2388"/>
      <c r="J41" s="2442"/>
      <c r="K41" s="2388"/>
      <c r="L41" s="2388"/>
      <c r="M41" s="2388"/>
      <c r="N41" s="2388"/>
      <c r="O41" s="2388"/>
      <c r="P41" s="2442"/>
      <c r="Q41" s="2388"/>
      <c r="R41" s="2442" t="s">
        <v>114</v>
      </c>
      <c r="S41" s="2391">
        <f>S39-S40</f>
        <v>4.4039999999999999</v>
      </c>
      <c r="T41" s="2370"/>
      <c r="U41" s="2371"/>
    </row>
    <row r="42" spans="2:22" x14ac:dyDescent="0.3">
      <c r="B42" s="2403"/>
      <c r="C42" s="2436"/>
      <c r="D42" s="2433"/>
      <c r="E42" s="2448"/>
      <c r="F42" s="2449"/>
      <c r="G42" s="2448"/>
      <c r="H42" s="2449"/>
      <c r="I42" s="2448"/>
      <c r="J42" s="2449"/>
      <c r="K42" s="2448"/>
      <c r="L42" s="2449"/>
      <c r="M42" s="2449"/>
      <c r="N42" s="2449"/>
      <c r="O42" s="2448"/>
      <c r="P42" s="2449"/>
      <c r="Q42" s="2448"/>
      <c r="R42" s="2449"/>
      <c r="S42" s="2450"/>
      <c r="T42" s="2370"/>
      <c r="U42" s="2371"/>
    </row>
    <row r="43" spans="2:22" ht="17.25" thickBot="1" x14ac:dyDescent="0.35">
      <c r="B43" s="2403"/>
      <c r="C43" s="2436"/>
      <c r="D43" s="3135" t="s">
        <v>164</v>
      </c>
      <c r="E43" s="3136"/>
      <c r="F43" s="3136"/>
      <c r="G43" s="3136"/>
      <c r="H43" s="3136"/>
      <c r="I43" s="3136"/>
      <c r="J43" s="2392"/>
      <c r="K43" s="2393"/>
      <c r="L43" s="2394"/>
      <c r="M43" s="2394"/>
      <c r="N43" s="2394"/>
      <c r="O43" s="2392"/>
      <c r="P43" s="2394"/>
      <c r="Q43" s="2392"/>
      <c r="R43" s="2394"/>
      <c r="S43" s="2395">
        <f>S41</f>
        <v>4.4039999999999999</v>
      </c>
      <c r="T43" s="2370"/>
      <c r="U43" s="2371"/>
    </row>
    <row r="44" spans="2:22" x14ac:dyDescent="0.3">
      <c r="B44" s="2403"/>
      <c r="C44" s="2436"/>
      <c r="D44" s="2437"/>
      <c r="E44" s="2406"/>
      <c r="F44" s="2407"/>
      <c r="G44" s="2406"/>
      <c r="H44" s="2407"/>
      <c r="I44" s="2406"/>
      <c r="J44" s="2407"/>
      <c r="K44" s="2406"/>
      <c r="L44" s="2407"/>
      <c r="M44" s="2407"/>
      <c r="N44" s="2407"/>
      <c r="O44" s="2406"/>
      <c r="P44" s="2407"/>
      <c r="Q44" s="2406"/>
      <c r="R44" s="2407"/>
      <c r="S44" s="2405"/>
      <c r="T44" s="2370"/>
      <c r="U44" s="2371"/>
    </row>
    <row r="45" spans="2:22" s="2186" customFormat="1" ht="17.25" thickBot="1" x14ac:dyDescent="0.35">
      <c r="B45" s="2372">
        <f>'[61]RAB (2)'!B25</f>
        <v>3</v>
      </c>
      <c r="C45" s="2372" t="str">
        <f>'[61]RAB (2)'!C25</f>
        <v xml:space="preserve">Urugan Pasir di bawah Pondasi </v>
      </c>
      <c r="D45" s="2358"/>
      <c r="E45" s="2359"/>
      <c r="F45" s="2360"/>
      <c r="G45" s="2359"/>
      <c r="H45" s="2360"/>
      <c r="I45" s="2359"/>
      <c r="J45" s="2360"/>
      <c r="K45" s="2359"/>
      <c r="L45" s="2360"/>
      <c r="M45" s="2360"/>
      <c r="N45" s="2360"/>
      <c r="O45" s="2359"/>
      <c r="P45" s="2360"/>
      <c r="Q45" s="2359"/>
      <c r="R45" s="2360"/>
      <c r="S45" s="2361"/>
      <c r="T45" s="2374"/>
      <c r="U45" s="2363" t="s">
        <v>3</v>
      </c>
      <c r="V45" s="2192"/>
    </row>
    <row r="46" spans="2:22" s="2186" customFormat="1" x14ac:dyDescent="0.3">
      <c r="B46" s="2372"/>
      <c r="C46" s="2402"/>
      <c r="D46" s="2375" t="s">
        <v>95</v>
      </c>
      <c r="E46" s="2376" t="s">
        <v>150</v>
      </c>
      <c r="F46" s="2377"/>
      <c r="G46" s="2376" t="s">
        <v>151</v>
      </c>
      <c r="H46" s="2377"/>
      <c r="I46" s="2376" t="s">
        <v>152</v>
      </c>
      <c r="J46" s="2377"/>
      <c r="K46" s="2376" t="s">
        <v>153</v>
      </c>
      <c r="L46" s="2378"/>
      <c r="M46" s="2378" t="s">
        <v>32</v>
      </c>
      <c r="N46" s="2378"/>
      <c r="O46" s="2379" t="s">
        <v>163</v>
      </c>
      <c r="P46" s="2378"/>
      <c r="Q46" s="2379" t="s">
        <v>151</v>
      </c>
      <c r="R46" s="2378"/>
      <c r="S46" s="2380" t="s">
        <v>143</v>
      </c>
      <c r="T46" s="2362"/>
      <c r="U46" s="2363"/>
      <c r="V46" s="2192"/>
    </row>
    <row r="47" spans="2:22" s="2186" customFormat="1" x14ac:dyDescent="0.3">
      <c r="B47" s="2372"/>
      <c r="C47" s="2402"/>
      <c r="D47" s="2451" t="s">
        <v>250</v>
      </c>
      <c r="E47" s="2383"/>
      <c r="F47" s="2452"/>
      <c r="G47" s="2383"/>
      <c r="H47" s="2452"/>
      <c r="I47" s="2383"/>
      <c r="J47" s="2452"/>
      <c r="K47" s="2383"/>
      <c r="L47" s="2385"/>
      <c r="M47" s="2385"/>
      <c r="N47" s="2385"/>
      <c r="O47" s="2383"/>
      <c r="P47" s="2385"/>
      <c r="Q47" s="2383"/>
      <c r="R47" s="2452"/>
      <c r="S47" s="2453"/>
      <c r="T47" s="2362"/>
      <c r="U47" s="2363"/>
      <c r="V47" s="2192"/>
    </row>
    <row r="48" spans="2:22" s="2186" customFormat="1" x14ac:dyDescent="0.3">
      <c r="B48" s="2372"/>
      <c r="C48" s="2402"/>
      <c r="D48" s="2444" t="str">
        <f>C105</f>
        <v>Pile Cap tipe - PC1</v>
      </c>
      <c r="E48" s="2337">
        <f t="shared" ref="E48:G49" si="0">E26</f>
        <v>1.1000000000000001</v>
      </c>
      <c r="F48" s="2337" t="str">
        <f t="shared" si="0"/>
        <v>x</v>
      </c>
      <c r="G48" s="2337">
        <f t="shared" si="0"/>
        <v>1.1000000000000001</v>
      </c>
      <c r="H48" s="2337" t="s">
        <v>185</v>
      </c>
      <c r="I48" s="2337">
        <v>0.05</v>
      </c>
      <c r="J48" s="2337" t="s">
        <v>185</v>
      </c>
      <c r="K48" s="2337">
        <f>K108</f>
        <v>14</v>
      </c>
      <c r="L48" s="2337"/>
      <c r="M48" s="2337"/>
      <c r="N48" s="2337"/>
      <c r="O48" s="2337"/>
      <c r="P48" s="2337"/>
      <c r="Q48" s="2337"/>
      <c r="R48" s="2454" t="s">
        <v>114</v>
      </c>
      <c r="S48" s="2455">
        <f>E48*G48*I48*K48</f>
        <v>0.8470000000000002</v>
      </c>
      <c r="T48" s="2362"/>
      <c r="U48" s="2363"/>
      <c r="V48" s="2192"/>
    </row>
    <row r="49" spans="2:22" s="2186" customFormat="1" x14ac:dyDescent="0.3">
      <c r="B49" s="2372"/>
      <c r="C49" s="2402"/>
      <c r="D49" s="2444" t="str">
        <f>C127</f>
        <v>Pile Cap tipe - PC2</v>
      </c>
      <c r="E49" s="2337">
        <f t="shared" si="0"/>
        <v>2</v>
      </c>
      <c r="F49" s="2337" t="str">
        <f t="shared" si="0"/>
        <v>x</v>
      </c>
      <c r="G49" s="2337">
        <f t="shared" si="0"/>
        <v>1.1000000000000001</v>
      </c>
      <c r="H49" s="2337" t="s">
        <v>185</v>
      </c>
      <c r="I49" s="2337">
        <f>I48</f>
        <v>0.05</v>
      </c>
      <c r="J49" s="2337" t="s">
        <v>185</v>
      </c>
      <c r="K49" s="2337">
        <f>K130</f>
        <v>3</v>
      </c>
      <c r="L49" s="2337"/>
      <c r="M49" s="2337"/>
      <c r="N49" s="2337"/>
      <c r="O49" s="2337"/>
      <c r="P49" s="2337"/>
      <c r="Q49" s="2337"/>
      <c r="R49" s="2454" t="s">
        <v>114</v>
      </c>
      <c r="S49" s="2455">
        <f>E49*G49*I49*K49</f>
        <v>0.33000000000000007</v>
      </c>
      <c r="T49" s="2456"/>
      <c r="U49" s="2363" t="s">
        <v>3</v>
      </c>
      <c r="V49" s="2192"/>
    </row>
    <row r="50" spans="2:22" s="2186" customFormat="1" x14ac:dyDescent="0.3">
      <c r="B50" s="2372"/>
      <c r="C50" s="2402"/>
      <c r="D50" s="2457" t="s">
        <v>725</v>
      </c>
      <c r="E50" s="2401"/>
      <c r="F50" s="2442"/>
      <c r="G50" s="2388"/>
      <c r="H50" s="2442"/>
      <c r="I50" s="2388"/>
      <c r="J50" s="2442"/>
      <c r="K50" s="2388"/>
      <c r="L50" s="2388"/>
      <c r="M50" s="2388"/>
      <c r="N50" s="2388"/>
      <c r="O50" s="2388"/>
      <c r="P50" s="2442"/>
      <c r="Q50" s="2388"/>
      <c r="R50" s="2442"/>
      <c r="S50" s="2445"/>
      <c r="T50" s="2362"/>
      <c r="U50" s="2363"/>
      <c r="V50" s="2192"/>
    </row>
    <row r="51" spans="2:22" s="2186" customFormat="1" x14ac:dyDescent="0.3">
      <c r="B51" s="2372"/>
      <c r="C51" s="2402"/>
      <c r="D51" s="2458" t="str">
        <f t="shared" ref="D51:H52" si="1">D48</f>
        <v>Pile Cap tipe - PC1</v>
      </c>
      <c r="E51" s="2401">
        <f t="shared" si="1"/>
        <v>1.1000000000000001</v>
      </c>
      <c r="F51" s="2459" t="str">
        <f t="shared" si="1"/>
        <v>x</v>
      </c>
      <c r="G51" s="2401">
        <f t="shared" si="1"/>
        <v>1.1000000000000001</v>
      </c>
      <c r="H51" s="2459" t="str">
        <f t="shared" si="1"/>
        <v>x</v>
      </c>
      <c r="I51" s="2388">
        <v>0.1</v>
      </c>
      <c r="J51" s="2459" t="str">
        <f>J48</f>
        <v>x</v>
      </c>
      <c r="K51" s="2401">
        <f>K48</f>
        <v>14</v>
      </c>
      <c r="L51" s="2388"/>
      <c r="M51" s="2388"/>
      <c r="N51" s="2388"/>
      <c r="O51" s="2388"/>
      <c r="P51" s="2442"/>
      <c r="Q51" s="2388"/>
      <c r="R51" s="2454" t="s">
        <v>114</v>
      </c>
      <c r="S51" s="2455">
        <f>E51*G51*I51*K51</f>
        <v>1.6940000000000004</v>
      </c>
      <c r="T51" s="2362"/>
      <c r="U51" s="2363"/>
      <c r="V51" s="2192"/>
    </row>
    <row r="52" spans="2:22" s="2186" customFormat="1" x14ac:dyDescent="0.3">
      <c r="B52" s="2372"/>
      <c r="C52" s="2402"/>
      <c r="D52" s="2458" t="str">
        <f t="shared" si="1"/>
        <v>Pile Cap tipe - PC2</v>
      </c>
      <c r="E52" s="2401">
        <f t="shared" si="1"/>
        <v>2</v>
      </c>
      <c r="F52" s="2459" t="str">
        <f t="shared" si="1"/>
        <v>x</v>
      </c>
      <c r="G52" s="2401">
        <f t="shared" si="1"/>
        <v>1.1000000000000001</v>
      </c>
      <c r="H52" s="2459" t="str">
        <f t="shared" si="1"/>
        <v>x</v>
      </c>
      <c r="I52" s="2388">
        <v>0.1</v>
      </c>
      <c r="J52" s="2459" t="str">
        <f>J49</f>
        <v>x</v>
      </c>
      <c r="K52" s="2401">
        <f>K49</f>
        <v>3</v>
      </c>
      <c r="L52" s="2388"/>
      <c r="M52" s="2388"/>
      <c r="N52" s="2388"/>
      <c r="O52" s="2388"/>
      <c r="P52" s="2442"/>
      <c r="Q52" s="2388"/>
      <c r="R52" s="2454" t="s">
        <v>114</v>
      </c>
      <c r="S52" s="2455">
        <f>E52*G52*I52*K52</f>
        <v>0.66000000000000014</v>
      </c>
      <c r="T52" s="2362"/>
      <c r="U52" s="2363"/>
      <c r="V52" s="2192"/>
    </row>
    <row r="53" spans="2:22" s="2186" customFormat="1" x14ac:dyDescent="0.3">
      <c r="B53" s="2372"/>
      <c r="C53" s="2402"/>
      <c r="D53" s="2460"/>
      <c r="E53" s="2448"/>
      <c r="F53" s="2449"/>
      <c r="G53" s="2448"/>
      <c r="H53" s="2449"/>
      <c r="I53" s="2448"/>
      <c r="J53" s="2449"/>
      <c r="K53" s="2448"/>
      <c r="L53" s="2449"/>
      <c r="M53" s="2449"/>
      <c r="N53" s="2449"/>
      <c r="O53" s="2448"/>
      <c r="P53" s="2449"/>
      <c r="Q53" s="2448"/>
      <c r="R53" s="2449"/>
      <c r="S53" s="2461"/>
      <c r="T53" s="2362"/>
      <c r="U53" s="2363"/>
      <c r="V53" s="2192"/>
    </row>
    <row r="54" spans="2:22" s="2186" customFormat="1" ht="17.25" thickBot="1" x14ac:dyDescent="0.35">
      <c r="B54" s="2372"/>
      <c r="C54" s="2402"/>
      <c r="D54" s="3117" t="s">
        <v>164</v>
      </c>
      <c r="E54" s="3118"/>
      <c r="F54" s="3118"/>
      <c r="G54" s="3118"/>
      <c r="H54" s="3118"/>
      <c r="I54" s="3119"/>
      <c r="J54" s="2462"/>
      <c r="K54" s="2392"/>
      <c r="L54" s="2394"/>
      <c r="M54" s="2394"/>
      <c r="N54" s="2394"/>
      <c r="O54" s="2392"/>
      <c r="P54" s="2394"/>
      <c r="Q54" s="2392"/>
      <c r="R54" s="2394"/>
      <c r="S54" s="2336">
        <f>SUM(S47:S53)</f>
        <v>3.5310000000000006</v>
      </c>
      <c r="T54" s="2362"/>
      <c r="U54" s="2363"/>
      <c r="V54" s="2192"/>
    </row>
    <row r="55" spans="2:22" x14ac:dyDescent="0.3">
      <c r="B55" s="2403"/>
      <c r="C55" s="2436"/>
      <c r="D55" s="2463"/>
      <c r="E55" s="2406"/>
      <c r="F55" s="2407"/>
      <c r="G55" s="2406"/>
      <c r="H55" s="2407"/>
      <c r="I55" s="2406"/>
      <c r="J55" s="2407"/>
      <c r="K55" s="2406"/>
      <c r="L55" s="2407"/>
      <c r="M55" s="2407"/>
      <c r="N55" s="2407"/>
      <c r="O55" s="2406"/>
      <c r="P55" s="2407"/>
      <c r="Q55" s="2406"/>
      <c r="R55" s="2407"/>
      <c r="S55" s="2464"/>
      <c r="T55" s="2370"/>
      <c r="U55" s="2371"/>
    </row>
    <row r="56" spans="2:22" s="2186" customFormat="1" x14ac:dyDescent="0.3">
      <c r="B56" s="2372">
        <f>'[61]RAB (2)'!B26</f>
        <v>4</v>
      </c>
      <c r="C56" s="2373" t="str">
        <f>'[61]RAB (2)'!C26</f>
        <v>Urugan Tanah Peninggian Lantai Dipadatkan</v>
      </c>
      <c r="D56" s="2358"/>
      <c r="E56" s="2359"/>
      <c r="F56" s="2360"/>
      <c r="G56" s="2359"/>
      <c r="H56" s="2360"/>
      <c r="I56" s="2359"/>
      <c r="J56" s="2360"/>
      <c r="K56" s="2359"/>
      <c r="L56" s="2360"/>
      <c r="M56" s="2360"/>
      <c r="N56" s="2360"/>
      <c r="O56" s="2359"/>
      <c r="P56" s="2360"/>
      <c r="Q56" s="2359"/>
      <c r="R56" s="2360"/>
      <c r="S56" s="2361"/>
      <c r="T56" s="2338"/>
      <c r="U56" s="2363" t="s">
        <v>3</v>
      </c>
      <c r="V56" s="2192"/>
    </row>
    <row r="57" spans="2:22" s="2186" customFormat="1" ht="17.25" thickBot="1" x14ac:dyDescent="0.35">
      <c r="B57" s="2372"/>
      <c r="C57" s="2373"/>
      <c r="D57" s="2358" t="str">
        <f>'[61]RAB (2)'!C27</f>
        <v>- Urugan tanah bekas galian</v>
      </c>
      <c r="E57" s="2359"/>
      <c r="F57" s="2360"/>
      <c r="G57" s="2359"/>
      <c r="H57" s="2360"/>
      <c r="I57" s="2359"/>
      <c r="J57" s="2360"/>
      <c r="K57" s="2359"/>
      <c r="L57" s="2360"/>
      <c r="M57" s="2360"/>
      <c r="N57" s="2360"/>
      <c r="O57" s="2359"/>
      <c r="P57" s="2360"/>
      <c r="Q57" s="2359"/>
      <c r="R57" s="2360"/>
      <c r="S57" s="2361"/>
      <c r="T57" s="2338"/>
      <c r="U57" s="2363"/>
      <c r="V57" s="2192"/>
    </row>
    <row r="58" spans="2:22" s="2186" customFormat="1" x14ac:dyDescent="0.3">
      <c r="B58" s="2372"/>
      <c r="C58" s="2402"/>
      <c r="D58" s="2375" t="s">
        <v>95</v>
      </c>
      <c r="E58" s="2376" t="s">
        <v>150</v>
      </c>
      <c r="F58" s="2377"/>
      <c r="G58" s="2376" t="s">
        <v>151</v>
      </c>
      <c r="H58" s="2377"/>
      <c r="I58" s="2376" t="s">
        <v>152</v>
      </c>
      <c r="J58" s="2377"/>
      <c r="K58" s="2376" t="s">
        <v>153</v>
      </c>
      <c r="L58" s="2378"/>
      <c r="M58" s="2378" t="s">
        <v>32</v>
      </c>
      <c r="N58" s="2378"/>
      <c r="O58" s="2379" t="s">
        <v>163</v>
      </c>
      <c r="P58" s="2378"/>
      <c r="Q58" s="2379" t="s">
        <v>151</v>
      </c>
      <c r="R58" s="2378"/>
      <c r="S58" s="2380" t="s">
        <v>143</v>
      </c>
      <c r="T58" s="2362"/>
      <c r="U58" s="2363"/>
      <c r="V58" s="2192"/>
    </row>
    <row r="59" spans="2:22" s="2186" customFormat="1" x14ac:dyDescent="0.3">
      <c r="B59" s="2372"/>
      <c r="C59" s="2402"/>
      <c r="D59" s="2465" t="s">
        <v>189</v>
      </c>
      <c r="E59" s="2383"/>
      <c r="F59" s="2385"/>
      <c r="G59" s="2383"/>
      <c r="H59" s="2385"/>
      <c r="I59" s="2383"/>
      <c r="J59" s="2385"/>
      <c r="K59" s="2383"/>
      <c r="L59" s="2385"/>
      <c r="M59" s="2385"/>
      <c r="N59" s="2385"/>
      <c r="O59" s="2383"/>
      <c r="P59" s="2385"/>
      <c r="Q59" s="2383"/>
      <c r="R59" s="2385" t="s">
        <v>114</v>
      </c>
      <c r="S59" s="2453">
        <f>S40</f>
        <v>13.251000000000001</v>
      </c>
      <c r="T59" s="2362"/>
      <c r="U59" s="2363"/>
      <c r="V59" s="2192"/>
    </row>
    <row r="60" spans="2:22" s="2186" customFormat="1" x14ac:dyDescent="0.3">
      <c r="B60" s="2372"/>
      <c r="C60" s="2402"/>
      <c r="D60" s="2466"/>
      <c r="E60" s="2448"/>
      <c r="F60" s="2449"/>
      <c r="G60" s="2448"/>
      <c r="H60" s="2449"/>
      <c r="I60" s="2448"/>
      <c r="J60" s="2449"/>
      <c r="K60" s="2448"/>
      <c r="L60" s="2449"/>
      <c r="M60" s="2449"/>
      <c r="N60" s="2449"/>
      <c r="O60" s="2448"/>
      <c r="P60" s="2449"/>
      <c r="Q60" s="2448"/>
      <c r="R60" s="2449"/>
      <c r="S60" s="2461"/>
      <c r="T60" s="2362"/>
      <c r="U60" s="2363"/>
      <c r="V60" s="2192"/>
    </row>
    <row r="61" spans="2:22" s="2186" customFormat="1" ht="17.25" thickBot="1" x14ac:dyDescent="0.35">
      <c r="B61" s="2372"/>
      <c r="C61" s="2402"/>
      <c r="D61" s="3117" t="s">
        <v>164</v>
      </c>
      <c r="E61" s="3118"/>
      <c r="F61" s="3118"/>
      <c r="G61" s="3118"/>
      <c r="H61" s="3118"/>
      <c r="I61" s="3119"/>
      <c r="J61" s="2462"/>
      <c r="K61" s="2392"/>
      <c r="L61" s="2394"/>
      <c r="M61" s="2394"/>
      <c r="N61" s="2394"/>
      <c r="O61" s="2392"/>
      <c r="P61" s="2394"/>
      <c r="Q61" s="2392"/>
      <c r="R61" s="2394"/>
      <c r="S61" s="2336">
        <f>SUM(S59:S59)</f>
        <v>13.251000000000001</v>
      </c>
      <c r="T61" s="2362"/>
      <c r="U61" s="2363"/>
      <c r="V61" s="2192"/>
    </row>
    <row r="62" spans="2:22" x14ac:dyDescent="0.3">
      <c r="B62" s="2403"/>
      <c r="C62" s="2436"/>
      <c r="D62" s="2463"/>
      <c r="E62" s="2406"/>
      <c r="F62" s="2467"/>
      <c r="G62" s="2406"/>
      <c r="H62" s="2467"/>
      <c r="I62" s="2406"/>
      <c r="J62" s="2467"/>
      <c r="K62" s="2406"/>
      <c r="L62" s="2407"/>
      <c r="M62" s="2407"/>
      <c r="N62" s="2407"/>
      <c r="O62" s="2406"/>
      <c r="P62" s="2407"/>
      <c r="Q62" s="2406"/>
      <c r="R62" s="2407"/>
      <c r="S62" s="2464"/>
      <c r="T62" s="2370"/>
      <c r="U62" s="2371"/>
    </row>
    <row r="63" spans="2:22" s="2186" customFormat="1" ht="17.25" thickBot="1" x14ac:dyDescent="0.35">
      <c r="B63" s="2372"/>
      <c r="C63" s="2373"/>
      <c r="D63" s="2358" t="str">
        <f>'[61]RAB (2)'!C28</f>
        <v>- Urugan tanah yang didatangkan</v>
      </c>
      <c r="E63" s="2359"/>
      <c r="F63" s="2360"/>
      <c r="G63" s="2359"/>
      <c r="H63" s="2360"/>
      <c r="I63" s="2359"/>
      <c r="J63" s="2360"/>
      <c r="K63" s="2359"/>
      <c r="L63" s="2360"/>
      <c r="M63" s="2360"/>
      <c r="N63" s="2360"/>
      <c r="O63" s="2359"/>
      <c r="P63" s="2360"/>
      <c r="Q63" s="2359"/>
      <c r="R63" s="2360"/>
      <c r="S63" s="2361"/>
      <c r="T63" s="2338"/>
      <c r="U63" s="2363" t="s">
        <v>3</v>
      </c>
      <c r="V63" s="2192"/>
    </row>
    <row r="64" spans="2:22" s="2186" customFormat="1" x14ac:dyDescent="0.3">
      <c r="B64" s="2372"/>
      <c r="C64" s="2402"/>
      <c r="D64" s="2375" t="s">
        <v>95</v>
      </c>
      <c r="E64" s="2376" t="s">
        <v>150</v>
      </c>
      <c r="F64" s="2377"/>
      <c r="G64" s="2376" t="s">
        <v>151</v>
      </c>
      <c r="H64" s="2377"/>
      <c r="I64" s="2376" t="s">
        <v>152</v>
      </c>
      <c r="J64" s="2377"/>
      <c r="K64" s="2376" t="s">
        <v>153</v>
      </c>
      <c r="L64" s="2378"/>
      <c r="M64" s="2378" t="s">
        <v>32</v>
      </c>
      <c r="N64" s="2378"/>
      <c r="O64" s="2379" t="s">
        <v>163</v>
      </c>
      <c r="P64" s="2378"/>
      <c r="Q64" s="2379" t="s">
        <v>151</v>
      </c>
      <c r="R64" s="2378"/>
      <c r="S64" s="2380" t="s">
        <v>143</v>
      </c>
      <c r="T64" s="2362"/>
      <c r="U64" s="2363"/>
      <c r="V64" s="2192"/>
    </row>
    <row r="65" spans="2:24" s="2186" customFormat="1" x14ac:dyDescent="0.3">
      <c r="B65" s="2372"/>
      <c r="C65" s="2402"/>
      <c r="D65" s="2465" t="s">
        <v>583</v>
      </c>
      <c r="E65" s="2383">
        <v>29.52</v>
      </c>
      <c r="F65" s="2385"/>
      <c r="G65" s="2383"/>
      <c r="H65" s="2385" t="s">
        <v>1318</v>
      </c>
      <c r="I65" s="2383">
        <v>0.35</v>
      </c>
      <c r="J65" s="2385" t="s">
        <v>1318</v>
      </c>
      <c r="K65" s="2383">
        <v>4</v>
      </c>
      <c r="L65" s="2385"/>
      <c r="M65" s="2385"/>
      <c r="N65" s="2385"/>
      <c r="O65" s="2383"/>
      <c r="P65" s="2385"/>
      <c r="Q65" s="2468">
        <f>E65*I65*K65</f>
        <v>41.327999999999996</v>
      </c>
      <c r="R65" s="2385" t="s">
        <v>114</v>
      </c>
      <c r="S65" s="2453">
        <f>Q65</f>
        <v>41.327999999999996</v>
      </c>
      <c r="T65" s="2362"/>
      <c r="U65" s="2363"/>
      <c r="V65" s="2192"/>
    </row>
    <row r="66" spans="2:24" s="2186" customFormat="1" x14ac:dyDescent="0.3">
      <c r="B66" s="2372"/>
      <c r="C66" s="2402"/>
      <c r="D66" s="2469"/>
      <c r="E66" s="2337">
        <v>28.18</v>
      </c>
      <c r="F66" s="2390"/>
      <c r="G66" s="2388"/>
      <c r="H66" s="2390" t="s">
        <v>1318</v>
      </c>
      <c r="I66" s="2388">
        <v>0.4</v>
      </c>
      <c r="J66" s="2390" t="s">
        <v>1318</v>
      </c>
      <c r="K66" s="2388">
        <v>1</v>
      </c>
      <c r="L66" s="2390"/>
      <c r="M66" s="2390"/>
      <c r="N66" s="2390"/>
      <c r="O66" s="2388"/>
      <c r="P66" s="2390"/>
      <c r="Q66" s="2401">
        <f>E66*I66*K66</f>
        <v>11.272</v>
      </c>
      <c r="R66" s="2390" t="s">
        <v>114</v>
      </c>
      <c r="S66" s="2445">
        <f>I66*Q66</f>
        <v>4.5087999999999999</v>
      </c>
      <c r="T66" s="2362"/>
      <c r="U66" s="2363"/>
      <c r="V66" s="2192"/>
    </row>
    <row r="67" spans="2:24" s="2186" customFormat="1" x14ac:dyDescent="0.3">
      <c r="B67" s="2372"/>
      <c r="C67" s="2402"/>
      <c r="D67" s="2469"/>
      <c r="E67" s="2388"/>
      <c r="F67" s="2390"/>
      <c r="G67" s="2388"/>
      <c r="H67" s="2390"/>
      <c r="I67" s="2388"/>
      <c r="J67" s="2390"/>
      <c r="K67" s="2388"/>
      <c r="L67" s="2390"/>
      <c r="M67" s="2390"/>
      <c r="N67" s="2390"/>
      <c r="O67" s="2388"/>
      <c r="P67" s="2390"/>
      <c r="Q67" s="2401"/>
      <c r="R67" s="2390"/>
      <c r="S67" s="2470">
        <f>SUM(S65:S66)</f>
        <v>45.836799999999997</v>
      </c>
      <c r="T67" s="2362"/>
      <c r="U67" s="2363"/>
      <c r="V67" s="2192"/>
    </row>
    <row r="68" spans="2:24" s="2186" customFormat="1" x14ac:dyDescent="0.3">
      <c r="B68" s="2372"/>
      <c r="C68" s="2402"/>
      <c r="D68" s="2471" t="s">
        <v>248</v>
      </c>
      <c r="E68" s="2388"/>
      <c r="F68" s="2442"/>
      <c r="G68" s="2388"/>
      <c r="H68" s="2442"/>
      <c r="I68" s="2388"/>
      <c r="J68" s="2442"/>
      <c r="K68" s="2388"/>
      <c r="L68" s="2390"/>
      <c r="M68" s="2390"/>
      <c r="N68" s="2390"/>
      <c r="O68" s="2388"/>
      <c r="P68" s="2390"/>
      <c r="Q68" s="2388"/>
      <c r="R68" s="2388" t="s">
        <v>149</v>
      </c>
      <c r="S68" s="2391">
        <f>S61</f>
        <v>13.251000000000001</v>
      </c>
      <c r="T68" s="2362"/>
      <c r="U68" s="2363"/>
      <c r="V68" s="2192"/>
    </row>
    <row r="69" spans="2:24" s="2186" customFormat="1" x14ac:dyDescent="0.3">
      <c r="B69" s="2372"/>
      <c r="C69" s="2402"/>
      <c r="D69" s="2472" t="s">
        <v>190</v>
      </c>
      <c r="E69" s="2388"/>
      <c r="F69" s="2442"/>
      <c r="G69" s="2388"/>
      <c r="H69" s="2442"/>
      <c r="I69" s="2388"/>
      <c r="J69" s="2442"/>
      <c r="K69" s="2388"/>
      <c r="L69" s="2390"/>
      <c r="M69" s="2390"/>
      <c r="N69" s="2390"/>
      <c r="O69" s="2388"/>
      <c r="P69" s="2390"/>
      <c r="Q69" s="2388"/>
      <c r="R69" s="2442" t="s">
        <v>114</v>
      </c>
      <c r="S69" s="2391">
        <f>S67-S68</f>
        <v>32.585799999999992</v>
      </c>
      <c r="T69" s="2362"/>
      <c r="U69" s="2363"/>
      <c r="V69" s="2192"/>
    </row>
    <row r="70" spans="2:24" s="2186" customFormat="1" x14ac:dyDescent="0.3">
      <c r="B70" s="2372"/>
      <c r="C70" s="2402"/>
      <c r="D70" s="2466"/>
      <c r="E70" s="2448"/>
      <c r="F70" s="2449"/>
      <c r="G70" s="2448"/>
      <c r="H70" s="2449"/>
      <c r="I70" s="2448"/>
      <c r="J70" s="2449"/>
      <c r="K70" s="2448"/>
      <c r="L70" s="2449"/>
      <c r="M70" s="2449"/>
      <c r="N70" s="2449"/>
      <c r="O70" s="2448"/>
      <c r="P70" s="2449"/>
      <c r="Q70" s="2448"/>
      <c r="R70" s="2449"/>
      <c r="S70" s="2461"/>
      <c r="T70" s="2362"/>
      <c r="U70" s="2363"/>
      <c r="V70" s="2192"/>
    </row>
    <row r="71" spans="2:24" s="2186" customFormat="1" ht="17.25" thickBot="1" x14ac:dyDescent="0.35">
      <c r="B71" s="2372"/>
      <c r="C71" s="2402"/>
      <c r="D71" s="3117" t="s">
        <v>164</v>
      </c>
      <c r="E71" s="3118"/>
      <c r="F71" s="3118"/>
      <c r="G71" s="3118"/>
      <c r="H71" s="3118"/>
      <c r="I71" s="3119"/>
      <c r="J71" s="2462"/>
      <c r="K71" s="2392"/>
      <c r="L71" s="2394"/>
      <c r="M71" s="2394"/>
      <c r="N71" s="2394"/>
      <c r="O71" s="2392"/>
      <c r="P71" s="2394"/>
      <c r="Q71" s="2392"/>
      <c r="R71" s="2394"/>
      <c r="S71" s="2336">
        <f>S69</f>
        <v>32.585799999999992</v>
      </c>
      <c r="T71" s="2362"/>
      <c r="U71" s="2363"/>
      <c r="V71" s="2192"/>
    </row>
    <row r="72" spans="2:24" x14ac:dyDescent="0.3">
      <c r="B72" s="2403"/>
      <c r="C72" s="2436"/>
      <c r="D72" s="2463"/>
      <c r="E72" s="2406"/>
      <c r="F72" s="2467"/>
      <c r="G72" s="2406"/>
      <c r="H72" s="2467"/>
      <c r="I72" s="2406"/>
      <c r="J72" s="2467"/>
      <c r="K72" s="2406"/>
      <c r="L72" s="2407"/>
      <c r="M72" s="2407"/>
      <c r="N72" s="2407"/>
      <c r="O72" s="2406"/>
      <c r="P72" s="2407"/>
      <c r="Q72" s="2406"/>
      <c r="R72" s="2407"/>
      <c r="S72" s="2464"/>
      <c r="T72" s="2370"/>
      <c r="U72" s="2371"/>
    </row>
    <row r="73" spans="2:24" s="2185" customFormat="1" x14ac:dyDescent="0.3">
      <c r="B73" s="2356" t="str">
        <f>'[61]RAB (2)'!B31</f>
        <v>II</v>
      </c>
      <c r="C73" s="2411" t="str">
        <f>'[61]RAB (2)'!C31</f>
        <v>PEKERJAAN STRUKTUR</v>
      </c>
      <c r="D73" s="2372"/>
      <c r="E73" s="2417"/>
      <c r="F73" s="2418"/>
      <c r="G73" s="2417"/>
      <c r="H73" s="2418"/>
      <c r="I73" s="2417"/>
      <c r="J73" s="2418"/>
      <c r="K73" s="2417"/>
      <c r="L73" s="2418"/>
      <c r="M73" s="2418"/>
      <c r="N73" s="2418"/>
      <c r="O73" s="2417"/>
      <c r="P73" s="2418"/>
      <c r="Q73" s="2417"/>
      <c r="R73" s="2418"/>
      <c r="S73" s="2419"/>
      <c r="T73" s="2330"/>
      <c r="U73" s="2410"/>
      <c r="V73" s="2209"/>
    </row>
    <row r="74" spans="2:24" s="2185" customFormat="1" x14ac:dyDescent="0.3">
      <c r="B74" s="2372">
        <f>'[61]RAB (2)'!B32</f>
        <v>1</v>
      </c>
      <c r="C74" s="2416" t="str">
        <f>'[61]RAB (2)'!C32</f>
        <v>Pekerjaan Tiang Pancang</v>
      </c>
      <c r="D74" s="2372"/>
      <c r="E74" s="2417"/>
      <c r="F74" s="2418"/>
      <c r="G74" s="2417"/>
      <c r="H74" s="2418"/>
      <c r="I74" s="2417"/>
      <c r="J74" s="2418"/>
      <c r="K74" s="2417"/>
      <c r="L74" s="2418"/>
      <c r="M74" s="2418"/>
      <c r="N74" s="2418"/>
      <c r="O74" s="2417"/>
      <c r="P74" s="2418"/>
      <c r="Q74" s="2417"/>
      <c r="R74" s="2418"/>
      <c r="S74" s="2419"/>
      <c r="T74" s="2330"/>
      <c r="U74" s="2410"/>
      <c r="V74" s="2209"/>
    </row>
    <row r="75" spans="2:24" s="2185" customFormat="1" x14ac:dyDescent="0.3">
      <c r="B75" s="2372"/>
      <c r="C75" s="2416" t="str">
        <f>'[61]RAB (2)'!C33</f>
        <v>-</v>
      </c>
      <c r="D75" s="2372" t="str">
        <f>'[61]RAB (2)'!D33</f>
        <v>Mobilisasi dan Demobilisasi Alat Pemancang</v>
      </c>
      <c r="E75" s="2417"/>
      <c r="F75" s="2418"/>
      <c r="G75" s="2417"/>
      <c r="H75" s="2418"/>
      <c r="I75" s="2417"/>
      <c r="J75" s="2418"/>
      <c r="K75" s="2417"/>
      <c r="L75" s="2418"/>
      <c r="M75" s="2418"/>
      <c r="N75" s="2418"/>
      <c r="O75" s="2417"/>
      <c r="P75" s="2418"/>
      <c r="Q75" s="2417"/>
      <c r="R75" s="2418"/>
      <c r="S75" s="2419"/>
      <c r="T75" s="2330"/>
      <c r="U75" s="2410" t="s">
        <v>1</v>
      </c>
      <c r="V75" s="2209"/>
    </row>
    <row r="76" spans="2:24" s="2185" customFormat="1" x14ac:dyDescent="0.3">
      <c r="B76" s="2372"/>
      <c r="C76" s="2416"/>
      <c r="D76" s="2372"/>
      <c r="E76" s="2417"/>
      <c r="F76" s="2418"/>
      <c r="G76" s="2417"/>
      <c r="H76" s="2418"/>
      <c r="I76" s="2417"/>
      <c r="J76" s="2418"/>
      <c r="K76" s="2417"/>
      <c r="L76" s="2418"/>
      <c r="M76" s="2418"/>
      <c r="N76" s="2418"/>
      <c r="O76" s="2417"/>
      <c r="P76" s="2418"/>
      <c r="Q76" s="2417"/>
      <c r="R76" s="2418"/>
      <c r="S76" s="2419"/>
      <c r="T76" s="2330"/>
      <c r="U76" s="2410"/>
      <c r="V76" s="2209"/>
    </row>
    <row r="77" spans="2:24" s="2185" customFormat="1" ht="17.25" thickBot="1" x14ac:dyDescent="0.35">
      <c r="B77" s="2372"/>
      <c r="C77" s="2416" t="str">
        <f>'[61]RAB (2)'!C34</f>
        <v>-</v>
      </c>
      <c r="D77" s="2416" t="str">
        <f>'[61]RAB (2)'!D34</f>
        <v>Pengadaan Spun Pile Ø 30  Cm K-600</v>
      </c>
      <c r="E77" s="2417"/>
      <c r="F77" s="2418"/>
      <c r="G77" s="2417"/>
      <c r="H77" s="2418"/>
      <c r="I77" s="2417"/>
      <c r="J77" s="2418"/>
      <c r="K77" s="2417"/>
      <c r="L77" s="2418"/>
      <c r="M77" s="2418"/>
      <c r="N77" s="2418"/>
      <c r="O77" s="2417"/>
      <c r="P77" s="2418"/>
      <c r="Q77" s="2417"/>
      <c r="R77" s="2418"/>
      <c r="S77" s="2419"/>
      <c r="T77" s="2330"/>
      <c r="U77" s="2410" t="s">
        <v>27</v>
      </c>
      <c r="V77" s="2209"/>
    </row>
    <row r="78" spans="2:24" s="2185" customFormat="1" x14ac:dyDescent="0.3">
      <c r="B78" s="2372"/>
      <c r="C78" s="2416"/>
      <c r="D78" s="2420" t="s">
        <v>95</v>
      </c>
      <c r="E78" s="2421" t="s">
        <v>150</v>
      </c>
      <c r="F78" s="2422"/>
      <c r="G78" s="2421" t="s">
        <v>151</v>
      </c>
      <c r="H78" s="2422"/>
      <c r="I78" s="2421" t="s">
        <v>152</v>
      </c>
      <c r="J78" s="2422"/>
      <c r="K78" s="2421" t="s">
        <v>153</v>
      </c>
      <c r="L78" s="2423"/>
      <c r="M78" s="2423" t="s">
        <v>32</v>
      </c>
      <c r="N78" s="2423"/>
      <c r="O78" s="2424" t="s">
        <v>163</v>
      </c>
      <c r="P78" s="2423"/>
      <c r="Q78" s="2424" t="s">
        <v>151</v>
      </c>
      <c r="R78" s="2423"/>
      <c r="S78" s="2425" t="s">
        <v>143</v>
      </c>
      <c r="T78" s="2426"/>
      <c r="U78" s="2410"/>
      <c r="V78" s="2209"/>
    </row>
    <row r="79" spans="2:24" s="2185" customFormat="1" x14ac:dyDescent="0.3">
      <c r="B79" s="2372"/>
      <c r="C79" s="2416"/>
      <c r="D79" s="2431" t="str">
        <f>D86</f>
        <v>Pile Cap tipe - PC1</v>
      </c>
      <c r="E79" s="2440">
        <v>20</v>
      </c>
      <c r="F79" s="2441" t="s">
        <v>185</v>
      </c>
      <c r="G79" s="2440"/>
      <c r="H79" s="2441"/>
      <c r="I79" s="2440"/>
      <c r="J79" s="2441"/>
      <c r="K79" s="2440">
        <f>K86</f>
        <v>1</v>
      </c>
      <c r="L79" s="2441" t="s">
        <v>185</v>
      </c>
      <c r="M79" s="2334">
        <f>K26</f>
        <v>14</v>
      </c>
      <c r="N79" s="2440"/>
      <c r="O79" s="2440"/>
      <c r="P79" s="2473"/>
      <c r="Q79" s="2473"/>
      <c r="R79" s="2440" t="s">
        <v>114</v>
      </c>
      <c r="S79" s="2474">
        <f>M79*K79*E79</f>
        <v>280</v>
      </c>
      <c r="T79" s="2426"/>
      <c r="U79" s="2410"/>
      <c r="V79" s="2210"/>
      <c r="W79" s="2211"/>
      <c r="X79" s="2212"/>
    </row>
    <row r="80" spans="2:24" s="2185" customFormat="1" x14ac:dyDescent="0.3">
      <c r="B80" s="2372"/>
      <c r="C80" s="2416"/>
      <c r="D80" s="2431" t="str">
        <f>D87</f>
        <v>Pile Cap tipe - PC2</v>
      </c>
      <c r="E80" s="2440">
        <v>20</v>
      </c>
      <c r="F80" s="2441" t="s">
        <v>185</v>
      </c>
      <c r="G80" s="2440"/>
      <c r="H80" s="2441"/>
      <c r="I80" s="2440"/>
      <c r="J80" s="2441"/>
      <c r="K80" s="2440">
        <f>K87</f>
        <v>2</v>
      </c>
      <c r="L80" s="2441" t="s">
        <v>185</v>
      </c>
      <c r="M80" s="2334">
        <f>K27</f>
        <v>3</v>
      </c>
      <c r="N80" s="2440"/>
      <c r="O80" s="2440"/>
      <c r="P80" s="2475"/>
      <c r="Q80" s="2475"/>
      <c r="R80" s="2440" t="s">
        <v>114</v>
      </c>
      <c r="S80" s="2476">
        <f>M80*K80*E80</f>
        <v>120</v>
      </c>
      <c r="T80" s="2426"/>
      <c r="U80" s="2410"/>
      <c r="V80" s="2210"/>
      <c r="W80" s="2211"/>
      <c r="X80" s="2212"/>
    </row>
    <row r="81" spans="2:24" s="2185" customFormat="1" ht="17.25" thickBot="1" x14ac:dyDescent="0.35">
      <c r="B81" s="2372"/>
      <c r="C81" s="2416"/>
      <c r="D81" s="2477"/>
      <c r="E81" s="2478"/>
      <c r="F81" s="2478"/>
      <c r="G81" s="2478"/>
      <c r="H81" s="2478"/>
      <c r="I81" s="2478"/>
      <c r="J81" s="2478"/>
      <c r="K81" s="2478"/>
      <c r="L81" s="2478"/>
      <c r="M81" s="2478"/>
      <c r="N81" s="2478"/>
      <c r="O81" s="2478"/>
      <c r="P81" s="2479"/>
      <c r="Q81" s="2479"/>
      <c r="R81" s="2478"/>
      <c r="S81" s="2480"/>
      <c r="T81" s="2426"/>
      <c r="U81" s="2410"/>
      <c r="V81" s="2213"/>
      <c r="W81" s="2212"/>
      <c r="X81" s="2212"/>
    </row>
    <row r="82" spans="2:24" s="2185" customFormat="1" ht="17.25" thickBot="1" x14ac:dyDescent="0.35">
      <c r="B82" s="2372"/>
      <c r="C82" s="2416"/>
      <c r="D82" s="3132" t="s">
        <v>164</v>
      </c>
      <c r="E82" s="3133"/>
      <c r="F82" s="3133"/>
      <c r="G82" s="3133"/>
      <c r="H82" s="3133"/>
      <c r="I82" s="3133"/>
      <c r="J82" s="2481"/>
      <c r="K82" s="2482"/>
      <c r="L82" s="2483"/>
      <c r="M82" s="2483"/>
      <c r="N82" s="2483"/>
      <c r="O82" s="2481"/>
      <c r="P82" s="2483"/>
      <c r="Q82" s="2481"/>
      <c r="R82" s="2483"/>
      <c r="S82" s="2331">
        <f>SUM(S79:S81)</f>
        <v>400</v>
      </c>
      <c r="T82" s="2356"/>
      <c r="U82" s="2410"/>
      <c r="V82" s="2209"/>
    </row>
    <row r="83" spans="2:24" s="2207" customFormat="1" x14ac:dyDescent="0.3">
      <c r="B83" s="2403"/>
      <c r="C83" s="2484"/>
      <c r="D83" s="2403"/>
      <c r="E83" s="2485"/>
      <c r="F83" s="2486"/>
      <c r="G83" s="2485"/>
      <c r="H83" s="2486"/>
      <c r="I83" s="2485"/>
      <c r="J83" s="2486"/>
      <c r="K83" s="2485"/>
      <c r="L83" s="2486"/>
      <c r="M83" s="2486"/>
      <c r="N83" s="2486"/>
      <c r="O83" s="2485"/>
      <c r="P83" s="2486"/>
      <c r="Q83" s="2485"/>
      <c r="R83" s="2486"/>
      <c r="S83" s="2487"/>
      <c r="T83" s="2488"/>
      <c r="U83" s="2489"/>
      <c r="V83" s="2214"/>
    </row>
    <row r="84" spans="2:24" s="2185" customFormat="1" ht="17.25" thickBot="1" x14ac:dyDescent="0.35">
      <c r="B84" s="2372"/>
      <c r="C84" s="2416" t="str">
        <f>'[61]RAB (2)'!C35</f>
        <v>-</v>
      </c>
      <c r="D84" s="2372" t="str">
        <f>'[61]RAB (2)'!D35</f>
        <v>Pemancangan Spun Pile Ø 30 Cm K-600 dengan Hydraulic Jacking System kap. 120 Ton</v>
      </c>
      <c r="E84" s="2417"/>
      <c r="F84" s="2418"/>
      <c r="G84" s="2417"/>
      <c r="H84" s="2418"/>
      <c r="I84" s="2417"/>
      <c r="J84" s="2418"/>
      <c r="K84" s="2417"/>
      <c r="L84" s="2418"/>
      <c r="M84" s="2418"/>
      <c r="N84" s="2418"/>
      <c r="O84" s="2417"/>
      <c r="P84" s="2418"/>
      <c r="Q84" s="2417"/>
      <c r="R84" s="2418"/>
      <c r="S84" s="2419"/>
      <c r="T84" s="2330"/>
      <c r="U84" s="2410" t="s">
        <v>27</v>
      </c>
      <c r="V84" s="2209"/>
    </row>
    <row r="85" spans="2:24" s="2185" customFormat="1" x14ac:dyDescent="0.3">
      <c r="B85" s="2372"/>
      <c r="C85" s="2416"/>
      <c r="D85" s="2420" t="s">
        <v>95</v>
      </c>
      <c r="E85" s="2421" t="s">
        <v>150</v>
      </c>
      <c r="F85" s="2422"/>
      <c r="G85" s="2421" t="s">
        <v>151</v>
      </c>
      <c r="H85" s="2422"/>
      <c r="I85" s="2421" t="s">
        <v>152</v>
      </c>
      <c r="J85" s="2422"/>
      <c r="K85" s="2421" t="s">
        <v>153</v>
      </c>
      <c r="L85" s="2423"/>
      <c r="M85" s="2423" t="s">
        <v>32</v>
      </c>
      <c r="N85" s="2423"/>
      <c r="O85" s="2424" t="s">
        <v>163</v>
      </c>
      <c r="P85" s="2423"/>
      <c r="Q85" s="2424" t="s">
        <v>151</v>
      </c>
      <c r="R85" s="2423"/>
      <c r="S85" s="2425" t="s">
        <v>143</v>
      </c>
      <c r="T85" s="2426"/>
      <c r="U85" s="2410"/>
      <c r="V85" s="2209"/>
    </row>
    <row r="86" spans="2:24" s="2185" customFormat="1" x14ac:dyDescent="0.3">
      <c r="B86" s="2372"/>
      <c r="C86" s="2416"/>
      <c r="D86" s="2490" t="str">
        <f>C105</f>
        <v>Pile Cap tipe - PC1</v>
      </c>
      <c r="E86" s="2428">
        <f>E79</f>
        <v>20</v>
      </c>
      <c r="F86" s="2429" t="s">
        <v>185</v>
      </c>
      <c r="G86" s="2428"/>
      <c r="H86" s="2429"/>
      <c r="I86" s="2428"/>
      <c r="J86" s="2429"/>
      <c r="K86" s="2428">
        <v>1</v>
      </c>
      <c r="L86" s="2428"/>
      <c r="M86" s="2333">
        <f>M79</f>
        <v>14</v>
      </c>
      <c r="N86" s="2428"/>
      <c r="O86" s="2428"/>
      <c r="P86" s="2428"/>
      <c r="Q86" s="2428"/>
      <c r="R86" s="2429" t="s">
        <v>114</v>
      </c>
      <c r="S86" s="2430">
        <f>M86*K86*E86</f>
        <v>280</v>
      </c>
      <c r="T86" s="2426"/>
      <c r="U86" s="2410"/>
      <c r="V86" s="2210"/>
      <c r="W86" s="2212"/>
      <c r="X86" s="2212"/>
    </row>
    <row r="87" spans="2:24" s="2185" customFormat="1" x14ac:dyDescent="0.3">
      <c r="B87" s="2372"/>
      <c r="C87" s="2416"/>
      <c r="D87" s="2431" t="str">
        <f>C127</f>
        <v>Pile Cap tipe - PC2</v>
      </c>
      <c r="E87" s="2440">
        <f>E80</f>
        <v>20</v>
      </c>
      <c r="F87" s="2441" t="s">
        <v>185</v>
      </c>
      <c r="G87" s="2440"/>
      <c r="H87" s="2441"/>
      <c r="I87" s="2440"/>
      <c r="J87" s="2441"/>
      <c r="K87" s="2440">
        <v>2</v>
      </c>
      <c r="L87" s="2440"/>
      <c r="M87" s="2334">
        <f>M80</f>
        <v>3</v>
      </c>
      <c r="N87" s="2440"/>
      <c r="O87" s="2440"/>
      <c r="P87" s="2440"/>
      <c r="Q87" s="2440"/>
      <c r="R87" s="2441"/>
      <c r="S87" s="2443">
        <f>E87*K87*M87</f>
        <v>120</v>
      </c>
      <c r="T87" s="2426"/>
      <c r="U87" s="2410"/>
      <c r="V87" s="2210"/>
      <c r="W87" s="2212"/>
      <c r="X87" s="2212"/>
    </row>
    <row r="88" spans="2:24" s="2185" customFormat="1" x14ac:dyDescent="0.3">
      <c r="B88" s="2372"/>
      <c r="C88" s="2416"/>
      <c r="D88" s="2491"/>
      <c r="E88" s="2492"/>
      <c r="F88" s="2492"/>
      <c r="G88" s="2492"/>
      <c r="H88" s="2492"/>
      <c r="I88" s="2492"/>
      <c r="J88" s="2492"/>
      <c r="K88" s="2492"/>
      <c r="L88" s="2492"/>
      <c r="M88" s="2492"/>
      <c r="N88" s="2492"/>
      <c r="O88" s="2492"/>
      <c r="P88" s="2492"/>
      <c r="Q88" s="2492"/>
      <c r="R88" s="2492"/>
      <c r="S88" s="2493"/>
      <c r="T88" s="2426"/>
      <c r="U88" s="2410"/>
      <c r="V88" s="2213"/>
      <c r="W88" s="2212"/>
      <c r="X88" s="2212"/>
    </row>
    <row r="89" spans="2:24" s="2185" customFormat="1" ht="17.25" thickBot="1" x14ac:dyDescent="0.35">
      <c r="B89" s="2372"/>
      <c r="C89" s="2416"/>
      <c r="D89" s="3132" t="s">
        <v>164</v>
      </c>
      <c r="E89" s="3133"/>
      <c r="F89" s="3133"/>
      <c r="G89" s="3133"/>
      <c r="H89" s="3133"/>
      <c r="I89" s="3133"/>
      <c r="J89" s="2481"/>
      <c r="K89" s="2482"/>
      <c r="L89" s="2483"/>
      <c r="M89" s="2483"/>
      <c r="N89" s="2483"/>
      <c r="O89" s="2481"/>
      <c r="P89" s="2483"/>
      <c r="Q89" s="2481"/>
      <c r="R89" s="2483"/>
      <c r="S89" s="2331">
        <f>SUM(S86:S88)</f>
        <v>400</v>
      </c>
      <c r="T89" s="2356"/>
      <c r="U89" s="2410"/>
      <c r="V89" s="2209"/>
    </row>
    <row r="90" spans="2:24" s="2185" customFormat="1" x14ac:dyDescent="0.3">
      <c r="B90" s="2372"/>
      <c r="C90" s="2416"/>
      <c r="D90" s="2494"/>
      <c r="E90" s="2495"/>
      <c r="F90" s="2495"/>
      <c r="G90" s="2495"/>
      <c r="H90" s="2495"/>
      <c r="I90" s="2495"/>
      <c r="J90" s="2495"/>
      <c r="K90" s="2495"/>
      <c r="L90" s="2496"/>
      <c r="M90" s="2496"/>
      <c r="N90" s="2496"/>
      <c r="O90" s="2495"/>
      <c r="P90" s="2496"/>
      <c r="Q90" s="2495"/>
      <c r="R90" s="2496"/>
      <c r="S90" s="2497"/>
      <c r="T90" s="2356"/>
      <c r="U90" s="2410"/>
      <c r="V90" s="2209"/>
    </row>
    <row r="91" spans="2:24" s="2185" customFormat="1" ht="17.25" thickBot="1" x14ac:dyDescent="0.35">
      <c r="B91" s="2372"/>
      <c r="C91" s="2416" t="str">
        <f>'[61]RAB (2)'!C36</f>
        <v>-</v>
      </c>
      <c r="D91" s="2372" t="str">
        <f>'[61]RAB (2)'!D36</f>
        <v>Penyambungan Tiang Pancang</v>
      </c>
      <c r="E91" s="2417"/>
      <c r="F91" s="2418"/>
      <c r="G91" s="2417"/>
      <c r="H91" s="2418"/>
      <c r="I91" s="2417"/>
      <c r="J91" s="2418"/>
      <c r="K91" s="2417"/>
      <c r="L91" s="2418"/>
      <c r="M91" s="2418"/>
      <c r="N91" s="2418"/>
      <c r="O91" s="2417"/>
      <c r="P91" s="2418"/>
      <c r="Q91" s="2417"/>
      <c r="R91" s="2418"/>
      <c r="S91" s="2419"/>
      <c r="T91" s="2330"/>
      <c r="U91" s="2410" t="s">
        <v>287</v>
      </c>
      <c r="V91" s="2209"/>
    </row>
    <row r="92" spans="2:24" s="2185" customFormat="1" x14ac:dyDescent="0.3">
      <c r="B92" s="2372"/>
      <c r="C92" s="2416"/>
      <c r="D92" s="2420" t="s">
        <v>95</v>
      </c>
      <c r="E92" s="2421" t="s">
        <v>150</v>
      </c>
      <c r="F92" s="2422"/>
      <c r="G92" s="2421" t="s">
        <v>151</v>
      </c>
      <c r="H92" s="2422"/>
      <c r="I92" s="2421" t="s">
        <v>152</v>
      </c>
      <c r="J92" s="2422"/>
      <c r="K92" s="2421" t="s">
        <v>153</v>
      </c>
      <c r="L92" s="2423"/>
      <c r="M92" s="2423" t="s">
        <v>32</v>
      </c>
      <c r="N92" s="2423"/>
      <c r="O92" s="2424" t="s">
        <v>163</v>
      </c>
      <c r="P92" s="2423"/>
      <c r="Q92" s="2424" t="s">
        <v>151</v>
      </c>
      <c r="R92" s="2423"/>
      <c r="S92" s="2425" t="s">
        <v>143</v>
      </c>
      <c r="T92" s="2426"/>
      <c r="U92" s="2410"/>
      <c r="V92" s="2209"/>
    </row>
    <row r="93" spans="2:24" s="2185" customFormat="1" x14ac:dyDescent="0.3">
      <c r="B93" s="2372"/>
      <c r="C93" s="2416"/>
      <c r="D93" s="2490" t="str">
        <f>D86</f>
        <v>Pile Cap tipe - PC1</v>
      </c>
      <c r="E93" s="2428"/>
      <c r="F93" s="2429"/>
      <c r="G93" s="2428"/>
      <c r="H93" s="2429"/>
      <c r="I93" s="2428"/>
      <c r="J93" s="2429"/>
      <c r="K93" s="2428">
        <f>K86</f>
        <v>1</v>
      </c>
      <c r="L93" s="2428" t="s">
        <v>185</v>
      </c>
      <c r="M93" s="2428">
        <f>M86</f>
        <v>14</v>
      </c>
      <c r="N93" s="2428" t="s">
        <v>185</v>
      </c>
      <c r="O93" s="2428">
        <v>1</v>
      </c>
      <c r="P93" s="2428"/>
      <c r="Q93" s="2428"/>
      <c r="R93" s="2429" t="s">
        <v>114</v>
      </c>
      <c r="S93" s="2430">
        <f>O93*M93*K93</f>
        <v>14</v>
      </c>
      <c r="T93" s="2426"/>
      <c r="U93" s="2410"/>
      <c r="V93" s="2209"/>
    </row>
    <row r="94" spans="2:24" s="2185" customFormat="1" x14ac:dyDescent="0.3">
      <c r="B94" s="2372"/>
      <c r="C94" s="2416"/>
      <c r="D94" s="2431" t="str">
        <f>D87</f>
        <v>Pile Cap tipe - PC2</v>
      </c>
      <c r="E94" s="2440"/>
      <c r="F94" s="2441"/>
      <c r="G94" s="2440"/>
      <c r="H94" s="2441"/>
      <c r="I94" s="2440"/>
      <c r="J94" s="2441"/>
      <c r="K94" s="2440">
        <f>K87</f>
        <v>2</v>
      </c>
      <c r="L94" s="2440" t="s">
        <v>185</v>
      </c>
      <c r="M94" s="2440">
        <f>M87</f>
        <v>3</v>
      </c>
      <c r="N94" s="2440" t="s">
        <v>185</v>
      </c>
      <c r="O94" s="2440">
        <v>1</v>
      </c>
      <c r="P94" s="2440"/>
      <c r="Q94" s="2440"/>
      <c r="R94" s="2441" t="s">
        <v>114</v>
      </c>
      <c r="S94" s="2443">
        <f>O94*M94*K94</f>
        <v>6</v>
      </c>
      <c r="T94" s="2426"/>
      <c r="U94" s="2410"/>
      <c r="V94" s="2209"/>
    </row>
    <row r="95" spans="2:24" s="2185" customFormat="1" x14ac:dyDescent="0.3">
      <c r="B95" s="2372"/>
      <c r="C95" s="2416"/>
      <c r="D95" s="2491"/>
      <c r="E95" s="2492"/>
      <c r="F95" s="2492"/>
      <c r="G95" s="2492"/>
      <c r="H95" s="2492"/>
      <c r="I95" s="2492"/>
      <c r="J95" s="2492"/>
      <c r="K95" s="2492"/>
      <c r="L95" s="2492"/>
      <c r="M95" s="2492"/>
      <c r="N95" s="2492"/>
      <c r="O95" s="2492"/>
      <c r="P95" s="2492"/>
      <c r="Q95" s="2492"/>
      <c r="R95" s="2492"/>
      <c r="S95" s="2493"/>
      <c r="T95" s="2426"/>
      <c r="U95" s="2410"/>
      <c r="V95" s="2209"/>
    </row>
    <row r="96" spans="2:24" s="2185" customFormat="1" ht="17.25" thickBot="1" x14ac:dyDescent="0.35">
      <c r="B96" s="2372"/>
      <c r="C96" s="2416"/>
      <c r="D96" s="3132" t="s">
        <v>164</v>
      </c>
      <c r="E96" s="3132"/>
      <c r="F96" s="3132"/>
      <c r="G96" s="3132"/>
      <c r="H96" s="3132"/>
      <c r="I96" s="3132"/>
      <c r="J96" s="2481"/>
      <c r="K96" s="2482"/>
      <c r="L96" s="2483"/>
      <c r="M96" s="2483"/>
      <c r="N96" s="2483"/>
      <c r="O96" s="2481"/>
      <c r="P96" s="2483"/>
      <c r="Q96" s="2481"/>
      <c r="R96" s="2483"/>
      <c r="S96" s="2331">
        <f>SUM(S93:S95)</f>
        <v>20</v>
      </c>
      <c r="T96" s="2356"/>
      <c r="U96" s="2410"/>
      <c r="V96" s="2209"/>
    </row>
    <row r="97" spans="2:23" s="2207" customFormat="1" x14ac:dyDescent="0.3">
      <c r="B97" s="2403"/>
      <c r="C97" s="2484"/>
      <c r="D97" s="2403"/>
      <c r="E97" s="2485"/>
      <c r="F97" s="2486"/>
      <c r="G97" s="2485"/>
      <c r="H97" s="2486"/>
      <c r="I97" s="2485"/>
      <c r="J97" s="2486"/>
      <c r="K97" s="2485"/>
      <c r="L97" s="2486"/>
      <c r="M97" s="2486"/>
      <c r="N97" s="2486"/>
      <c r="O97" s="2485"/>
      <c r="P97" s="2486"/>
      <c r="Q97" s="2485"/>
      <c r="R97" s="2486"/>
      <c r="S97" s="2487"/>
      <c r="T97" s="2488"/>
      <c r="U97" s="2489"/>
      <c r="V97" s="2214"/>
    </row>
    <row r="98" spans="2:23" s="2185" customFormat="1" ht="17.25" thickBot="1" x14ac:dyDescent="0.35">
      <c r="B98" s="2372"/>
      <c r="C98" s="2416" t="str">
        <f>'[61]RAB (2)'!C38</f>
        <v>-</v>
      </c>
      <c r="D98" s="2372" t="str">
        <f>'[61]RAB (2)'!D38</f>
        <v>PDA Test</v>
      </c>
      <c r="E98" s="2417"/>
      <c r="F98" s="2418"/>
      <c r="G98" s="2417"/>
      <c r="H98" s="2418"/>
      <c r="I98" s="2417"/>
      <c r="J98" s="2418"/>
      <c r="K98" s="2417"/>
      <c r="L98" s="2418"/>
      <c r="M98" s="2418"/>
      <c r="N98" s="2418"/>
      <c r="O98" s="2417"/>
      <c r="P98" s="2418"/>
      <c r="Q98" s="2417"/>
      <c r="R98" s="2418"/>
      <c r="S98" s="2419"/>
      <c r="T98" s="2330"/>
      <c r="U98" s="2410" t="s">
        <v>9</v>
      </c>
      <c r="V98" s="2209"/>
    </row>
    <row r="99" spans="2:23" s="2185" customFormat="1" x14ac:dyDescent="0.3">
      <c r="B99" s="2372"/>
      <c r="C99" s="2416"/>
      <c r="D99" s="2420" t="s">
        <v>95</v>
      </c>
      <c r="E99" s="2421" t="s">
        <v>150</v>
      </c>
      <c r="F99" s="2422"/>
      <c r="G99" s="2421" t="s">
        <v>151</v>
      </c>
      <c r="H99" s="2422"/>
      <c r="I99" s="2421" t="s">
        <v>152</v>
      </c>
      <c r="J99" s="2422"/>
      <c r="K99" s="2421" t="s">
        <v>153</v>
      </c>
      <c r="L99" s="2423"/>
      <c r="M99" s="2423" t="s">
        <v>32</v>
      </c>
      <c r="N99" s="2423"/>
      <c r="O99" s="2424" t="s">
        <v>163</v>
      </c>
      <c r="P99" s="2423"/>
      <c r="Q99" s="2424" t="s">
        <v>151</v>
      </c>
      <c r="R99" s="2423"/>
      <c r="S99" s="2425" t="s">
        <v>143</v>
      </c>
      <c r="T99" s="2426"/>
      <c r="U99" s="2410"/>
      <c r="V99" s="2209"/>
    </row>
    <row r="100" spans="2:23" s="2185" customFormat="1" x14ac:dyDescent="0.3">
      <c r="B100" s="2372"/>
      <c r="C100" s="2416"/>
      <c r="D100" s="2490" t="str">
        <f>D93</f>
        <v>Pile Cap tipe - PC1</v>
      </c>
      <c r="E100" s="2428"/>
      <c r="F100" s="2429"/>
      <c r="G100" s="2428"/>
      <c r="H100" s="2429"/>
      <c r="I100" s="2428"/>
      <c r="J100" s="2429"/>
      <c r="K100" s="2428">
        <f>K93</f>
        <v>1</v>
      </c>
      <c r="L100" s="2428" t="s">
        <v>185</v>
      </c>
      <c r="M100" s="2428">
        <f>M93</f>
        <v>14</v>
      </c>
      <c r="N100" s="2428"/>
      <c r="O100" s="2428"/>
      <c r="P100" s="2428"/>
      <c r="Q100" s="2428"/>
      <c r="R100" s="2429" t="s">
        <v>114</v>
      </c>
      <c r="S100" s="2430">
        <f>M100*K100</f>
        <v>14</v>
      </c>
      <c r="T100" s="2426"/>
      <c r="U100" s="2410"/>
      <c r="V100" s="2209"/>
    </row>
    <row r="101" spans="2:23" s="2185" customFormat="1" x14ac:dyDescent="0.3">
      <c r="B101" s="2372"/>
      <c r="C101" s="2416"/>
      <c r="D101" s="2431" t="str">
        <f>D94</f>
        <v>Pile Cap tipe - PC2</v>
      </c>
      <c r="E101" s="2440"/>
      <c r="F101" s="2441"/>
      <c r="G101" s="2440"/>
      <c r="H101" s="2441"/>
      <c r="I101" s="2440"/>
      <c r="J101" s="2441"/>
      <c r="K101" s="2440">
        <f>K94</f>
        <v>2</v>
      </c>
      <c r="L101" s="2440"/>
      <c r="M101" s="2440">
        <f>M94</f>
        <v>3</v>
      </c>
      <c r="N101" s="2440"/>
      <c r="O101" s="2440"/>
      <c r="P101" s="2440"/>
      <c r="Q101" s="2440"/>
      <c r="R101" s="2441" t="s">
        <v>114</v>
      </c>
      <c r="S101" s="2443">
        <f>M101*K101</f>
        <v>6</v>
      </c>
      <c r="T101" s="2426"/>
      <c r="U101" s="2410"/>
      <c r="V101" s="2209"/>
    </row>
    <row r="102" spans="2:23" s="2185" customFormat="1" x14ac:dyDescent="0.3">
      <c r="B102" s="2372"/>
      <c r="C102" s="2416"/>
      <c r="D102" s="2491"/>
      <c r="E102" s="2492"/>
      <c r="F102" s="2492"/>
      <c r="G102" s="2492"/>
      <c r="H102" s="2492"/>
      <c r="I102" s="2492"/>
      <c r="J102" s="2492"/>
      <c r="K102" s="2492"/>
      <c r="L102" s="2492"/>
      <c r="M102" s="2492"/>
      <c r="N102" s="2492"/>
      <c r="O102" s="2492"/>
      <c r="P102" s="2492"/>
      <c r="Q102" s="2492"/>
      <c r="R102" s="2492"/>
      <c r="S102" s="2493"/>
      <c r="T102" s="2426"/>
      <c r="U102" s="2410"/>
      <c r="V102" s="2209"/>
    </row>
    <row r="103" spans="2:23" s="2185" customFormat="1" ht="17.25" thickBot="1" x14ac:dyDescent="0.35">
      <c r="B103" s="2372"/>
      <c r="C103" s="2416"/>
      <c r="D103" s="3132" t="s">
        <v>164</v>
      </c>
      <c r="E103" s="3133"/>
      <c r="F103" s="3133"/>
      <c r="G103" s="3133"/>
      <c r="H103" s="3133"/>
      <c r="I103" s="3133"/>
      <c r="J103" s="2481"/>
      <c r="K103" s="2482"/>
      <c r="L103" s="2483"/>
      <c r="M103" s="2483"/>
      <c r="N103" s="2483"/>
      <c r="O103" s="2481"/>
      <c r="P103" s="2483"/>
      <c r="Q103" s="2481"/>
      <c r="R103" s="2483"/>
      <c r="S103" s="2331">
        <f>SUM(S100:S102)</f>
        <v>20</v>
      </c>
      <c r="T103" s="2356"/>
      <c r="U103" s="2410"/>
      <c r="V103" s="2209"/>
    </row>
    <row r="104" spans="2:23" s="2207" customFormat="1" x14ac:dyDescent="0.3">
      <c r="B104" s="2403"/>
      <c r="C104" s="2484"/>
      <c r="D104" s="2498"/>
      <c r="E104" s="2498"/>
      <c r="F104" s="2498"/>
      <c r="G104" s="2498"/>
      <c r="H104" s="2498"/>
      <c r="I104" s="2498"/>
      <c r="J104" s="2499"/>
      <c r="K104" s="2499"/>
      <c r="L104" s="2500"/>
      <c r="M104" s="2500"/>
      <c r="N104" s="2500"/>
      <c r="O104" s="2499"/>
      <c r="P104" s="2500"/>
      <c r="Q104" s="2499"/>
      <c r="R104" s="2500"/>
      <c r="S104" s="2501"/>
      <c r="T104" s="2364"/>
      <c r="U104" s="2489"/>
      <c r="V104" s="2214"/>
    </row>
    <row r="105" spans="2:23" s="2185" customFormat="1" x14ac:dyDescent="0.3">
      <c r="B105" s="2372">
        <f>'[61]RAB (2)'!B39</f>
        <v>2</v>
      </c>
      <c r="C105" s="2372" t="str">
        <f>'[61]RAB (2)'!C39</f>
        <v>Pile Cap tipe - PC1</v>
      </c>
      <c r="D105" s="2372"/>
      <c r="E105" s="2417"/>
      <c r="F105" s="2418"/>
      <c r="G105" s="2417"/>
      <c r="H105" s="2418"/>
      <c r="I105" s="2417"/>
      <c r="J105" s="2418"/>
      <c r="K105" s="2417"/>
      <c r="L105" s="2418"/>
      <c r="M105" s="2418"/>
      <c r="N105" s="2418"/>
      <c r="O105" s="2417"/>
      <c r="P105" s="2418"/>
      <c r="Q105" s="2417"/>
      <c r="R105" s="2418"/>
      <c r="S105" s="2419"/>
      <c r="T105" s="2330"/>
      <c r="U105" s="2410"/>
      <c r="V105" s="2209"/>
    </row>
    <row r="106" spans="2:23" s="2185" customFormat="1" ht="17.25" thickBot="1" x14ac:dyDescent="0.35">
      <c r="B106" s="2372"/>
      <c r="C106" s="2416" t="str">
        <f>'[61]RAB (2)'!D40</f>
        <v xml:space="preserve">Beton mutu f'c=26,4 Mpa </v>
      </c>
      <c r="D106" s="2372"/>
      <c r="E106" s="2417"/>
      <c r="F106" s="2418"/>
      <c r="G106" s="2417"/>
      <c r="H106" s="2418"/>
      <c r="I106" s="2417"/>
      <c r="J106" s="2418"/>
      <c r="K106" s="2417"/>
      <c r="L106" s="2418"/>
      <c r="M106" s="2418"/>
      <c r="N106" s="2418"/>
      <c r="O106" s="2417"/>
      <c r="P106" s="2418"/>
      <c r="Q106" s="2417"/>
      <c r="R106" s="2418"/>
      <c r="S106" s="2419"/>
      <c r="T106" s="2330"/>
      <c r="U106" s="2410" t="s">
        <v>3</v>
      </c>
      <c r="V106" s="2209"/>
    </row>
    <row r="107" spans="2:23" s="2185" customFormat="1" x14ac:dyDescent="0.3">
      <c r="B107" s="2372"/>
      <c r="C107" s="2416"/>
      <c r="D107" s="2420" t="s">
        <v>95</v>
      </c>
      <c r="E107" s="2421" t="s">
        <v>150</v>
      </c>
      <c r="F107" s="2422"/>
      <c r="G107" s="2421" t="s">
        <v>151</v>
      </c>
      <c r="H107" s="2422"/>
      <c r="I107" s="2421" t="s">
        <v>152</v>
      </c>
      <c r="J107" s="2422"/>
      <c r="K107" s="2421" t="s">
        <v>153</v>
      </c>
      <c r="L107" s="2423"/>
      <c r="M107" s="2423" t="s">
        <v>32</v>
      </c>
      <c r="N107" s="2423"/>
      <c r="O107" s="2424" t="s">
        <v>163</v>
      </c>
      <c r="P107" s="2423"/>
      <c r="Q107" s="2424" t="s">
        <v>151</v>
      </c>
      <c r="R107" s="2423"/>
      <c r="S107" s="2425" t="s">
        <v>143</v>
      </c>
      <c r="T107" s="2426"/>
      <c r="U107" s="2410"/>
      <c r="V107" s="2209"/>
    </row>
    <row r="108" spans="2:23" s="2185" customFormat="1" x14ac:dyDescent="0.3">
      <c r="B108" s="2372"/>
      <c r="C108" s="2416"/>
      <c r="D108" s="2427" t="s">
        <v>258</v>
      </c>
      <c r="E108" s="2428">
        <v>0.9</v>
      </c>
      <c r="F108" s="2428" t="s">
        <v>185</v>
      </c>
      <c r="G108" s="2428">
        <v>0.9</v>
      </c>
      <c r="H108" s="2428" t="s">
        <v>185</v>
      </c>
      <c r="I108" s="2428">
        <v>0.6</v>
      </c>
      <c r="J108" s="2429" t="s">
        <v>185</v>
      </c>
      <c r="K108" s="2333">
        <f>K26</f>
        <v>14</v>
      </c>
      <c r="L108" s="2502"/>
      <c r="M108" s="2502"/>
      <c r="N108" s="2502"/>
      <c r="O108" s="2428"/>
      <c r="P108" s="2502"/>
      <c r="Q108" s="2428"/>
      <c r="R108" s="2429" t="s">
        <v>114</v>
      </c>
      <c r="S108" s="2430">
        <f>K108*I108*G108*E108</f>
        <v>6.8040000000000003</v>
      </c>
      <c r="T108" s="2426"/>
      <c r="U108" s="2410"/>
      <c r="V108" s="2209"/>
      <c r="W108" s="2215">
        <f>S108+S130</f>
        <v>9.7200000000000006</v>
      </c>
    </row>
    <row r="109" spans="2:23" s="2185" customFormat="1" x14ac:dyDescent="0.3">
      <c r="B109" s="2372"/>
      <c r="C109" s="2416"/>
      <c r="D109" s="2503" t="s">
        <v>244</v>
      </c>
      <c r="E109" s="2440"/>
      <c r="F109" s="2441"/>
      <c r="G109" s="2440"/>
      <c r="H109" s="2441"/>
      <c r="I109" s="2440"/>
      <c r="J109" s="2441"/>
      <c r="K109" s="2440"/>
      <c r="L109" s="2504"/>
      <c r="M109" s="2504"/>
      <c r="N109" s="2504"/>
      <c r="O109" s="2440"/>
      <c r="P109" s="2504"/>
      <c r="Q109" s="2440"/>
      <c r="R109" s="2441"/>
      <c r="S109" s="2443"/>
      <c r="T109" s="2426"/>
      <c r="U109" s="2410"/>
      <c r="V109" s="2209"/>
    </row>
    <row r="110" spans="2:23" s="2185" customFormat="1" x14ac:dyDescent="0.3">
      <c r="B110" s="2372"/>
      <c r="C110" s="2416"/>
      <c r="D110" s="2505" t="s">
        <v>254</v>
      </c>
      <c r="E110" s="2440"/>
      <c r="F110" s="2441"/>
      <c r="G110" s="2440"/>
      <c r="H110" s="2441"/>
      <c r="I110" s="2440"/>
      <c r="J110" s="2441"/>
      <c r="K110" s="2332">
        <f>S119</f>
        <v>1057.8648696000002</v>
      </c>
      <c r="L110" s="2506" t="s">
        <v>253</v>
      </c>
      <c r="M110" s="2504"/>
      <c r="N110" s="2504"/>
      <c r="O110" s="2440">
        <f>O117</f>
        <v>7850</v>
      </c>
      <c r="P110" s="2504"/>
      <c r="Q110" s="2440"/>
      <c r="R110" s="2441" t="s">
        <v>149</v>
      </c>
      <c r="S110" s="2443">
        <f>K110/O110</f>
        <v>0.13475985600000004</v>
      </c>
      <c r="T110" s="2426"/>
      <c r="U110" s="2410"/>
      <c r="V110" s="2209"/>
    </row>
    <row r="111" spans="2:23" s="2185" customFormat="1" x14ac:dyDescent="0.3">
      <c r="B111" s="2372"/>
      <c r="C111" s="2416"/>
      <c r="D111" s="2507"/>
      <c r="E111" s="2492"/>
      <c r="F111" s="2508"/>
      <c r="G111" s="2492"/>
      <c r="H111" s="2508"/>
      <c r="I111" s="2492"/>
      <c r="J111" s="2508"/>
      <c r="K111" s="2492"/>
      <c r="L111" s="2509"/>
      <c r="M111" s="2509"/>
      <c r="N111" s="2509"/>
      <c r="O111" s="2492"/>
      <c r="P111" s="2509"/>
      <c r="Q111" s="2492"/>
      <c r="R111" s="2508"/>
      <c r="S111" s="2510"/>
      <c r="T111" s="2426"/>
      <c r="U111" s="2410"/>
      <c r="V111" s="2209"/>
    </row>
    <row r="112" spans="2:23" s="2185" customFormat="1" ht="17.25" thickBot="1" x14ac:dyDescent="0.35">
      <c r="B112" s="2372"/>
      <c r="C112" s="2416"/>
      <c r="D112" s="3129" t="s">
        <v>164</v>
      </c>
      <c r="E112" s="3130"/>
      <c r="F112" s="3130"/>
      <c r="G112" s="3130"/>
      <c r="H112" s="3130"/>
      <c r="I112" s="3131"/>
      <c r="J112" s="2511"/>
      <c r="K112" s="2481"/>
      <c r="L112" s="2483"/>
      <c r="M112" s="2483"/>
      <c r="N112" s="2483"/>
      <c r="O112" s="2481"/>
      <c r="P112" s="2483"/>
      <c r="Q112" s="2481"/>
      <c r="R112" s="2483"/>
      <c r="S112" s="2512">
        <f>S108-S110</f>
        <v>6.6692401440000006</v>
      </c>
      <c r="T112" s="2426"/>
      <c r="U112" s="2410"/>
      <c r="V112" s="2209"/>
    </row>
    <row r="113" spans="2:23" s="2185" customFormat="1" x14ac:dyDescent="0.3">
      <c r="B113" s="2372"/>
      <c r="C113" s="2416"/>
      <c r="D113" s="2513"/>
      <c r="E113" s="2495"/>
      <c r="F113" s="2496"/>
      <c r="G113" s="2495"/>
      <c r="H113" s="2496"/>
      <c r="I113" s="2495"/>
      <c r="J113" s="2496"/>
      <c r="K113" s="2495"/>
      <c r="L113" s="2496"/>
      <c r="M113" s="2496"/>
      <c r="N113" s="2496"/>
      <c r="O113" s="2495"/>
      <c r="P113" s="2496"/>
      <c r="Q113" s="2495"/>
      <c r="R113" s="2496"/>
      <c r="S113" s="2514"/>
      <c r="T113" s="2356"/>
      <c r="U113" s="2410"/>
      <c r="V113" s="2209"/>
    </row>
    <row r="114" spans="2:23" s="2185" customFormat="1" ht="17.25" thickBot="1" x14ac:dyDescent="0.35">
      <c r="B114" s="2372"/>
      <c r="C114" s="2416" t="str">
        <f>'[61]RAB (2)'!D41</f>
        <v>Pembesian Ulir</v>
      </c>
      <c r="D114" s="2372"/>
      <c r="E114" s="2417"/>
      <c r="F114" s="2418"/>
      <c r="G114" s="2417"/>
      <c r="H114" s="2418"/>
      <c r="I114" s="2417"/>
      <c r="J114" s="2418"/>
      <c r="K114" s="2417"/>
      <c r="L114" s="2418"/>
      <c r="M114" s="2418"/>
      <c r="N114" s="2418"/>
      <c r="O114" s="2417"/>
      <c r="P114" s="2418"/>
      <c r="Q114" s="2417"/>
      <c r="R114" s="2418"/>
      <c r="S114" s="2419"/>
      <c r="T114" s="2330"/>
      <c r="U114" s="2410" t="s">
        <v>0</v>
      </c>
      <c r="V114" s="2209"/>
    </row>
    <row r="115" spans="2:23" s="2185" customFormat="1" x14ac:dyDescent="0.3">
      <c r="B115" s="2372"/>
      <c r="C115" s="2416"/>
      <c r="D115" s="2420" t="s">
        <v>95</v>
      </c>
      <c r="E115" s="2421" t="s">
        <v>150</v>
      </c>
      <c r="F115" s="2422"/>
      <c r="G115" s="2421" t="s">
        <v>151</v>
      </c>
      <c r="H115" s="2422"/>
      <c r="I115" s="2421" t="s">
        <v>152</v>
      </c>
      <c r="J115" s="2422"/>
      <c r="K115" s="2421" t="s">
        <v>153</v>
      </c>
      <c r="L115" s="2422"/>
      <c r="M115" s="2422" t="s">
        <v>32</v>
      </c>
      <c r="N115" s="2422"/>
      <c r="O115" s="2421" t="s">
        <v>163</v>
      </c>
      <c r="P115" s="2422"/>
      <c r="Q115" s="2421" t="s">
        <v>151</v>
      </c>
      <c r="R115" s="2423"/>
      <c r="S115" s="2425" t="s">
        <v>143</v>
      </c>
      <c r="T115" s="2356"/>
      <c r="U115" s="2410"/>
      <c r="V115" s="2209"/>
      <c r="W115" s="2185">
        <f>0.9/0.19</f>
        <v>4.7368421052631575</v>
      </c>
    </row>
    <row r="116" spans="2:23" s="2185" customFormat="1" x14ac:dyDescent="0.3">
      <c r="B116" s="2372"/>
      <c r="C116" s="2416"/>
      <c r="D116" s="2458" t="s">
        <v>613</v>
      </c>
      <c r="E116" s="2440">
        <f>(0.8+0.5)*2+2*(6*0.019)</f>
        <v>2.8280000000000003</v>
      </c>
      <c r="F116" s="2441" t="s">
        <v>185</v>
      </c>
      <c r="G116" s="2440"/>
      <c r="H116" s="2504"/>
      <c r="I116" s="2440"/>
      <c r="J116" s="2504"/>
      <c r="K116" s="2440">
        <v>6</v>
      </c>
      <c r="L116" s="2441" t="s">
        <v>185</v>
      </c>
      <c r="M116" s="2504">
        <f>K108</f>
        <v>14</v>
      </c>
      <c r="N116" s="2441" t="s">
        <v>185</v>
      </c>
      <c r="O116" s="2440">
        <v>7850</v>
      </c>
      <c r="P116" s="2441" t="s">
        <v>185</v>
      </c>
      <c r="Q116" s="2515">
        <f>22/7*0.0095*0.0095</f>
        <v>2.8364285714285714E-4</v>
      </c>
      <c r="R116" s="2441" t="s">
        <v>114</v>
      </c>
      <c r="S116" s="2516">
        <f>Q116*O116*M116*K116*E116</f>
        <v>528.93243480000012</v>
      </c>
      <c r="T116" s="2356"/>
      <c r="U116" s="2410"/>
      <c r="V116" s="2209"/>
      <c r="W116" s="2185">
        <f>0.8/0.15</f>
        <v>5.3333333333333339</v>
      </c>
    </row>
    <row r="117" spans="2:23" s="2185" customFormat="1" x14ac:dyDescent="0.3">
      <c r="B117" s="2372"/>
      <c r="C117" s="2416"/>
      <c r="D117" s="2458" t="s">
        <v>614</v>
      </c>
      <c r="E117" s="2440">
        <f>E116</f>
        <v>2.8280000000000003</v>
      </c>
      <c r="F117" s="2441" t="s">
        <v>185</v>
      </c>
      <c r="G117" s="2440"/>
      <c r="H117" s="2504"/>
      <c r="I117" s="2440"/>
      <c r="J117" s="2504"/>
      <c r="K117" s="2440">
        <v>6</v>
      </c>
      <c r="L117" s="2441" t="s">
        <v>185</v>
      </c>
      <c r="M117" s="2504">
        <f>M116</f>
        <v>14</v>
      </c>
      <c r="N117" s="2441" t="s">
        <v>185</v>
      </c>
      <c r="O117" s="2440">
        <v>7850</v>
      </c>
      <c r="P117" s="2441" t="s">
        <v>185</v>
      </c>
      <c r="Q117" s="2515">
        <f>22/7*0.0095*0.0095</f>
        <v>2.8364285714285714E-4</v>
      </c>
      <c r="R117" s="2441" t="s">
        <v>114</v>
      </c>
      <c r="S117" s="2516">
        <f>Q117*O117*M117*K117*E117</f>
        <v>528.93243480000012</v>
      </c>
      <c r="T117" s="2356"/>
      <c r="U117" s="2410"/>
      <c r="V117" s="2209"/>
    </row>
    <row r="118" spans="2:23" s="2185" customFormat="1" x14ac:dyDescent="0.3">
      <c r="B118" s="2372"/>
      <c r="C118" s="2416"/>
      <c r="D118" s="2517"/>
      <c r="E118" s="2492"/>
      <c r="F118" s="2509"/>
      <c r="G118" s="2492"/>
      <c r="H118" s="2509"/>
      <c r="I118" s="2492"/>
      <c r="J118" s="2509"/>
      <c r="K118" s="2492"/>
      <c r="L118" s="2509"/>
      <c r="M118" s="2509"/>
      <c r="N118" s="2509"/>
      <c r="O118" s="2492"/>
      <c r="P118" s="2509"/>
      <c r="Q118" s="2492"/>
      <c r="R118" s="2509"/>
      <c r="S118" s="2518"/>
      <c r="T118" s="2356"/>
      <c r="U118" s="2410"/>
      <c r="V118" s="2209"/>
    </row>
    <row r="119" spans="2:23" s="2185" customFormat="1" ht="17.25" thickBot="1" x14ac:dyDescent="0.35">
      <c r="B119" s="2372"/>
      <c r="C119" s="2416"/>
      <c r="D119" s="3129" t="s">
        <v>164</v>
      </c>
      <c r="E119" s="3130"/>
      <c r="F119" s="3130"/>
      <c r="G119" s="3130"/>
      <c r="H119" s="3130"/>
      <c r="I119" s="3131"/>
      <c r="J119" s="2519"/>
      <c r="K119" s="2481"/>
      <c r="L119" s="2483"/>
      <c r="M119" s="2483"/>
      <c r="N119" s="2483"/>
      <c r="O119" s="2481"/>
      <c r="P119" s="2483"/>
      <c r="Q119" s="2481"/>
      <c r="R119" s="2483"/>
      <c r="S119" s="2331">
        <f>SUM(S116:S118)</f>
        <v>1057.8648696000002</v>
      </c>
      <c r="T119" s="2356"/>
      <c r="U119" s="2410"/>
      <c r="V119" s="2209"/>
    </row>
    <row r="120" spans="2:23" s="2185" customFormat="1" x14ac:dyDescent="0.3">
      <c r="B120" s="2372"/>
      <c r="C120" s="2416"/>
      <c r="D120" s="2520"/>
      <c r="E120" s="2495"/>
      <c r="F120" s="2521"/>
      <c r="G120" s="2495"/>
      <c r="H120" s="2521"/>
      <c r="I120" s="2495"/>
      <c r="J120" s="2521"/>
      <c r="K120" s="2495"/>
      <c r="L120" s="2496"/>
      <c r="M120" s="2496"/>
      <c r="N120" s="2496"/>
      <c r="O120" s="2495"/>
      <c r="P120" s="2496"/>
      <c r="Q120" s="2495"/>
      <c r="R120" s="2496"/>
      <c r="S120" s="2497"/>
      <c r="T120" s="2356"/>
      <c r="U120" s="2410"/>
      <c r="V120" s="2209"/>
    </row>
    <row r="121" spans="2:23" s="2185" customFormat="1" ht="17.25" thickBot="1" x14ac:dyDescent="0.35">
      <c r="B121" s="2372"/>
      <c r="C121" s="2416" t="str">
        <f>'[61]RAB (2)'!D42</f>
        <v>Bekisting Pondasi</v>
      </c>
      <c r="D121" s="2520"/>
      <c r="E121" s="2495"/>
      <c r="F121" s="2521"/>
      <c r="G121" s="2495"/>
      <c r="H121" s="2521"/>
      <c r="I121" s="2495"/>
      <c r="J121" s="2521"/>
      <c r="K121" s="2495"/>
      <c r="L121" s="2496"/>
      <c r="M121" s="2496"/>
      <c r="N121" s="2496"/>
      <c r="O121" s="2495"/>
      <c r="P121" s="2496"/>
      <c r="Q121" s="2495"/>
      <c r="R121" s="2496"/>
      <c r="S121" s="2497"/>
      <c r="T121" s="2330"/>
      <c r="U121" s="2410" t="s">
        <v>2</v>
      </c>
      <c r="V121" s="2209"/>
    </row>
    <row r="122" spans="2:23" s="2185" customFormat="1" x14ac:dyDescent="0.3">
      <c r="B122" s="2372"/>
      <c r="C122" s="2416"/>
      <c r="D122" s="2420" t="s">
        <v>95</v>
      </c>
      <c r="E122" s="2421" t="s">
        <v>150</v>
      </c>
      <c r="F122" s="2422"/>
      <c r="G122" s="2421" t="s">
        <v>151</v>
      </c>
      <c r="H122" s="2422"/>
      <c r="I122" s="2421" t="s">
        <v>152</v>
      </c>
      <c r="J122" s="2422"/>
      <c r="K122" s="2421" t="s">
        <v>153</v>
      </c>
      <c r="L122" s="2422"/>
      <c r="M122" s="2422" t="s">
        <v>32</v>
      </c>
      <c r="N122" s="2422"/>
      <c r="O122" s="2421" t="s">
        <v>163</v>
      </c>
      <c r="P122" s="2422"/>
      <c r="Q122" s="2421" t="s">
        <v>151</v>
      </c>
      <c r="R122" s="2423"/>
      <c r="S122" s="2425" t="s">
        <v>143</v>
      </c>
      <c r="T122" s="2356"/>
      <c r="U122" s="2410"/>
      <c r="V122" s="2209"/>
    </row>
    <row r="123" spans="2:23" s="2185" customFormat="1" x14ac:dyDescent="0.3">
      <c r="B123" s="2372"/>
      <c r="C123" s="2416"/>
      <c r="D123" s="2522" t="s">
        <v>235</v>
      </c>
      <c r="E123" s="2428">
        <f>E108*4</f>
        <v>3.6</v>
      </c>
      <c r="F123" s="2429"/>
      <c r="G123" s="2428"/>
      <c r="H123" s="2429" t="s">
        <v>185</v>
      </c>
      <c r="I123" s="2428">
        <f>I108</f>
        <v>0.6</v>
      </c>
      <c r="J123" s="2429"/>
      <c r="K123" s="2428"/>
      <c r="L123" s="2429" t="s">
        <v>185</v>
      </c>
      <c r="M123" s="2502">
        <f>M117</f>
        <v>14</v>
      </c>
      <c r="N123" s="2429"/>
      <c r="O123" s="2428"/>
      <c r="P123" s="2429" t="s">
        <v>114</v>
      </c>
      <c r="Q123" s="2428">
        <f>M123*I123*E123</f>
        <v>30.240000000000002</v>
      </c>
      <c r="R123" s="2429"/>
      <c r="S123" s="2523"/>
      <c r="T123" s="2356"/>
      <c r="U123" s="2410"/>
      <c r="V123" s="2209"/>
    </row>
    <row r="124" spans="2:23" s="2185" customFormat="1" x14ac:dyDescent="0.3">
      <c r="B124" s="2372"/>
      <c r="C124" s="2416"/>
      <c r="D124" s="2517"/>
      <c r="E124" s="2492"/>
      <c r="F124" s="2509"/>
      <c r="G124" s="2492"/>
      <c r="H124" s="2509"/>
      <c r="I124" s="2492"/>
      <c r="J124" s="2509"/>
      <c r="K124" s="2492"/>
      <c r="L124" s="2509"/>
      <c r="M124" s="2509"/>
      <c r="N124" s="2509"/>
      <c r="O124" s="2492"/>
      <c r="P124" s="2509"/>
      <c r="Q124" s="2492"/>
      <c r="R124" s="2509"/>
      <c r="S124" s="2518"/>
      <c r="T124" s="2356"/>
      <c r="U124" s="2410"/>
      <c r="V124" s="2209"/>
    </row>
    <row r="125" spans="2:23" s="2185" customFormat="1" ht="17.25" thickBot="1" x14ac:dyDescent="0.35">
      <c r="B125" s="2372"/>
      <c r="C125" s="2416"/>
      <c r="D125" s="3129" t="s">
        <v>164</v>
      </c>
      <c r="E125" s="3130"/>
      <c r="F125" s="3130"/>
      <c r="G125" s="3130"/>
      <c r="H125" s="3130"/>
      <c r="I125" s="3131"/>
      <c r="J125" s="2519"/>
      <c r="K125" s="2481"/>
      <c r="L125" s="2483"/>
      <c r="M125" s="2483"/>
      <c r="N125" s="2483"/>
      <c r="O125" s="2481"/>
      <c r="P125" s="2483"/>
      <c r="Q125" s="2481">
        <f>Q123</f>
        <v>30.240000000000002</v>
      </c>
      <c r="R125" s="2483"/>
      <c r="S125" s="2331"/>
      <c r="T125" s="2356"/>
      <c r="U125" s="2410"/>
      <c r="V125" s="2209"/>
    </row>
    <row r="126" spans="2:23" s="2207" customFormat="1" x14ac:dyDescent="0.3">
      <c r="B126" s="2403"/>
      <c r="C126" s="2484"/>
      <c r="D126" s="2524"/>
      <c r="E126" s="2525"/>
      <c r="F126" s="2525"/>
      <c r="G126" s="2525"/>
      <c r="H126" s="2525"/>
      <c r="I126" s="2525"/>
      <c r="J126" s="2525"/>
      <c r="K126" s="2499"/>
      <c r="L126" s="2500"/>
      <c r="M126" s="2500"/>
      <c r="N126" s="2500"/>
      <c r="O126" s="2499"/>
      <c r="P126" s="2500"/>
      <c r="Q126" s="2499"/>
      <c r="R126" s="2500"/>
      <c r="S126" s="2501"/>
      <c r="T126" s="2364"/>
      <c r="U126" s="2489"/>
      <c r="V126" s="2214"/>
    </row>
    <row r="127" spans="2:23" s="2185" customFormat="1" x14ac:dyDescent="0.3">
      <c r="B127" s="2372">
        <f>'[61]RAB (2)'!B43</f>
        <v>3</v>
      </c>
      <c r="C127" s="2416" t="str">
        <f>'[61]RAB (2)'!C43</f>
        <v>Pile Cap tipe - PC2</v>
      </c>
      <c r="D127" s="2372"/>
      <c r="E127" s="2417"/>
      <c r="F127" s="2418"/>
      <c r="G127" s="2417"/>
      <c r="H127" s="2418"/>
      <c r="I127" s="2417"/>
      <c r="J127" s="2418"/>
      <c r="K127" s="2417"/>
      <c r="L127" s="2418"/>
      <c r="M127" s="2418"/>
      <c r="N127" s="2418"/>
      <c r="O127" s="2417"/>
      <c r="P127" s="2418"/>
      <c r="Q127" s="2417"/>
      <c r="R127" s="2418"/>
      <c r="S127" s="2419"/>
      <c r="T127" s="2330"/>
      <c r="U127" s="2410"/>
      <c r="V127" s="2209"/>
    </row>
    <row r="128" spans="2:23" s="2185" customFormat="1" ht="17.25" thickBot="1" x14ac:dyDescent="0.35">
      <c r="B128" s="2372"/>
      <c r="C128" s="2416" t="str">
        <f>'[61]RAB (2)'!D44</f>
        <v xml:space="preserve">Beton mutu f'c=26,4 Mpa </v>
      </c>
      <c r="D128" s="2372"/>
      <c r="E128" s="2417"/>
      <c r="F128" s="2418"/>
      <c r="G128" s="2417"/>
      <c r="H128" s="2418"/>
      <c r="I128" s="2417"/>
      <c r="J128" s="2418"/>
      <c r="K128" s="2417"/>
      <c r="L128" s="2418"/>
      <c r="M128" s="2418"/>
      <c r="N128" s="2418"/>
      <c r="O128" s="2417"/>
      <c r="P128" s="2418"/>
      <c r="Q128" s="2417"/>
      <c r="R128" s="2418"/>
      <c r="S128" s="2419"/>
      <c r="T128" s="2330"/>
      <c r="U128" s="2410" t="s">
        <v>3</v>
      </c>
      <c r="V128" s="2209"/>
    </row>
    <row r="129" spans="2:23" s="2185" customFormat="1" x14ac:dyDescent="0.3">
      <c r="B129" s="2372"/>
      <c r="C129" s="2416"/>
      <c r="D129" s="2420" t="s">
        <v>95</v>
      </c>
      <c r="E129" s="2421" t="s">
        <v>150</v>
      </c>
      <c r="F129" s="2422"/>
      <c r="G129" s="2421" t="s">
        <v>151</v>
      </c>
      <c r="H129" s="2422"/>
      <c r="I129" s="2421" t="s">
        <v>152</v>
      </c>
      <c r="J129" s="2422"/>
      <c r="K129" s="2421" t="s">
        <v>153</v>
      </c>
      <c r="L129" s="2423"/>
      <c r="M129" s="2423" t="s">
        <v>32</v>
      </c>
      <c r="N129" s="2423"/>
      <c r="O129" s="2424" t="s">
        <v>163</v>
      </c>
      <c r="P129" s="2423"/>
      <c r="Q129" s="2424" t="s">
        <v>151</v>
      </c>
      <c r="R129" s="2423"/>
      <c r="S129" s="2425" t="s">
        <v>143</v>
      </c>
      <c r="T129" s="2426"/>
      <c r="U129" s="2410"/>
      <c r="V129" s="2209"/>
    </row>
    <row r="130" spans="2:23" s="2185" customFormat="1" x14ac:dyDescent="0.3">
      <c r="B130" s="2372"/>
      <c r="C130" s="2416"/>
      <c r="D130" s="2427" t="s">
        <v>708</v>
      </c>
      <c r="E130" s="2428">
        <v>1.8</v>
      </c>
      <c r="F130" s="2428" t="s">
        <v>185</v>
      </c>
      <c r="G130" s="2428">
        <v>0.9</v>
      </c>
      <c r="H130" s="2428" t="s">
        <v>185</v>
      </c>
      <c r="I130" s="2428">
        <v>0.6</v>
      </c>
      <c r="J130" s="2429" t="s">
        <v>185</v>
      </c>
      <c r="K130" s="2333">
        <f>K27</f>
        <v>3</v>
      </c>
      <c r="L130" s="2502"/>
      <c r="M130" s="2502"/>
      <c r="N130" s="2502"/>
      <c r="O130" s="2428"/>
      <c r="P130" s="2502"/>
      <c r="Q130" s="2428"/>
      <c r="R130" s="2429" t="s">
        <v>114</v>
      </c>
      <c r="S130" s="2430">
        <f>K130*I130*G130*E130</f>
        <v>2.9159999999999999</v>
      </c>
      <c r="T130" s="2426"/>
      <c r="U130" s="2410"/>
      <c r="V130" s="2209"/>
    </row>
    <row r="131" spans="2:23" s="2185" customFormat="1" x14ac:dyDescent="0.3">
      <c r="B131" s="2372"/>
      <c r="C131" s="2416"/>
      <c r="D131" s="2503" t="s">
        <v>244</v>
      </c>
      <c r="E131" s="2440"/>
      <c r="F131" s="2441"/>
      <c r="G131" s="2440"/>
      <c r="H131" s="2441"/>
      <c r="I131" s="2440"/>
      <c r="J131" s="2441"/>
      <c r="K131" s="2440"/>
      <c r="L131" s="2504"/>
      <c r="M131" s="2504"/>
      <c r="N131" s="2504"/>
      <c r="O131" s="2440"/>
      <c r="P131" s="2504"/>
      <c r="Q131" s="2440"/>
      <c r="R131" s="2441"/>
      <c r="S131" s="2443"/>
      <c r="T131" s="2426"/>
      <c r="U131" s="2410"/>
      <c r="V131" s="2209"/>
    </row>
    <row r="132" spans="2:23" s="2185" customFormat="1" x14ac:dyDescent="0.3">
      <c r="B132" s="2372"/>
      <c r="C132" s="2416"/>
      <c r="D132" s="2505" t="s">
        <v>254</v>
      </c>
      <c r="E132" s="2440"/>
      <c r="F132" s="2441"/>
      <c r="G132" s="2440"/>
      <c r="H132" s="2441"/>
      <c r="I132" s="2440"/>
      <c r="J132" s="2441"/>
      <c r="K132" s="2526">
        <f>S141</f>
        <v>412.16971808571441</v>
      </c>
      <c r="L132" s="2506" t="s">
        <v>253</v>
      </c>
      <c r="M132" s="2504"/>
      <c r="N132" s="2504"/>
      <c r="O132" s="2440">
        <f>O138</f>
        <v>7850</v>
      </c>
      <c r="P132" s="2504"/>
      <c r="Q132" s="2440"/>
      <c r="R132" s="2441" t="s">
        <v>149</v>
      </c>
      <c r="S132" s="2443">
        <f>K132/O132</f>
        <v>5.2505696571428589E-2</v>
      </c>
      <c r="T132" s="2426"/>
      <c r="U132" s="2410"/>
      <c r="V132" s="2209"/>
    </row>
    <row r="133" spans="2:23" s="2185" customFormat="1" x14ac:dyDescent="0.3">
      <c r="B133" s="2372"/>
      <c r="C133" s="2416"/>
      <c r="D133" s="2507"/>
      <c r="E133" s="2492"/>
      <c r="F133" s="2508"/>
      <c r="G133" s="2492"/>
      <c r="H133" s="2508"/>
      <c r="I133" s="2492"/>
      <c r="J133" s="2508"/>
      <c r="K133" s="2492"/>
      <c r="L133" s="2509"/>
      <c r="M133" s="2509"/>
      <c r="N133" s="2509"/>
      <c r="O133" s="2492"/>
      <c r="P133" s="2509"/>
      <c r="Q133" s="2492"/>
      <c r="R133" s="2508"/>
      <c r="S133" s="2510"/>
      <c r="T133" s="2426"/>
      <c r="U133" s="2410"/>
      <c r="V133" s="2209"/>
    </row>
    <row r="134" spans="2:23" s="2185" customFormat="1" ht="17.25" thickBot="1" x14ac:dyDescent="0.35">
      <c r="B134" s="2372"/>
      <c r="C134" s="2416"/>
      <c r="D134" s="3129" t="s">
        <v>164</v>
      </c>
      <c r="E134" s="3130"/>
      <c r="F134" s="3130"/>
      <c r="G134" s="3130"/>
      <c r="H134" s="3130"/>
      <c r="I134" s="3131"/>
      <c r="J134" s="2511"/>
      <c r="K134" s="2481"/>
      <c r="L134" s="2483"/>
      <c r="M134" s="2483"/>
      <c r="N134" s="2483"/>
      <c r="O134" s="2481"/>
      <c r="P134" s="2483"/>
      <c r="Q134" s="2481"/>
      <c r="R134" s="2483"/>
      <c r="S134" s="2512">
        <f>S130-S132</f>
        <v>2.8634943034285714</v>
      </c>
      <c r="T134" s="2426"/>
      <c r="U134" s="2410"/>
      <c r="V134" s="2209"/>
    </row>
    <row r="135" spans="2:23" s="2185" customFormat="1" x14ac:dyDescent="0.3">
      <c r="B135" s="2372"/>
      <c r="C135" s="2416"/>
      <c r="D135" s="2513"/>
      <c r="E135" s="2495"/>
      <c r="F135" s="2496"/>
      <c r="G135" s="2495"/>
      <c r="H135" s="2496"/>
      <c r="I135" s="2495"/>
      <c r="J135" s="2496"/>
      <c r="K135" s="2495"/>
      <c r="L135" s="2496"/>
      <c r="M135" s="2496"/>
      <c r="N135" s="2496"/>
      <c r="O135" s="2495"/>
      <c r="P135" s="2496"/>
      <c r="Q135" s="2495"/>
      <c r="R135" s="2496"/>
      <c r="S135" s="2514"/>
      <c r="T135" s="2356"/>
      <c r="U135" s="2410"/>
      <c r="V135" s="2209"/>
    </row>
    <row r="136" spans="2:23" s="2185" customFormat="1" ht="17.25" thickBot="1" x14ac:dyDescent="0.35">
      <c r="B136" s="2372"/>
      <c r="C136" s="2416" t="str">
        <f>'[61]RAB (2)'!D45</f>
        <v>Pembesian Ulir</v>
      </c>
      <c r="D136" s="2372"/>
      <c r="E136" s="2417"/>
      <c r="F136" s="2418"/>
      <c r="G136" s="2417"/>
      <c r="H136" s="2418"/>
      <c r="I136" s="2417"/>
      <c r="J136" s="2418"/>
      <c r="K136" s="2417"/>
      <c r="L136" s="2418"/>
      <c r="M136" s="2418"/>
      <c r="N136" s="2418"/>
      <c r="O136" s="2417"/>
      <c r="P136" s="2418"/>
      <c r="Q136" s="2417"/>
      <c r="R136" s="2418"/>
      <c r="S136" s="2419"/>
      <c r="T136" s="2330"/>
      <c r="U136" s="2410" t="s">
        <v>0</v>
      </c>
      <c r="V136" s="2209"/>
    </row>
    <row r="137" spans="2:23" s="2185" customFormat="1" x14ac:dyDescent="0.3">
      <c r="B137" s="2372"/>
      <c r="C137" s="2416"/>
      <c r="D137" s="2420" t="s">
        <v>95</v>
      </c>
      <c r="E137" s="2421" t="s">
        <v>150</v>
      </c>
      <c r="F137" s="2422"/>
      <c r="G137" s="2421" t="s">
        <v>151</v>
      </c>
      <c r="H137" s="2422"/>
      <c r="I137" s="2421" t="s">
        <v>152</v>
      </c>
      <c r="J137" s="2422"/>
      <c r="K137" s="2421" t="s">
        <v>153</v>
      </c>
      <c r="L137" s="2422"/>
      <c r="M137" s="2422" t="s">
        <v>32</v>
      </c>
      <c r="N137" s="2422"/>
      <c r="O137" s="2421" t="s">
        <v>163</v>
      </c>
      <c r="P137" s="2422"/>
      <c r="Q137" s="2421" t="s">
        <v>151</v>
      </c>
      <c r="R137" s="2423"/>
      <c r="S137" s="2425" t="s">
        <v>143</v>
      </c>
      <c r="T137" s="2356"/>
      <c r="U137" s="2410"/>
      <c r="V137" s="2209"/>
    </row>
    <row r="138" spans="2:23" s="2185" customFormat="1" x14ac:dyDescent="0.3">
      <c r="B138" s="2372"/>
      <c r="C138" s="2416"/>
      <c r="D138" s="2458" t="s">
        <v>613</v>
      </c>
      <c r="E138" s="2440">
        <f>(1.7+0.5)*2+2*(6*0.019)</f>
        <v>4.6280000000000001</v>
      </c>
      <c r="F138" s="2441" t="s">
        <v>185</v>
      </c>
      <c r="G138" s="2440"/>
      <c r="H138" s="2504"/>
      <c r="I138" s="2440"/>
      <c r="J138" s="2504"/>
      <c r="K138" s="2440">
        <v>6</v>
      </c>
      <c r="L138" s="2441" t="s">
        <v>185</v>
      </c>
      <c r="M138" s="2504">
        <f>K130</f>
        <v>3</v>
      </c>
      <c r="N138" s="2441" t="s">
        <v>185</v>
      </c>
      <c r="O138" s="2440">
        <v>7850</v>
      </c>
      <c r="P138" s="2441" t="s">
        <v>185</v>
      </c>
      <c r="Q138" s="2515">
        <f>22/7*0.0095*0.0095</f>
        <v>2.8364285714285714E-4</v>
      </c>
      <c r="R138" s="2441" t="s">
        <v>114</v>
      </c>
      <c r="S138" s="2516">
        <f>Q138*O138*M138*K138*E138</f>
        <v>185.48438888571431</v>
      </c>
      <c r="T138" s="2356"/>
      <c r="U138" s="2410"/>
      <c r="V138" s="2209">
        <f>0.8/0.23</f>
        <v>3.4782608695652173</v>
      </c>
    </row>
    <row r="139" spans="2:23" s="2185" customFormat="1" x14ac:dyDescent="0.3">
      <c r="B139" s="2372"/>
      <c r="C139" s="2416"/>
      <c r="D139" s="2458" t="s">
        <v>614</v>
      </c>
      <c r="E139" s="2440">
        <f>(0.8+0.5)*2+2*(6*0.019)</f>
        <v>2.8280000000000003</v>
      </c>
      <c r="F139" s="2441" t="s">
        <v>185</v>
      </c>
      <c r="G139" s="2440"/>
      <c r="H139" s="2504"/>
      <c r="I139" s="2440"/>
      <c r="J139" s="2504"/>
      <c r="K139" s="2440">
        <v>12</v>
      </c>
      <c r="L139" s="2441" t="s">
        <v>185</v>
      </c>
      <c r="M139" s="2504">
        <f>M138</f>
        <v>3</v>
      </c>
      <c r="N139" s="2441" t="s">
        <v>185</v>
      </c>
      <c r="O139" s="2440">
        <v>7850</v>
      </c>
      <c r="P139" s="2441" t="s">
        <v>185</v>
      </c>
      <c r="Q139" s="2515">
        <f>22/7*0.0095*0.0095</f>
        <v>2.8364285714285714E-4</v>
      </c>
      <c r="R139" s="2441" t="s">
        <v>114</v>
      </c>
      <c r="S139" s="2516">
        <f>Q139*O139*M139*K139*E139</f>
        <v>226.68532920000007</v>
      </c>
      <c r="T139" s="2356"/>
      <c r="U139" s="2410"/>
      <c r="V139" s="2209">
        <f>1.7/0.23</f>
        <v>7.391304347826086</v>
      </c>
      <c r="W139" s="2185">
        <f>1.7/0.15+1</f>
        <v>12.333333333333334</v>
      </c>
    </row>
    <row r="140" spans="2:23" s="2185" customFormat="1" x14ac:dyDescent="0.3">
      <c r="B140" s="2372"/>
      <c r="C140" s="2416"/>
      <c r="D140" s="2517"/>
      <c r="E140" s="2492"/>
      <c r="F140" s="2509"/>
      <c r="G140" s="2492"/>
      <c r="H140" s="2509"/>
      <c r="I140" s="2492"/>
      <c r="J140" s="2509"/>
      <c r="K140" s="2492"/>
      <c r="L140" s="2509"/>
      <c r="M140" s="2509"/>
      <c r="N140" s="2509"/>
      <c r="O140" s="2492"/>
      <c r="P140" s="2509"/>
      <c r="Q140" s="2492"/>
      <c r="R140" s="2509"/>
      <c r="S140" s="2518"/>
      <c r="T140" s="2356"/>
      <c r="U140" s="2410"/>
      <c r="V140" s="2209"/>
    </row>
    <row r="141" spans="2:23" s="2185" customFormat="1" ht="17.25" thickBot="1" x14ac:dyDescent="0.35">
      <c r="B141" s="2372"/>
      <c r="C141" s="2416"/>
      <c r="D141" s="3129" t="s">
        <v>164</v>
      </c>
      <c r="E141" s="3130"/>
      <c r="F141" s="3130"/>
      <c r="G141" s="3130"/>
      <c r="H141" s="3130"/>
      <c r="I141" s="3131"/>
      <c r="J141" s="2519"/>
      <c r="K141" s="2481"/>
      <c r="L141" s="2483"/>
      <c r="M141" s="2483"/>
      <c r="N141" s="2483"/>
      <c r="O141" s="2481"/>
      <c r="P141" s="2483"/>
      <c r="Q141" s="2481"/>
      <c r="R141" s="2483"/>
      <c r="S141" s="2331">
        <f>SUM(S138:S139)</f>
        <v>412.16971808571441</v>
      </c>
      <c r="T141" s="2356"/>
      <c r="U141" s="2410"/>
      <c r="V141" s="2209"/>
    </row>
    <row r="142" spans="2:23" s="2185" customFormat="1" x14ac:dyDescent="0.3">
      <c r="B142" s="2372"/>
      <c r="C142" s="2416"/>
      <c r="D142" s="2520"/>
      <c r="E142" s="2495"/>
      <c r="F142" s="2521"/>
      <c r="G142" s="2495"/>
      <c r="H142" s="2521"/>
      <c r="I142" s="2495"/>
      <c r="J142" s="2521"/>
      <c r="K142" s="2495"/>
      <c r="L142" s="2496"/>
      <c r="M142" s="2496"/>
      <c r="N142" s="2496"/>
      <c r="O142" s="2495"/>
      <c r="P142" s="2496"/>
      <c r="Q142" s="2495"/>
      <c r="R142" s="2496"/>
      <c r="S142" s="2497"/>
      <c r="T142" s="2356"/>
      <c r="U142" s="2410"/>
      <c r="V142" s="2209"/>
    </row>
    <row r="143" spans="2:23" s="2185" customFormat="1" ht="17.25" thickBot="1" x14ac:dyDescent="0.35">
      <c r="B143" s="2372"/>
      <c r="C143" s="2416" t="str">
        <f>'[61]RAB (2)'!D46</f>
        <v>Bekisting Pondasi</v>
      </c>
      <c r="D143" s="2520"/>
      <c r="E143" s="2495"/>
      <c r="F143" s="2521"/>
      <c r="G143" s="2495"/>
      <c r="H143" s="2521"/>
      <c r="I143" s="2495"/>
      <c r="J143" s="2521"/>
      <c r="K143" s="2495"/>
      <c r="L143" s="2496"/>
      <c r="M143" s="2496"/>
      <c r="N143" s="2496"/>
      <c r="O143" s="2495"/>
      <c r="P143" s="2496"/>
      <c r="Q143" s="2495"/>
      <c r="R143" s="2496"/>
      <c r="S143" s="2497"/>
      <c r="T143" s="2330"/>
      <c r="U143" s="2410" t="s">
        <v>2</v>
      </c>
      <c r="V143" s="2209"/>
    </row>
    <row r="144" spans="2:23" s="2185" customFormat="1" x14ac:dyDescent="0.3">
      <c r="B144" s="2372"/>
      <c r="C144" s="2416"/>
      <c r="D144" s="2420" t="s">
        <v>95</v>
      </c>
      <c r="E144" s="2421" t="s">
        <v>150</v>
      </c>
      <c r="F144" s="2422"/>
      <c r="G144" s="2421" t="s">
        <v>151</v>
      </c>
      <c r="H144" s="2422"/>
      <c r="I144" s="2421" t="s">
        <v>152</v>
      </c>
      <c r="J144" s="2422"/>
      <c r="K144" s="2421" t="s">
        <v>153</v>
      </c>
      <c r="L144" s="2422"/>
      <c r="M144" s="2422" t="s">
        <v>32</v>
      </c>
      <c r="N144" s="2422"/>
      <c r="O144" s="2421" t="s">
        <v>163</v>
      </c>
      <c r="P144" s="2422"/>
      <c r="Q144" s="2421" t="s">
        <v>151</v>
      </c>
      <c r="R144" s="2423"/>
      <c r="S144" s="2425" t="s">
        <v>143</v>
      </c>
      <c r="T144" s="2356"/>
      <c r="U144" s="2410"/>
      <c r="V144" s="2209"/>
    </row>
    <row r="145" spans="2:25" s="2185" customFormat="1" x14ac:dyDescent="0.3">
      <c r="B145" s="2372"/>
      <c r="C145" s="2416"/>
      <c r="D145" s="2522" t="s">
        <v>235</v>
      </c>
      <c r="E145" s="2428">
        <f>2*(E130+G130)</f>
        <v>5.4</v>
      </c>
      <c r="F145" s="2429" t="s">
        <v>185</v>
      </c>
      <c r="G145" s="2428"/>
      <c r="H145" s="2429"/>
      <c r="I145" s="2428">
        <f>I130</f>
        <v>0.6</v>
      </c>
      <c r="J145" s="2429" t="s">
        <v>185</v>
      </c>
      <c r="K145" s="2428"/>
      <c r="L145" s="2429"/>
      <c r="M145" s="2502">
        <f>K130</f>
        <v>3</v>
      </c>
      <c r="N145" s="2429"/>
      <c r="O145" s="2428"/>
      <c r="P145" s="2429" t="s">
        <v>114</v>
      </c>
      <c r="Q145" s="2428">
        <f>M145*I145*E145</f>
        <v>9.7199999999999989</v>
      </c>
      <c r="R145" s="2429"/>
      <c r="S145" s="2523"/>
      <c r="T145" s="2356"/>
      <c r="U145" s="2410"/>
      <c r="V145" s="2209"/>
    </row>
    <row r="146" spans="2:25" s="2185" customFormat="1" x14ac:dyDescent="0.3">
      <c r="B146" s="2372"/>
      <c r="C146" s="2416"/>
      <c r="D146" s="2517"/>
      <c r="E146" s="2492"/>
      <c r="F146" s="2509"/>
      <c r="G146" s="2492"/>
      <c r="H146" s="2509"/>
      <c r="I146" s="2492"/>
      <c r="J146" s="2509"/>
      <c r="K146" s="2492"/>
      <c r="L146" s="2509"/>
      <c r="M146" s="2509"/>
      <c r="N146" s="2509"/>
      <c r="O146" s="2492"/>
      <c r="P146" s="2509"/>
      <c r="Q146" s="2492"/>
      <c r="R146" s="2509"/>
      <c r="S146" s="2518"/>
      <c r="T146" s="2356"/>
      <c r="U146" s="2410"/>
      <c r="V146" s="2209"/>
    </row>
    <row r="147" spans="2:25" s="2185" customFormat="1" ht="17.25" thickBot="1" x14ac:dyDescent="0.35">
      <c r="B147" s="2372"/>
      <c r="C147" s="2416"/>
      <c r="D147" s="3129" t="s">
        <v>164</v>
      </c>
      <c r="E147" s="3130"/>
      <c r="F147" s="3130"/>
      <c r="G147" s="3130"/>
      <c r="H147" s="3130"/>
      <c r="I147" s="3131"/>
      <c r="J147" s="2519"/>
      <c r="K147" s="2481"/>
      <c r="L147" s="2483"/>
      <c r="M147" s="2483"/>
      <c r="N147" s="2483"/>
      <c r="O147" s="2481"/>
      <c r="P147" s="2483"/>
      <c r="Q147" s="2481">
        <f>Q145</f>
        <v>9.7199999999999989</v>
      </c>
      <c r="R147" s="2483"/>
      <c r="S147" s="2331"/>
      <c r="T147" s="2356"/>
      <c r="U147" s="2410"/>
      <c r="V147" s="2209"/>
    </row>
    <row r="148" spans="2:25" x14ac:dyDescent="0.3">
      <c r="B148" s="2527"/>
      <c r="C148" s="2528"/>
      <c r="D148" s="2463"/>
      <c r="E148" s="2467"/>
      <c r="F148" s="2467"/>
      <c r="G148" s="2467"/>
      <c r="H148" s="2467"/>
      <c r="I148" s="2467"/>
      <c r="J148" s="2467"/>
      <c r="K148" s="2406"/>
      <c r="L148" s="2407"/>
      <c r="M148" s="2407"/>
      <c r="N148" s="2407"/>
      <c r="O148" s="2406"/>
      <c r="P148" s="2407"/>
      <c r="Q148" s="2406"/>
      <c r="R148" s="2407"/>
      <c r="S148" s="2464"/>
      <c r="T148" s="2370"/>
      <c r="U148" s="2371"/>
    </row>
    <row r="149" spans="2:25" s="2186" customFormat="1" x14ac:dyDescent="0.3">
      <c r="B149" s="1207">
        <f>'[61]RAB (2)'!B47</f>
        <v>4</v>
      </c>
      <c r="C149" s="2529" t="str">
        <f>'[61]RAB (2)'!C47</f>
        <v>Sloof 20x40 Cm (S1)</v>
      </c>
      <c r="D149" s="2530"/>
      <c r="E149" s="2531"/>
      <c r="F149" s="2531"/>
      <c r="G149" s="2531"/>
      <c r="H149" s="2531"/>
      <c r="I149" s="2531"/>
      <c r="J149" s="2531"/>
      <c r="K149" s="2397"/>
      <c r="L149" s="2398"/>
      <c r="M149" s="2398"/>
      <c r="N149" s="2398"/>
      <c r="O149" s="2397"/>
      <c r="P149" s="2398"/>
      <c r="Q149" s="2397"/>
      <c r="R149" s="2398"/>
      <c r="S149" s="2532"/>
      <c r="T149" s="2362"/>
      <c r="U149" s="2363"/>
      <c r="V149" s="2192"/>
    </row>
    <row r="150" spans="2:25" s="2186" customFormat="1" ht="17.25" thickBot="1" x14ac:dyDescent="0.35">
      <c r="B150" s="1207"/>
      <c r="C150" s="2529" t="str">
        <f>'[61]RAB (2)'!D48</f>
        <v xml:space="preserve">Beton mutu f'c=26,4 Mpa </v>
      </c>
      <c r="D150" s="2530"/>
      <c r="E150" s="2531"/>
      <c r="F150" s="2531"/>
      <c r="G150" s="2531"/>
      <c r="H150" s="2531"/>
      <c r="I150" s="2531"/>
      <c r="J150" s="2531"/>
      <c r="K150" s="2397"/>
      <c r="L150" s="2398"/>
      <c r="M150" s="2398"/>
      <c r="N150" s="2398"/>
      <c r="O150" s="2397"/>
      <c r="P150" s="2398"/>
      <c r="Q150" s="2397"/>
      <c r="R150" s="2398"/>
      <c r="S150" s="2532"/>
      <c r="T150" s="2338"/>
      <c r="U150" s="2363" t="s">
        <v>3</v>
      </c>
      <c r="V150" s="2192"/>
    </row>
    <row r="151" spans="2:25" s="2186" customFormat="1" x14ac:dyDescent="0.3">
      <c r="B151" s="1207"/>
      <c r="C151" s="2529"/>
      <c r="D151" s="2375" t="s">
        <v>95</v>
      </c>
      <c r="E151" s="2376" t="s">
        <v>150</v>
      </c>
      <c r="F151" s="2377"/>
      <c r="G151" s="2376" t="s">
        <v>151</v>
      </c>
      <c r="H151" s="2377"/>
      <c r="I151" s="2376" t="s">
        <v>152</v>
      </c>
      <c r="J151" s="2377"/>
      <c r="K151" s="2376" t="s">
        <v>153</v>
      </c>
      <c r="L151" s="2378"/>
      <c r="M151" s="2378" t="s">
        <v>32</v>
      </c>
      <c r="N151" s="2378"/>
      <c r="O151" s="2379" t="s">
        <v>163</v>
      </c>
      <c r="P151" s="2378"/>
      <c r="Q151" s="2379" t="s">
        <v>151</v>
      </c>
      <c r="R151" s="2378"/>
      <c r="S151" s="2380" t="s">
        <v>143</v>
      </c>
      <c r="T151" s="2362"/>
      <c r="U151" s="2363"/>
      <c r="V151" s="2192"/>
    </row>
    <row r="152" spans="2:25" s="2186" customFormat="1" x14ac:dyDescent="0.3">
      <c r="B152" s="1207"/>
      <c r="C152" s="2529"/>
      <c r="D152" s="2533" t="s">
        <v>259</v>
      </c>
      <c r="E152" s="2342">
        <f>16-(0.4*4)</f>
        <v>14.4</v>
      </c>
      <c r="F152" s="2534" t="s">
        <v>185</v>
      </c>
      <c r="G152" s="2342">
        <v>0.2</v>
      </c>
      <c r="H152" s="2534" t="s">
        <v>185</v>
      </c>
      <c r="I152" s="2342">
        <v>0.4</v>
      </c>
      <c r="J152" s="2534"/>
      <c r="K152" s="2342">
        <v>2</v>
      </c>
      <c r="L152" s="2535"/>
      <c r="M152" s="2342"/>
      <c r="N152" s="2535"/>
      <c r="O152" s="2535"/>
      <c r="P152" s="2535"/>
      <c r="Q152" s="2535"/>
      <c r="R152" s="2534" t="s">
        <v>114</v>
      </c>
      <c r="S152" s="2536">
        <f>E152*G152*I152*K152</f>
        <v>2.3040000000000003</v>
      </c>
      <c r="T152" s="2537"/>
      <c r="U152" s="2363"/>
      <c r="V152" s="2192"/>
    </row>
    <row r="153" spans="2:25" s="2186" customFormat="1" x14ac:dyDescent="0.3">
      <c r="B153" s="2372"/>
      <c r="C153" s="2373"/>
      <c r="D153" s="2538" t="s">
        <v>260</v>
      </c>
      <c r="E153" s="2337">
        <f>8-(0.4*2)</f>
        <v>7.2</v>
      </c>
      <c r="F153" s="2454" t="s">
        <v>185</v>
      </c>
      <c r="G153" s="2337">
        <v>0.2</v>
      </c>
      <c r="H153" s="2454" t="s">
        <v>185</v>
      </c>
      <c r="I153" s="2337">
        <v>0.4</v>
      </c>
      <c r="J153" s="2454"/>
      <c r="K153" s="2337">
        <v>5</v>
      </c>
      <c r="L153" s="2539"/>
      <c r="M153" s="2337"/>
      <c r="N153" s="2539"/>
      <c r="O153" s="2539"/>
      <c r="P153" s="2539"/>
      <c r="Q153" s="2539"/>
      <c r="R153" s="2454" t="s">
        <v>114</v>
      </c>
      <c r="S153" s="2455">
        <f>E153*G153*I153*K153</f>
        <v>2.8800000000000003</v>
      </c>
      <c r="T153" s="2381"/>
      <c r="U153" s="2363"/>
      <c r="V153" s="2192"/>
    </row>
    <row r="154" spans="2:25" s="2186" customFormat="1" x14ac:dyDescent="0.3">
      <c r="B154" s="1207"/>
      <c r="C154" s="2529"/>
      <c r="D154" s="2446" t="s">
        <v>244</v>
      </c>
      <c r="E154" s="2337"/>
      <c r="F154" s="2454"/>
      <c r="G154" s="2337"/>
      <c r="H154" s="2454"/>
      <c r="I154" s="2337"/>
      <c r="J154" s="2454"/>
      <c r="K154" s="2337"/>
      <c r="L154" s="2337"/>
      <c r="M154" s="2337"/>
      <c r="N154" s="2337"/>
      <c r="O154" s="2337"/>
      <c r="P154" s="2454"/>
      <c r="Q154" s="2337"/>
      <c r="R154" s="2454"/>
      <c r="S154" s="2540"/>
      <c r="T154" s="2362"/>
      <c r="U154" s="2363"/>
      <c r="V154" s="2192"/>
    </row>
    <row r="155" spans="2:25" s="2186" customFormat="1" x14ac:dyDescent="0.3">
      <c r="B155" s="1207"/>
      <c r="C155" s="2529"/>
      <c r="D155" s="2431" t="s">
        <v>733</v>
      </c>
      <c r="E155" s="2332"/>
      <c r="F155" s="2335"/>
      <c r="G155" s="2332"/>
      <c r="H155" s="2335"/>
      <c r="I155" s="2332"/>
      <c r="J155" s="2335"/>
      <c r="K155" s="2332">
        <f>S169</f>
        <v>1132.3119908571427</v>
      </c>
      <c r="L155" s="2335" t="s">
        <v>253</v>
      </c>
      <c r="M155" s="2332"/>
      <c r="N155" s="2332"/>
      <c r="O155" s="2339">
        <f>O163</f>
        <v>7850</v>
      </c>
      <c r="P155" s="2332"/>
      <c r="Q155" s="2332"/>
      <c r="R155" s="2454" t="s">
        <v>114</v>
      </c>
      <c r="S155" s="2432">
        <f>K155/O155</f>
        <v>0.1442435657142857</v>
      </c>
      <c r="T155" s="2362"/>
      <c r="U155" s="2363"/>
      <c r="V155" s="2192"/>
    </row>
    <row r="156" spans="2:25" s="2186" customFormat="1" ht="15.75" customHeight="1" x14ac:dyDescent="0.3">
      <c r="B156" s="1207"/>
      <c r="C156" s="2529"/>
      <c r="D156" s="2431" t="s">
        <v>734</v>
      </c>
      <c r="E156" s="2332"/>
      <c r="F156" s="2335"/>
      <c r="G156" s="2332"/>
      <c r="H156" s="2335"/>
      <c r="I156" s="2332"/>
      <c r="J156" s="2335"/>
      <c r="K156" s="2332">
        <f>S176</f>
        <v>323.73848571428573</v>
      </c>
      <c r="L156" s="2335" t="s">
        <v>253</v>
      </c>
      <c r="M156" s="2332"/>
      <c r="N156" s="2332"/>
      <c r="O156" s="2339">
        <f>O155</f>
        <v>7850</v>
      </c>
      <c r="P156" s="2332"/>
      <c r="Q156" s="2332"/>
      <c r="R156" s="2454" t="s">
        <v>114</v>
      </c>
      <c r="S156" s="2432">
        <f>K156/O156</f>
        <v>4.1240571428571432E-2</v>
      </c>
      <c r="T156" s="2362"/>
      <c r="U156" s="2363"/>
      <c r="V156" s="2192"/>
    </row>
    <row r="157" spans="2:25" s="2186" customFormat="1" x14ac:dyDescent="0.3">
      <c r="B157" s="1207"/>
      <c r="C157" s="2529"/>
      <c r="D157" s="2541"/>
      <c r="E157" s="2434"/>
      <c r="F157" s="2434"/>
      <c r="G157" s="2434"/>
      <c r="H157" s="2434"/>
      <c r="I157" s="2434"/>
      <c r="J157" s="2434"/>
      <c r="K157" s="2434"/>
      <c r="L157" s="2434"/>
      <c r="M157" s="2434"/>
      <c r="N157" s="2434"/>
      <c r="O157" s="2434"/>
      <c r="P157" s="2434"/>
      <c r="Q157" s="2434"/>
      <c r="R157" s="2434"/>
      <c r="S157" s="2542"/>
      <c r="T157" s="2362"/>
      <c r="U157" s="2363"/>
      <c r="V157" s="2192"/>
    </row>
    <row r="158" spans="2:25" s="2186" customFormat="1" ht="17.25" thickBot="1" x14ac:dyDescent="0.35">
      <c r="B158" s="1207"/>
      <c r="C158" s="2529"/>
      <c r="D158" s="3117" t="s">
        <v>164</v>
      </c>
      <c r="E158" s="3118"/>
      <c r="F158" s="3118"/>
      <c r="G158" s="3118"/>
      <c r="H158" s="3118"/>
      <c r="I158" s="3119"/>
      <c r="J158" s="2462"/>
      <c r="K158" s="2392"/>
      <c r="L158" s="2394"/>
      <c r="M158" s="2394"/>
      <c r="N158" s="2394"/>
      <c r="O158" s="2392"/>
      <c r="P158" s="2394"/>
      <c r="Q158" s="2392"/>
      <c r="R158" s="2394"/>
      <c r="S158" s="2336">
        <f>SUM(S152:S157)</f>
        <v>5.3694841371428579</v>
      </c>
      <c r="T158" s="2362"/>
      <c r="U158" s="2363"/>
      <c r="V158" s="2192"/>
    </row>
    <row r="159" spans="2:25" s="2186" customFormat="1" x14ac:dyDescent="0.3">
      <c r="B159" s="1207"/>
      <c r="C159" s="2529"/>
      <c r="D159" s="2530"/>
      <c r="E159" s="2531"/>
      <c r="F159" s="2531"/>
      <c r="G159" s="2531"/>
      <c r="H159" s="2531"/>
      <c r="I159" s="2531"/>
      <c r="J159" s="2531"/>
      <c r="K159" s="2397"/>
      <c r="L159" s="2398"/>
      <c r="M159" s="2398"/>
      <c r="N159" s="2398"/>
      <c r="O159" s="2397"/>
      <c r="P159" s="2398"/>
      <c r="Q159" s="2397"/>
      <c r="R159" s="2398"/>
      <c r="S159" s="2532"/>
      <c r="T159" s="2362"/>
      <c r="U159" s="2363"/>
      <c r="V159" s="2216"/>
      <c r="W159" s="2217"/>
      <c r="X159" s="2217"/>
      <c r="Y159" s="2217"/>
    </row>
    <row r="160" spans="2:25" s="2186" customFormat="1" ht="17.25" thickBot="1" x14ac:dyDescent="0.35">
      <c r="B160" s="1207"/>
      <c r="C160" s="2529" t="str">
        <f>'[61]RAB (2)'!D49</f>
        <v>Pembesian Ulir</v>
      </c>
      <c r="D160" s="2530"/>
      <c r="E160" s="2531"/>
      <c r="F160" s="2531"/>
      <c r="G160" s="2531"/>
      <c r="H160" s="2531"/>
      <c r="I160" s="2531"/>
      <c r="J160" s="2531"/>
      <c r="K160" s="2397"/>
      <c r="L160" s="2398"/>
      <c r="M160" s="2398"/>
      <c r="N160" s="2398"/>
      <c r="O160" s="2397"/>
      <c r="P160" s="2398"/>
      <c r="Q160" s="2397"/>
      <c r="R160" s="2398"/>
      <c r="S160" s="2532"/>
      <c r="T160" s="2338"/>
      <c r="U160" s="2363" t="s">
        <v>0</v>
      </c>
      <c r="V160" s="2216"/>
      <c r="W160" s="2218"/>
      <c r="X160" s="2217"/>
      <c r="Y160" s="2217"/>
    </row>
    <row r="161" spans="2:25" s="2186" customFormat="1" x14ac:dyDescent="0.3">
      <c r="B161" s="1207"/>
      <c r="C161" s="2529"/>
      <c r="D161" s="2375" t="s">
        <v>95</v>
      </c>
      <c r="E161" s="2376" t="s">
        <v>150</v>
      </c>
      <c r="F161" s="2377"/>
      <c r="G161" s="2376" t="s">
        <v>151</v>
      </c>
      <c r="H161" s="2377"/>
      <c r="I161" s="2376" t="s">
        <v>152</v>
      </c>
      <c r="J161" s="2377"/>
      <c r="K161" s="2376" t="s">
        <v>153</v>
      </c>
      <c r="L161" s="2378"/>
      <c r="M161" s="2378" t="s">
        <v>32</v>
      </c>
      <c r="N161" s="2378"/>
      <c r="O161" s="2379" t="s">
        <v>163</v>
      </c>
      <c r="P161" s="2378"/>
      <c r="Q161" s="2379" t="s">
        <v>151</v>
      </c>
      <c r="R161" s="2378"/>
      <c r="S161" s="2380" t="s">
        <v>143</v>
      </c>
      <c r="T161" s="2362"/>
      <c r="U161" s="2363"/>
      <c r="V161" s="2216"/>
      <c r="W161" s="2217"/>
      <c r="X161" s="2217"/>
      <c r="Y161" s="2217"/>
    </row>
    <row r="162" spans="2:25" s="2186" customFormat="1" x14ac:dyDescent="0.3">
      <c r="B162" s="1207"/>
      <c r="C162" s="2529"/>
      <c r="D162" s="2543" t="s">
        <v>156</v>
      </c>
      <c r="E162" s="2332">
        <v>16</v>
      </c>
      <c r="F162" s="2335" t="s">
        <v>185</v>
      </c>
      <c r="G162" s="2332"/>
      <c r="H162" s="2332"/>
      <c r="I162" s="2332"/>
      <c r="J162" s="2332"/>
      <c r="K162" s="2332">
        <v>6</v>
      </c>
      <c r="L162" s="2335" t="s">
        <v>185</v>
      </c>
      <c r="M162" s="2332">
        <f>K152</f>
        <v>2</v>
      </c>
      <c r="N162" s="2335" t="s">
        <v>185</v>
      </c>
      <c r="O162" s="2339">
        <v>7850</v>
      </c>
      <c r="P162" s="2335" t="s">
        <v>185</v>
      </c>
      <c r="Q162" s="2544">
        <f>22/7*0.008*0.008</f>
        <v>2.0114285714285715E-4</v>
      </c>
      <c r="R162" s="2335" t="s">
        <v>114</v>
      </c>
      <c r="S162" s="2545">
        <f t="shared" ref="S162:S167" si="2">E162*K162*M162*O162*Q162</f>
        <v>303.16251428571428</v>
      </c>
      <c r="T162" s="2362"/>
      <c r="U162" s="2363"/>
      <c r="V162" s="2216"/>
      <c r="W162" s="2217"/>
      <c r="X162" s="2217"/>
      <c r="Y162" s="2217"/>
    </row>
    <row r="163" spans="2:25" s="2185" customFormat="1" x14ac:dyDescent="0.3">
      <c r="B163" s="1207"/>
      <c r="C163" s="2546"/>
      <c r="D163" s="2458" t="s">
        <v>1320</v>
      </c>
      <c r="E163" s="2332">
        <f>E162/2+(40*0.016*8)</f>
        <v>13.120000000000001</v>
      </c>
      <c r="F163" s="2335" t="s">
        <v>185</v>
      </c>
      <c r="G163" s="2332"/>
      <c r="H163" s="2332"/>
      <c r="I163" s="2332"/>
      <c r="J163" s="2332"/>
      <c r="K163" s="2332">
        <v>3</v>
      </c>
      <c r="L163" s="2335" t="s">
        <v>185</v>
      </c>
      <c r="M163" s="2332">
        <f>M162</f>
        <v>2</v>
      </c>
      <c r="N163" s="2335" t="s">
        <v>185</v>
      </c>
      <c r="O163" s="2339">
        <v>7850</v>
      </c>
      <c r="P163" s="2335" t="s">
        <v>185</v>
      </c>
      <c r="Q163" s="2544">
        <f>Q162</f>
        <v>2.0114285714285715E-4</v>
      </c>
      <c r="R163" s="2335" t="s">
        <v>114</v>
      </c>
      <c r="S163" s="2545">
        <f t="shared" si="2"/>
        <v>124.29663085714286</v>
      </c>
      <c r="T163" s="2356"/>
      <c r="U163" s="2410"/>
      <c r="V163" s="2209">
        <v>4</v>
      </c>
    </row>
    <row r="164" spans="2:25" s="2185" customFormat="1" x14ac:dyDescent="0.3">
      <c r="B164" s="1207"/>
      <c r="C164" s="2546"/>
      <c r="D164" s="2458" t="s">
        <v>1321</v>
      </c>
      <c r="E164" s="2332">
        <f>E162/2</f>
        <v>8</v>
      </c>
      <c r="F164" s="2335" t="s">
        <v>185</v>
      </c>
      <c r="G164" s="2332"/>
      <c r="H164" s="2332"/>
      <c r="I164" s="2332"/>
      <c r="J164" s="2332"/>
      <c r="K164" s="2332">
        <v>3</v>
      </c>
      <c r="L164" s="2335" t="s">
        <v>185</v>
      </c>
      <c r="M164" s="2332">
        <f>M162</f>
        <v>2</v>
      </c>
      <c r="N164" s="2335" t="s">
        <v>185</v>
      </c>
      <c r="O164" s="2339">
        <v>7850</v>
      </c>
      <c r="P164" s="2335" t="s">
        <v>185</v>
      </c>
      <c r="Q164" s="2544">
        <f>Q162</f>
        <v>2.0114285714285715E-4</v>
      </c>
      <c r="R164" s="2335" t="s">
        <v>114</v>
      </c>
      <c r="S164" s="2545">
        <f t="shared" si="2"/>
        <v>75.79062857142857</v>
      </c>
      <c r="T164" s="2356"/>
      <c r="U164" s="2410"/>
      <c r="V164" s="2209">
        <v>4</v>
      </c>
    </row>
    <row r="165" spans="2:25" s="2185" customFormat="1" x14ac:dyDescent="0.3">
      <c r="B165" s="1207"/>
      <c r="C165" s="2546"/>
      <c r="D165" s="2457" t="s">
        <v>157</v>
      </c>
      <c r="E165" s="2332">
        <v>8</v>
      </c>
      <c r="F165" s="2335" t="s">
        <v>185</v>
      </c>
      <c r="G165" s="2332"/>
      <c r="H165" s="2332"/>
      <c r="I165" s="2332"/>
      <c r="J165" s="2332"/>
      <c r="K165" s="2332">
        <v>6</v>
      </c>
      <c r="L165" s="2335" t="s">
        <v>185</v>
      </c>
      <c r="M165" s="2332">
        <f>K153</f>
        <v>5</v>
      </c>
      <c r="N165" s="2335" t="s">
        <v>185</v>
      </c>
      <c r="O165" s="2339">
        <v>7850</v>
      </c>
      <c r="P165" s="2335" t="s">
        <v>185</v>
      </c>
      <c r="Q165" s="2544">
        <f>Q164</f>
        <v>2.0114285714285715E-4</v>
      </c>
      <c r="R165" s="2335" t="s">
        <v>114</v>
      </c>
      <c r="S165" s="2545">
        <f t="shared" si="2"/>
        <v>378.95314285714284</v>
      </c>
      <c r="T165" s="2356"/>
      <c r="U165" s="2410"/>
      <c r="V165" s="2209"/>
    </row>
    <row r="166" spans="2:25" s="2186" customFormat="1" x14ac:dyDescent="0.3">
      <c r="B166" s="1207"/>
      <c r="C166" s="2529"/>
      <c r="D166" s="2458" t="s">
        <v>1320</v>
      </c>
      <c r="E166" s="2332">
        <f>E165/2+(40*0.016*4)</f>
        <v>6.5600000000000005</v>
      </c>
      <c r="F166" s="2335" t="s">
        <v>185</v>
      </c>
      <c r="G166" s="2332"/>
      <c r="H166" s="2332"/>
      <c r="I166" s="2332"/>
      <c r="J166" s="2332"/>
      <c r="K166" s="2332">
        <v>3</v>
      </c>
      <c r="L166" s="2335" t="s">
        <v>185</v>
      </c>
      <c r="M166" s="2332">
        <f>M165</f>
        <v>5</v>
      </c>
      <c r="N166" s="2335" t="s">
        <v>185</v>
      </c>
      <c r="O166" s="2339">
        <v>7850</v>
      </c>
      <c r="P166" s="2335" t="s">
        <v>185</v>
      </c>
      <c r="Q166" s="2544">
        <f>Q165</f>
        <v>2.0114285714285715E-4</v>
      </c>
      <c r="R166" s="2335" t="s">
        <v>114</v>
      </c>
      <c r="S166" s="2545">
        <f t="shared" si="2"/>
        <v>155.37078857142856</v>
      </c>
      <c r="T166" s="2356"/>
      <c r="U166" s="2410"/>
      <c r="V166" s="2209">
        <v>4</v>
      </c>
      <c r="W166" s="2219"/>
      <c r="X166" s="2217"/>
      <c r="Y166" s="2220"/>
    </row>
    <row r="167" spans="2:25" s="2185" customFormat="1" x14ac:dyDescent="0.3">
      <c r="B167" s="1207"/>
      <c r="C167" s="2546"/>
      <c r="D167" s="2458" t="s">
        <v>1321</v>
      </c>
      <c r="E167" s="2332">
        <f>E165/2</f>
        <v>4</v>
      </c>
      <c r="F167" s="2335" t="s">
        <v>185</v>
      </c>
      <c r="G167" s="2332"/>
      <c r="H167" s="2332"/>
      <c r="I167" s="2332"/>
      <c r="J167" s="2332"/>
      <c r="K167" s="2332">
        <v>3</v>
      </c>
      <c r="L167" s="2335" t="s">
        <v>185</v>
      </c>
      <c r="M167" s="2332">
        <f>M165</f>
        <v>5</v>
      </c>
      <c r="N167" s="2335" t="s">
        <v>185</v>
      </c>
      <c r="O167" s="2339">
        <v>7850</v>
      </c>
      <c r="P167" s="2335" t="s">
        <v>185</v>
      </c>
      <c r="Q167" s="2544">
        <f>Q165</f>
        <v>2.0114285714285715E-4</v>
      </c>
      <c r="R167" s="2335" t="s">
        <v>114</v>
      </c>
      <c r="S167" s="2545">
        <f t="shared" si="2"/>
        <v>94.738285714285709</v>
      </c>
      <c r="T167" s="2356"/>
      <c r="U167" s="2410"/>
      <c r="V167" s="2209">
        <v>4</v>
      </c>
    </row>
    <row r="168" spans="2:25" s="2186" customFormat="1" x14ac:dyDescent="0.3">
      <c r="B168" s="1207"/>
      <c r="C168" s="2529"/>
      <c r="D168" s="2517"/>
      <c r="E168" s="2434"/>
      <c r="F168" s="2434"/>
      <c r="G168" s="2434"/>
      <c r="H168" s="2434"/>
      <c r="I168" s="2434"/>
      <c r="J168" s="2434"/>
      <c r="K168" s="2434"/>
      <c r="L168" s="2434"/>
      <c r="M168" s="2434"/>
      <c r="N168" s="2434"/>
      <c r="O168" s="2434"/>
      <c r="P168" s="2434"/>
      <c r="Q168" s="2434"/>
      <c r="R168" s="2434"/>
      <c r="S168" s="2542"/>
      <c r="T168" s="2362"/>
      <c r="U168" s="2363"/>
      <c r="V168" s="2216"/>
      <c r="W168" s="2217"/>
      <c r="X168" s="2217"/>
    </row>
    <row r="169" spans="2:25" s="2186" customFormat="1" ht="17.25" thickBot="1" x14ac:dyDescent="0.35">
      <c r="B169" s="1207"/>
      <c r="C169" s="2529"/>
      <c r="D169" s="2547" t="s">
        <v>164</v>
      </c>
      <c r="E169" s="2548"/>
      <c r="F169" s="2548"/>
      <c r="G169" s="2548"/>
      <c r="H169" s="2548"/>
      <c r="I169" s="2549"/>
      <c r="J169" s="2462"/>
      <c r="K169" s="2392"/>
      <c r="L169" s="2394"/>
      <c r="M169" s="2394"/>
      <c r="N169" s="2394"/>
      <c r="O169" s="2392"/>
      <c r="P169" s="2394"/>
      <c r="Q169" s="2392"/>
      <c r="R169" s="2394"/>
      <c r="S169" s="2336">
        <f>SUM(S162:S168)</f>
        <v>1132.3119908571427</v>
      </c>
      <c r="T169" s="2362"/>
      <c r="U169" s="2363"/>
      <c r="V169" s="2216"/>
      <c r="W169" s="2217"/>
      <c r="X169" s="2217"/>
    </row>
    <row r="170" spans="2:25" s="2186" customFormat="1" x14ac:dyDescent="0.3">
      <c r="B170" s="1207"/>
      <c r="C170" s="2529"/>
      <c r="D170" s="2530"/>
      <c r="E170" s="2531"/>
      <c r="F170" s="2531"/>
      <c r="G170" s="2531"/>
      <c r="H170" s="2531"/>
      <c r="I170" s="2531"/>
      <c r="J170" s="2531"/>
      <c r="K170" s="2397"/>
      <c r="L170" s="2398"/>
      <c r="M170" s="2398"/>
      <c r="N170" s="2398"/>
      <c r="O170" s="2397"/>
      <c r="P170" s="2398"/>
      <c r="Q170" s="2397"/>
      <c r="R170" s="2398"/>
      <c r="S170" s="2532"/>
      <c r="T170" s="2362"/>
      <c r="U170" s="2363"/>
      <c r="V170" s="2216"/>
      <c r="W170" s="2217"/>
      <c r="X170" s="2217"/>
    </row>
    <row r="171" spans="2:25" s="2186" customFormat="1" ht="17.25" thickBot="1" x14ac:dyDescent="0.35">
      <c r="B171" s="1207"/>
      <c r="C171" s="2529" t="str">
        <f>'[61]RAB (2)'!D50</f>
        <v>Pembesian sengkang</v>
      </c>
      <c r="D171" s="2530"/>
      <c r="E171" s="2531"/>
      <c r="F171" s="2531"/>
      <c r="G171" s="2531"/>
      <c r="H171" s="2531"/>
      <c r="I171" s="2531"/>
      <c r="J171" s="2531"/>
      <c r="K171" s="2397"/>
      <c r="L171" s="2398"/>
      <c r="M171" s="2398"/>
      <c r="N171" s="2398"/>
      <c r="O171" s="2397"/>
      <c r="P171" s="2398"/>
      <c r="Q171" s="2397"/>
      <c r="R171" s="2398"/>
      <c r="S171" s="2532"/>
      <c r="T171" s="2338"/>
      <c r="U171" s="2363" t="s">
        <v>0</v>
      </c>
      <c r="V171" s="2216"/>
      <c r="W171" s="2217"/>
      <c r="X171" s="2217"/>
    </row>
    <row r="172" spans="2:25" s="2186" customFormat="1" x14ac:dyDescent="0.3">
      <c r="B172" s="1207"/>
      <c r="C172" s="2529"/>
      <c r="D172" s="2375" t="s">
        <v>95</v>
      </c>
      <c r="E172" s="2376" t="s">
        <v>150</v>
      </c>
      <c r="F172" s="2377"/>
      <c r="G172" s="2376" t="s">
        <v>151</v>
      </c>
      <c r="H172" s="2377"/>
      <c r="I172" s="2376" t="s">
        <v>152</v>
      </c>
      <c r="J172" s="2377"/>
      <c r="K172" s="2376" t="s">
        <v>153</v>
      </c>
      <c r="L172" s="2378"/>
      <c r="M172" s="2378" t="s">
        <v>32</v>
      </c>
      <c r="N172" s="2378"/>
      <c r="O172" s="2379" t="s">
        <v>163</v>
      </c>
      <c r="P172" s="2378"/>
      <c r="Q172" s="2379" t="s">
        <v>151</v>
      </c>
      <c r="R172" s="2378"/>
      <c r="S172" s="2380" t="s">
        <v>143</v>
      </c>
      <c r="T172" s="2362"/>
      <c r="U172" s="2363"/>
      <c r="V172" s="2216"/>
      <c r="W172" s="2217"/>
      <c r="X172" s="2217"/>
    </row>
    <row r="173" spans="2:25" s="2186" customFormat="1" x14ac:dyDescent="0.3">
      <c r="B173" s="1207"/>
      <c r="C173" s="2529"/>
      <c r="D173" s="2522" t="s">
        <v>1372</v>
      </c>
      <c r="E173" s="2550">
        <f>(0.34+0.14)*2+ (2*6*0.01)</f>
        <v>1.08</v>
      </c>
      <c r="F173" s="2534" t="s">
        <v>185</v>
      </c>
      <c r="G173" s="2342"/>
      <c r="H173" s="2342"/>
      <c r="I173" s="2342"/>
      <c r="J173" s="2342"/>
      <c r="K173" s="2342">
        <f>ROUNDDOWN(V173,-0.1)</f>
        <v>27</v>
      </c>
      <c r="L173" s="2534" t="s">
        <v>185</v>
      </c>
      <c r="M173" s="2342">
        <v>8</v>
      </c>
      <c r="N173" s="2534" t="s">
        <v>185</v>
      </c>
      <c r="O173" s="2340">
        <v>7850</v>
      </c>
      <c r="P173" s="2534" t="s">
        <v>185</v>
      </c>
      <c r="Q173" s="2551">
        <f>22/7*0.005*0.005</f>
        <v>7.857142857142858E-5</v>
      </c>
      <c r="R173" s="2552" t="s">
        <v>114</v>
      </c>
      <c r="S173" s="2536">
        <f>E173*K173*M173*O173*Q173</f>
        <v>143.88377142857146</v>
      </c>
      <c r="T173" s="2362"/>
      <c r="U173" s="2363"/>
      <c r="V173" s="2216">
        <f>(4/0.15)+1</f>
        <v>27.666666666666668</v>
      </c>
      <c r="W173" s="2220"/>
      <c r="X173" s="2221"/>
    </row>
    <row r="174" spans="2:25" s="2186" customFormat="1" x14ac:dyDescent="0.3">
      <c r="B174" s="1207"/>
      <c r="C174" s="2529"/>
      <c r="D174" s="2522" t="s">
        <v>1372</v>
      </c>
      <c r="E174" s="2332">
        <f>E173</f>
        <v>1.08</v>
      </c>
      <c r="F174" s="2454" t="s">
        <v>185</v>
      </c>
      <c r="G174" s="2337"/>
      <c r="H174" s="2337"/>
      <c r="I174" s="2337"/>
      <c r="J174" s="2337"/>
      <c r="K174" s="2337">
        <f>ROUNDDOWN(V174,-0.1)</f>
        <v>27</v>
      </c>
      <c r="L174" s="2454" t="s">
        <v>185</v>
      </c>
      <c r="M174" s="2337">
        <v>10</v>
      </c>
      <c r="N174" s="2454" t="s">
        <v>185</v>
      </c>
      <c r="O174" s="2341">
        <f>O173</f>
        <v>7850</v>
      </c>
      <c r="P174" s="2454" t="s">
        <v>185</v>
      </c>
      <c r="Q174" s="2553">
        <f>Q173</f>
        <v>7.857142857142858E-5</v>
      </c>
      <c r="R174" s="2554" t="s">
        <v>114</v>
      </c>
      <c r="S174" s="2455">
        <f>E174*K174*M174*O174*Q174</f>
        <v>179.85471428571429</v>
      </c>
      <c r="T174" s="2362"/>
      <c r="U174" s="2363"/>
      <c r="V174" s="2216">
        <f>(4/0.15)+1</f>
        <v>27.666666666666668</v>
      </c>
      <c r="W174" s="2220"/>
      <c r="X174" s="2217"/>
    </row>
    <row r="175" spans="2:25" s="2186" customFormat="1" x14ac:dyDescent="0.3">
      <c r="B175" s="1207"/>
      <c r="C175" s="2529"/>
      <c r="D175" s="2517"/>
      <c r="E175" s="2492"/>
      <c r="F175" s="2555"/>
      <c r="G175" s="2448"/>
      <c r="H175" s="2449"/>
      <c r="I175" s="2448"/>
      <c r="J175" s="2449"/>
      <c r="K175" s="2448"/>
      <c r="L175" s="2555"/>
      <c r="M175" s="2449"/>
      <c r="N175" s="2555"/>
      <c r="O175" s="2448"/>
      <c r="P175" s="2555"/>
      <c r="Q175" s="2448"/>
      <c r="R175" s="2555"/>
      <c r="S175" s="2556"/>
      <c r="T175" s="2362"/>
      <c r="U175" s="2363"/>
      <c r="V175" s="2192"/>
    </row>
    <row r="176" spans="2:25" s="2186" customFormat="1" ht="17.25" thickBot="1" x14ac:dyDescent="0.35">
      <c r="B176" s="1207"/>
      <c r="C176" s="2529"/>
      <c r="D176" s="3117" t="s">
        <v>164</v>
      </c>
      <c r="E176" s="3118"/>
      <c r="F176" s="3118"/>
      <c r="G176" s="3118"/>
      <c r="H176" s="3118"/>
      <c r="I176" s="3119"/>
      <c r="J176" s="2462"/>
      <c r="K176" s="2392"/>
      <c r="L176" s="2394"/>
      <c r="M176" s="2394"/>
      <c r="N176" s="2394"/>
      <c r="O176" s="2392"/>
      <c r="P176" s="2394"/>
      <c r="Q176" s="2392"/>
      <c r="R176" s="2394"/>
      <c r="S176" s="2336">
        <f>SUM(S173:S175)</f>
        <v>323.73848571428573</v>
      </c>
      <c r="T176" s="2362"/>
      <c r="U176" s="2363"/>
      <c r="V176" s="2192"/>
    </row>
    <row r="177" spans="2:22" x14ac:dyDescent="0.3">
      <c r="B177" s="2527"/>
      <c r="C177" s="2528"/>
      <c r="D177" s="2463"/>
      <c r="E177" s="2467"/>
      <c r="F177" s="2467"/>
      <c r="G177" s="2467"/>
      <c r="H177" s="2467"/>
      <c r="I177" s="2467"/>
      <c r="J177" s="2467"/>
      <c r="K177" s="2406"/>
      <c r="L177" s="2407"/>
      <c r="M177" s="2407"/>
      <c r="N177" s="2407"/>
      <c r="O177" s="2406"/>
      <c r="P177" s="2407"/>
      <c r="Q177" s="2406"/>
      <c r="R177" s="2407"/>
      <c r="S177" s="2464"/>
      <c r="T177" s="2370"/>
      <c r="U177" s="2371"/>
    </row>
    <row r="178" spans="2:22" s="2186" customFormat="1" ht="17.25" thickBot="1" x14ac:dyDescent="0.35">
      <c r="B178" s="1207"/>
      <c r="C178" s="2529" t="str">
        <f>'[61]RAB (2)'!D51</f>
        <v>Bekisting Sloof</v>
      </c>
      <c r="D178" s="2530"/>
      <c r="E178" s="2531"/>
      <c r="F178" s="2531"/>
      <c r="G178" s="2531"/>
      <c r="H178" s="2531"/>
      <c r="I178" s="2531"/>
      <c r="J178" s="2531"/>
      <c r="K178" s="2397"/>
      <c r="L178" s="2398"/>
      <c r="M178" s="2398"/>
      <c r="N178" s="2398"/>
      <c r="O178" s="2397"/>
      <c r="P178" s="2398"/>
      <c r="Q178" s="2397"/>
      <c r="R178" s="2398"/>
      <c r="S178" s="2532"/>
      <c r="T178" s="2338"/>
      <c r="U178" s="2363" t="s">
        <v>2</v>
      </c>
      <c r="V178" s="2192"/>
    </row>
    <row r="179" spans="2:22" s="2186" customFormat="1" x14ac:dyDescent="0.3">
      <c r="B179" s="1207"/>
      <c r="C179" s="2529"/>
      <c r="D179" s="2375" t="s">
        <v>95</v>
      </c>
      <c r="E179" s="2376" t="s">
        <v>150</v>
      </c>
      <c r="F179" s="2377"/>
      <c r="G179" s="2376" t="s">
        <v>151</v>
      </c>
      <c r="H179" s="2377"/>
      <c r="I179" s="2376" t="s">
        <v>152</v>
      </c>
      <c r="J179" s="2377"/>
      <c r="K179" s="2376" t="s">
        <v>153</v>
      </c>
      <c r="L179" s="2378"/>
      <c r="M179" s="2378" t="s">
        <v>32</v>
      </c>
      <c r="N179" s="2378"/>
      <c r="O179" s="2379" t="s">
        <v>163</v>
      </c>
      <c r="P179" s="2378"/>
      <c r="Q179" s="2379" t="s">
        <v>151</v>
      </c>
      <c r="R179" s="2378"/>
      <c r="S179" s="2380" t="s">
        <v>143</v>
      </c>
      <c r="T179" s="2381"/>
      <c r="U179" s="2363"/>
      <c r="V179" s="2192"/>
    </row>
    <row r="180" spans="2:22" s="2186" customFormat="1" x14ac:dyDescent="0.3">
      <c r="B180" s="1207"/>
      <c r="C180" s="2529"/>
      <c r="D180" s="2557" t="s">
        <v>156</v>
      </c>
      <c r="E180" s="2342">
        <f>E152</f>
        <v>14.4</v>
      </c>
      <c r="F180" s="2534" t="s">
        <v>185</v>
      </c>
      <c r="G180" s="2342"/>
      <c r="H180" s="2342"/>
      <c r="I180" s="2342">
        <f>I152</f>
        <v>0.4</v>
      </c>
      <c r="J180" s="2534" t="s">
        <v>185</v>
      </c>
      <c r="K180" s="2342">
        <v>2</v>
      </c>
      <c r="L180" s="2534" t="s">
        <v>185</v>
      </c>
      <c r="M180" s="2342">
        <v>2</v>
      </c>
      <c r="N180" s="2534"/>
      <c r="O180" s="2342"/>
      <c r="P180" s="2534" t="s">
        <v>114</v>
      </c>
      <c r="Q180" s="2342">
        <f>E180*I180*K180*M180</f>
        <v>23.040000000000003</v>
      </c>
      <c r="R180" s="2342"/>
      <c r="S180" s="2558"/>
      <c r="T180" s="2381"/>
      <c r="U180" s="2363"/>
      <c r="V180" s="2192"/>
    </row>
    <row r="181" spans="2:22" s="2186" customFormat="1" x14ac:dyDescent="0.3">
      <c r="B181" s="1207"/>
      <c r="C181" s="2529"/>
      <c r="D181" s="2559" t="s">
        <v>157</v>
      </c>
      <c r="E181" s="2337">
        <f>E153</f>
        <v>7.2</v>
      </c>
      <c r="F181" s="2454" t="s">
        <v>185</v>
      </c>
      <c r="G181" s="2337"/>
      <c r="H181" s="2337"/>
      <c r="I181" s="2337">
        <f>I153</f>
        <v>0.4</v>
      </c>
      <c r="J181" s="2454" t="s">
        <v>185</v>
      </c>
      <c r="K181" s="2337">
        <v>2</v>
      </c>
      <c r="L181" s="2454" t="s">
        <v>185</v>
      </c>
      <c r="M181" s="2337">
        <v>5</v>
      </c>
      <c r="N181" s="2454"/>
      <c r="O181" s="2337"/>
      <c r="P181" s="2454" t="s">
        <v>114</v>
      </c>
      <c r="Q181" s="2337">
        <f>E181*I181*K181*M181</f>
        <v>28.800000000000004</v>
      </c>
      <c r="R181" s="2337"/>
      <c r="S181" s="2455"/>
      <c r="T181" s="2381"/>
      <c r="U181" s="2363"/>
      <c r="V181" s="2192"/>
    </row>
    <row r="182" spans="2:22" s="2186" customFormat="1" ht="17.25" thickBot="1" x14ac:dyDescent="0.35">
      <c r="B182" s="1207"/>
      <c r="C182" s="2529"/>
      <c r="D182" s="2560"/>
      <c r="E182" s="2561"/>
      <c r="F182" s="2561"/>
      <c r="G182" s="2561"/>
      <c r="H182" s="2561"/>
      <c r="I182" s="2561"/>
      <c r="J182" s="2561"/>
      <c r="K182" s="2561"/>
      <c r="L182" s="2561"/>
      <c r="M182" s="2561"/>
      <c r="N182" s="2561"/>
      <c r="O182" s="2561"/>
      <c r="P182" s="2561"/>
      <c r="Q182" s="2561"/>
      <c r="R182" s="2561"/>
      <c r="S182" s="2562"/>
      <c r="T182" s="2381"/>
      <c r="U182" s="2363"/>
      <c r="V182" s="2192"/>
    </row>
    <row r="183" spans="2:22" s="2186" customFormat="1" ht="17.25" thickBot="1" x14ac:dyDescent="0.35">
      <c r="B183" s="1207"/>
      <c r="C183" s="2529"/>
      <c r="D183" s="3126" t="s">
        <v>164</v>
      </c>
      <c r="E183" s="3127"/>
      <c r="F183" s="3127"/>
      <c r="G183" s="3127"/>
      <c r="H183" s="3127"/>
      <c r="I183" s="3128"/>
      <c r="J183" s="2563"/>
      <c r="K183" s="2564"/>
      <c r="L183" s="2565"/>
      <c r="M183" s="2565"/>
      <c r="N183" s="2565"/>
      <c r="O183" s="2564"/>
      <c r="P183" s="2565"/>
      <c r="Q183" s="2566">
        <f>SUM(Q180:Q182)</f>
        <v>51.84</v>
      </c>
      <c r="R183" s="2565"/>
      <c r="S183" s="2567"/>
      <c r="T183" s="2362"/>
      <c r="U183" s="2363"/>
      <c r="V183" s="2192"/>
    </row>
    <row r="184" spans="2:22" x14ac:dyDescent="0.3">
      <c r="B184" s="2527"/>
      <c r="C184" s="2528"/>
      <c r="D184" s="2463"/>
      <c r="E184" s="2467"/>
      <c r="F184" s="2467"/>
      <c r="G184" s="2467"/>
      <c r="H184" s="2467"/>
      <c r="I184" s="2467"/>
      <c r="J184" s="2467"/>
      <c r="K184" s="2406"/>
      <c r="L184" s="2407"/>
      <c r="M184" s="2407"/>
      <c r="N184" s="2407"/>
      <c r="O184" s="2406"/>
      <c r="P184" s="2407"/>
      <c r="Q184" s="2406"/>
      <c r="R184" s="2407"/>
      <c r="S184" s="2464"/>
      <c r="T184" s="2370"/>
      <c r="U184" s="2371"/>
    </row>
    <row r="185" spans="2:22" s="2186" customFormat="1" x14ac:dyDescent="0.3">
      <c r="B185" s="1207">
        <f>'[61]RAB (2)'!B52</f>
        <v>5</v>
      </c>
      <c r="C185" s="2568" t="str">
        <f>'[61]RAB (2)'!C52</f>
        <v>Kolom 40x40 Cm (K1)</v>
      </c>
      <c r="D185" s="2530"/>
      <c r="E185" s="2531"/>
      <c r="F185" s="2531"/>
      <c r="G185" s="2531"/>
      <c r="H185" s="2531"/>
      <c r="I185" s="2531"/>
      <c r="J185" s="2531"/>
      <c r="K185" s="2397"/>
      <c r="L185" s="2398"/>
      <c r="M185" s="2398"/>
      <c r="N185" s="2398"/>
      <c r="O185" s="2397"/>
      <c r="P185" s="2398"/>
      <c r="Q185" s="2397"/>
      <c r="R185" s="2398"/>
      <c r="S185" s="2532"/>
      <c r="T185" s="2362"/>
      <c r="U185" s="2363"/>
      <c r="V185" s="2192"/>
    </row>
    <row r="186" spans="2:22" s="2186" customFormat="1" ht="17.25" thickBot="1" x14ac:dyDescent="0.35">
      <c r="B186" s="1207"/>
      <c r="C186" s="2529" t="str">
        <f>'[61]RAB (2)'!D53</f>
        <v xml:space="preserve">Beton mutu f'c=26,4 Mpa </v>
      </c>
      <c r="D186" s="2530"/>
      <c r="E186" s="2531"/>
      <c r="F186" s="2531"/>
      <c r="G186" s="2531"/>
      <c r="H186" s="2531"/>
      <c r="I186" s="2531"/>
      <c r="J186" s="2531"/>
      <c r="K186" s="2397"/>
      <c r="L186" s="2398"/>
      <c r="M186" s="2398"/>
      <c r="N186" s="2398"/>
      <c r="O186" s="2397"/>
      <c r="P186" s="2398"/>
      <c r="Q186" s="2397"/>
      <c r="R186" s="2398"/>
      <c r="S186" s="2532"/>
      <c r="T186" s="2338"/>
      <c r="U186" s="2363" t="s">
        <v>3</v>
      </c>
      <c r="V186" s="2192"/>
    </row>
    <row r="187" spans="2:22" s="2186" customFormat="1" x14ac:dyDescent="0.3">
      <c r="B187" s="1207"/>
      <c r="C187" s="2529"/>
      <c r="D187" s="2375" t="s">
        <v>95</v>
      </c>
      <c r="E187" s="2376" t="s">
        <v>150</v>
      </c>
      <c r="F187" s="2377"/>
      <c r="G187" s="2376" t="s">
        <v>151</v>
      </c>
      <c r="H187" s="2377"/>
      <c r="I187" s="2376" t="s">
        <v>152</v>
      </c>
      <c r="J187" s="2377"/>
      <c r="K187" s="2376" t="s">
        <v>153</v>
      </c>
      <c r="L187" s="2378"/>
      <c r="M187" s="2378" t="s">
        <v>32</v>
      </c>
      <c r="N187" s="2378"/>
      <c r="O187" s="2379" t="s">
        <v>163</v>
      </c>
      <c r="P187" s="2378"/>
      <c r="Q187" s="2379" t="s">
        <v>151</v>
      </c>
      <c r="R187" s="2378"/>
      <c r="S187" s="2380" t="s">
        <v>143</v>
      </c>
      <c r="T187" s="2362"/>
      <c r="U187" s="2363"/>
      <c r="V187" s="2192"/>
    </row>
    <row r="188" spans="2:22" s="2186" customFormat="1" x14ac:dyDescent="0.3">
      <c r="B188" s="1207"/>
      <c r="C188" s="2529"/>
      <c r="D188" s="2557" t="str">
        <f>C185</f>
        <v>Kolom 40x40 Cm (K1)</v>
      </c>
      <c r="E188" s="2342">
        <v>0.4</v>
      </c>
      <c r="F188" s="2534" t="s">
        <v>185</v>
      </c>
      <c r="G188" s="2342">
        <v>0.4</v>
      </c>
      <c r="H188" s="2534" t="s">
        <v>185</v>
      </c>
      <c r="I188" s="2342">
        <f>4-0.12</f>
        <v>3.88</v>
      </c>
      <c r="J188" s="2534" t="s">
        <v>185</v>
      </c>
      <c r="K188" s="2342">
        <f>17*1</f>
        <v>17</v>
      </c>
      <c r="L188" s="2342"/>
      <c r="M188" s="2342"/>
      <c r="N188" s="2342"/>
      <c r="O188" s="2342"/>
      <c r="P188" s="2342"/>
      <c r="Q188" s="2342"/>
      <c r="R188" s="2569" t="s">
        <v>114</v>
      </c>
      <c r="S188" s="2536">
        <f>K188*I188*G188*E188</f>
        <v>10.553600000000001</v>
      </c>
      <c r="T188" s="2362"/>
      <c r="U188" s="2363"/>
      <c r="V188" s="2192"/>
    </row>
    <row r="189" spans="2:22" s="2186" customFormat="1" x14ac:dyDescent="0.3">
      <c r="B189" s="1207"/>
      <c r="C189" s="2529"/>
      <c r="D189" s="2446" t="s">
        <v>256</v>
      </c>
      <c r="E189" s="2337"/>
      <c r="F189" s="2454"/>
      <c r="G189" s="2337"/>
      <c r="H189" s="2454"/>
      <c r="I189" s="2337"/>
      <c r="J189" s="2454"/>
      <c r="K189" s="2337"/>
      <c r="L189" s="2337"/>
      <c r="M189" s="2337"/>
      <c r="N189" s="2337"/>
      <c r="O189" s="2337"/>
      <c r="P189" s="2337"/>
      <c r="Q189" s="2337"/>
      <c r="R189" s="2454"/>
      <c r="S189" s="2455"/>
      <c r="T189" s="2362"/>
      <c r="U189" s="2363"/>
      <c r="V189" s="2192"/>
    </row>
    <row r="190" spans="2:22" s="2186" customFormat="1" x14ac:dyDescent="0.3">
      <c r="B190" s="1207"/>
      <c r="C190" s="2529"/>
      <c r="D190" s="2431" t="s">
        <v>733</v>
      </c>
      <c r="E190" s="2337"/>
      <c r="F190" s="2454"/>
      <c r="G190" s="2337"/>
      <c r="H190" s="2454"/>
      <c r="I190" s="2337"/>
      <c r="J190" s="2454"/>
      <c r="K190" s="2337">
        <f>S199</f>
        <v>1832.8068754285714</v>
      </c>
      <c r="L190" s="2335" t="s">
        <v>253</v>
      </c>
      <c r="M190" s="2332"/>
      <c r="N190" s="2332"/>
      <c r="O190" s="2339">
        <f>O197</f>
        <v>7850</v>
      </c>
      <c r="P190" s="2332"/>
      <c r="Q190" s="2332"/>
      <c r="R190" s="2454" t="s">
        <v>149</v>
      </c>
      <c r="S190" s="2432">
        <f>K190/O190</f>
        <v>0.23347858285714285</v>
      </c>
      <c r="T190" s="2362"/>
      <c r="U190" s="2363"/>
      <c r="V190" s="2192"/>
    </row>
    <row r="191" spans="2:22" s="2186" customFormat="1" x14ac:dyDescent="0.3">
      <c r="B191" s="1207"/>
      <c r="C191" s="2529"/>
      <c r="D191" s="2431" t="s">
        <v>734</v>
      </c>
      <c r="E191" s="2337"/>
      <c r="F191" s="2454"/>
      <c r="G191" s="2337"/>
      <c r="H191" s="2454"/>
      <c r="I191" s="2337"/>
      <c r="J191" s="2454"/>
      <c r="K191" s="2337">
        <f>S206</f>
        <v>670.01432142857152</v>
      </c>
      <c r="L191" s="2335" t="s">
        <v>253</v>
      </c>
      <c r="M191" s="2332"/>
      <c r="N191" s="2332"/>
      <c r="O191" s="2339">
        <f>O190</f>
        <v>7850</v>
      </c>
      <c r="P191" s="2332"/>
      <c r="Q191" s="2332"/>
      <c r="R191" s="2454" t="s">
        <v>149</v>
      </c>
      <c r="S191" s="2432">
        <f>K191/O191</f>
        <v>8.5352142857142863E-2</v>
      </c>
      <c r="T191" s="2362"/>
      <c r="U191" s="2363"/>
      <c r="V191" s="2192"/>
    </row>
    <row r="192" spans="2:22" s="2186" customFormat="1" x14ac:dyDescent="0.3">
      <c r="B192" s="1207"/>
      <c r="C192" s="2529"/>
      <c r="D192" s="2541"/>
      <c r="E192" s="2448"/>
      <c r="F192" s="2449"/>
      <c r="G192" s="2448"/>
      <c r="H192" s="2449"/>
      <c r="I192" s="2448"/>
      <c r="J192" s="2449"/>
      <c r="K192" s="2448"/>
      <c r="L192" s="2449"/>
      <c r="M192" s="2449"/>
      <c r="N192" s="2449"/>
      <c r="O192" s="2448"/>
      <c r="P192" s="2449"/>
      <c r="Q192" s="2448"/>
      <c r="R192" s="2449"/>
      <c r="S192" s="2461"/>
      <c r="T192" s="2362"/>
      <c r="U192" s="2363"/>
      <c r="V192" s="2192"/>
    </row>
    <row r="193" spans="2:24" s="2186" customFormat="1" ht="17.25" thickBot="1" x14ac:dyDescent="0.35">
      <c r="B193" s="1207"/>
      <c r="C193" s="2529"/>
      <c r="D193" s="3117" t="s">
        <v>164</v>
      </c>
      <c r="E193" s="3118"/>
      <c r="F193" s="3118"/>
      <c r="G193" s="3118"/>
      <c r="H193" s="3118"/>
      <c r="I193" s="3119"/>
      <c r="J193" s="2462"/>
      <c r="K193" s="2392"/>
      <c r="L193" s="2394"/>
      <c r="M193" s="2394"/>
      <c r="N193" s="2394"/>
      <c r="O193" s="2392"/>
      <c r="P193" s="2394"/>
      <c r="Q193" s="2392"/>
      <c r="R193" s="2394"/>
      <c r="S193" s="2336">
        <f>SUM(S188:S188)-SUM(S190:S191)</f>
        <v>10.234769274285716</v>
      </c>
      <c r="T193" s="2362"/>
      <c r="U193" s="2363"/>
      <c r="V193" s="2192"/>
    </row>
    <row r="194" spans="2:24" x14ac:dyDescent="0.3">
      <c r="B194" s="2527"/>
      <c r="C194" s="2528"/>
      <c r="D194" s="2463"/>
      <c r="E194" s="2467"/>
      <c r="F194" s="2467"/>
      <c r="G194" s="2467"/>
      <c r="H194" s="2467"/>
      <c r="I194" s="2467"/>
      <c r="J194" s="2467"/>
      <c r="K194" s="2406"/>
      <c r="L194" s="2407"/>
      <c r="M194" s="2407"/>
      <c r="N194" s="2407"/>
      <c r="O194" s="2406"/>
      <c r="P194" s="2407"/>
      <c r="Q194" s="2406"/>
      <c r="R194" s="2407"/>
      <c r="S194" s="2464"/>
      <c r="T194" s="2370"/>
      <c r="U194" s="2371"/>
    </row>
    <row r="195" spans="2:24" s="2186" customFormat="1" ht="17.25" thickBot="1" x14ac:dyDescent="0.35">
      <c r="B195" s="1207"/>
      <c r="C195" s="2529" t="str">
        <f>'[61]RAB (2)'!D54</f>
        <v>Pembesian Ulir</v>
      </c>
      <c r="D195" s="2530"/>
      <c r="E195" s="2531"/>
      <c r="F195" s="2531"/>
      <c r="G195" s="2531"/>
      <c r="H195" s="2531"/>
      <c r="I195" s="2531"/>
      <c r="J195" s="2531"/>
      <c r="K195" s="2397"/>
      <c r="L195" s="2398"/>
      <c r="M195" s="2398"/>
      <c r="N195" s="2398"/>
      <c r="O195" s="2397"/>
      <c r="P195" s="2398"/>
      <c r="Q195" s="2397"/>
      <c r="R195" s="2398"/>
      <c r="S195" s="2532"/>
      <c r="T195" s="2338"/>
      <c r="U195" s="2363" t="s">
        <v>0</v>
      </c>
      <c r="V195" s="2192"/>
    </row>
    <row r="196" spans="2:24" s="2186" customFormat="1" x14ac:dyDescent="0.3">
      <c r="B196" s="1207"/>
      <c r="C196" s="2529"/>
      <c r="D196" s="2375" t="s">
        <v>95</v>
      </c>
      <c r="E196" s="2376" t="s">
        <v>150</v>
      </c>
      <c r="F196" s="2377"/>
      <c r="G196" s="2376" t="s">
        <v>151</v>
      </c>
      <c r="H196" s="2377"/>
      <c r="I196" s="2376" t="s">
        <v>152</v>
      </c>
      <c r="J196" s="2377"/>
      <c r="K196" s="2376" t="s">
        <v>153</v>
      </c>
      <c r="L196" s="2378"/>
      <c r="M196" s="2378" t="s">
        <v>32</v>
      </c>
      <c r="N196" s="2378"/>
      <c r="O196" s="2379" t="s">
        <v>163</v>
      </c>
      <c r="P196" s="2378"/>
      <c r="Q196" s="2379" t="s">
        <v>151</v>
      </c>
      <c r="R196" s="2378"/>
      <c r="S196" s="2380" t="s">
        <v>143</v>
      </c>
      <c r="T196" s="2362"/>
      <c r="U196" s="2363"/>
      <c r="V196" s="2192"/>
    </row>
    <row r="197" spans="2:24" s="2186" customFormat="1" x14ac:dyDescent="0.3">
      <c r="B197" s="1207"/>
      <c r="C197" s="2529"/>
      <c r="D197" s="2557" t="s">
        <v>1322</v>
      </c>
      <c r="E197" s="2383">
        <f>4+0.5+0.55+(40*0.016)</f>
        <v>5.6899999999999995</v>
      </c>
      <c r="F197" s="2452" t="s">
        <v>185</v>
      </c>
      <c r="G197" s="2383"/>
      <c r="H197" s="2385"/>
      <c r="I197" s="2383"/>
      <c r="J197" s="2385"/>
      <c r="K197" s="2383">
        <v>12</v>
      </c>
      <c r="L197" s="2452" t="s">
        <v>185</v>
      </c>
      <c r="M197" s="2385">
        <f>K188</f>
        <v>17</v>
      </c>
      <c r="N197" s="2452" t="s">
        <v>185</v>
      </c>
      <c r="O197" s="2383">
        <v>7850</v>
      </c>
      <c r="P197" s="2452" t="s">
        <v>185</v>
      </c>
      <c r="Q197" s="2570">
        <f>22/7*0.008*0.008</f>
        <v>2.0114285714285715E-4</v>
      </c>
      <c r="R197" s="2452" t="s">
        <v>114</v>
      </c>
      <c r="S197" s="2453">
        <f>E197*K197*M197*O197*Q197</f>
        <v>1832.8068754285714</v>
      </c>
      <c r="T197" s="2362"/>
      <c r="U197" s="2363"/>
      <c r="V197" s="2192"/>
    </row>
    <row r="198" spans="2:24" s="2186" customFormat="1" x14ac:dyDescent="0.3">
      <c r="B198" s="1207"/>
      <c r="C198" s="2529"/>
      <c r="D198" s="2541"/>
      <c r="E198" s="2448"/>
      <c r="F198" s="2449"/>
      <c r="G198" s="2448"/>
      <c r="H198" s="2449"/>
      <c r="I198" s="2448"/>
      <c r="J198" s="2449"/>
      <c r="K198" s="2448"/>
      <c r="L198" s="2449"/>
      <c r="M198" s="2449"/>
      <c r="N198" s="2449"/>
      <c r="O198" s="2448"/>
      <c r="P198" s="2449"/>
      <c r="Q198" s="2571"/>
      <c r="R198" s="2449"/>
      <c r="S198" s="2461"/>
      <c r="T198" s="2362"/>
      <c r="U198" s="2363"/>
      <c r="V198" s="2192"/>
    </row>
    <row r="199" spans="2:24" s="2186" customFormat="1" ht="17.25" thickBot="1" x14ac:dyDescent="0.35">
      <c r="B199" s="1207"/>
      <c r="C199" s="2529"/>
      <c r="D199" s="3117" t="s">
        <v>164</v>
      </c>
      <c r="E199" s="3117"/>
      <c r="F199" s="3117"/>
      <c r="G199" s="3117"/>
      <c r="H199" s="3117"/>
      <c r="I199" s="3117"/>
      <c r="J199" s="2462"/>
      <c r="K199" s="2392"/>
      <c r="L199" s="2394"/>
      <c r="M199" s="2394"/>
      <c r="N199" s="2394"/>
      <c r="O199" s="2392"/>
      <c r="P199" s="2394"/>
      <c r="Q199" s="2572"/>
      <c r="R199" s="2394"/>
      <c r="S199" s="2336">
        <f>SUM(S197:S197)</f>
        <v>1832.8068754285714</v>
      </c>
      <c r="T199" s="2362"/>
      <c r="U199" s="2363"/>
      <c r="V199" s="2192"/>
    </row>
    <row r="200" spans="2:24" x14ac:dyDescent="0.3">
      <c r="B200" s="2527"/>
      <c r="C200" s="2528"/>
      <c r="D200" s="2463"/>
      <c r="E200" s="2467"/>
      <c r="F200" s="2467"/>
      <c r="G200" s="2467"/>
      <c r="H200" s="2467"/>
      <c r="I200" s="2467"/>
      <c r="J200" s="2467"/>
      <c r="K200" s="2406"/>
      <c r="L200" s="2407"/>
      <c r="M200" s="2407"/>
      <c r="N200" s="2407"/>
      <c r="O200" s="2406"/>
      <c r="P200" s="2407"/>
      <c r="Q200" s="2573"/>
      <c r="R200" s="2407"/>
      <c r="S200" s="2464"/>
      <c r="T200" s="2370"/>
      <c r="U200" s="2371"/>
    </row>
    <row r="201" spans="2:24" s="2186" customFormat="1" ht="17.25" thickBot="1" x14ac:dyDescent="0.35">
      <c r="B201" s="1207"/>
      <c r="C201" s="2529" t="str">
        <f>'[61]RAB (2)'!D55</f>
        <v>Pembesian sengkang</v>
      </c>
      <c r="D201" s="2530"/>
      <c r="E201" s="2531"/>
      <c r="F201" s="2531"/>
      <c r="G201" s="2531"/>
      <c r="H201" s="2531"/>
      <c r="I201" s="2531"/>
      <c r="J201" s="2531"/>
      <c r="K201" s="2397"/>
      <c r="L201" s="2398"/>
      <c r="M201" s="2398"/>
      <c r="N201" s="2398"/>
      <c r="O201" s="2397"/>
      <c r="P201" s="2398"/>
      <c r="Q201" s="2574"/>
      <c r="R201" s="2398"/>
      <c r="S201" s="2532"/>
      <c r="T201" s="2338"/>
      <c r="U201" s="2363" t="s">
        <v>0</v>
      </c>
      <c r="V201" s="2192"/>
    </row>
    <row r="202" spans="2:24" s="2186" customFormat="1" x14ac:dyDescent="0.3">
      <c r="B202" s="1207"/>
      <c r="C202" s="2529"/>
      <c r="D202" s="2375" t="s">
        <v>95</v>
      </c>
      <c r="E202" s="2376" t="s">
        <v>150</v>
      </c>
      <c r="F202" s="2377"/>
      <c r="G202" s="2376" t="s">
        <v>151</v>
      </c>
      <c r="H202" s="2377"/>
      <c r="I202" s="2376" t="s">
        <v>152</v>
      </c>
      <c r="J202" s="2377"/>
      <c r="K202" s="2376" t="s">
        <v>153</v>
      </c>
      <c r="L202" s="2378"/>
      <c r="M202" s="2378" t="s">
        <v>32</v>
      </c>
      <c r="N202" s="2378"/>
      <c r="O202" s="2379" t="s">
        <v>163</v>
      </c>
      <c r="P202" s="2378"/>
      <c r="Q202" s="2575" t="s">
        <v>151</v>
      </c>
      <c r="R202" s="2378"/>
      <c r="S202" s="2380" t="s">
        <v>143</v>
      </c>
      <c r="T202" s="2362"/>
      <c r="U202" s="2363"/>
      <c r="V202" s="2192"/>
      <c r="X202" s="2222"/>
    </row>
    <row r="203" spans="2:24" s="2186" customFormat="1" x14ac:dyDescent="0.3">
      <c r="B203" s="1207"/>
      <c r="C203" s="2529"/>
      <c r="D203" s="2557" t="s">
        <v>1373</v>
      </c>
      <c r="E203" s="2428">
        <f>((0.34)*4)+(6*0.01)</f>
        <v>1.4200000000000002</v>
      </c>
      <c r="F203" s="2452" t="s">
        <v>185</v>
      </c>
      <c r="G203" s="2383"/>
      <c r="H203" s="2385"/>
      <c r="I203" s="2383"/>
      <c r="J203" s="2385"/>
      <c r="K203" s="2576">
        <f>W203</f>
        <v>31</v>
      </c>
      <c r="L203" s="2452" t="s">
        <v>185</v>
      </c>
      <c r="M203" s="2385">
        <f>M197</f>
        <v>17</v>
      </c>
      <c r="N203" s="2452" t="s">
        <v>185</v>
      </c>
      <c r="O203" s="2383">
        <v>7850</v>
      </c>
      <c r="P203" s="2452" t="s">
        <v>185</v>
      </c>
      <c r="Q203" s="2570">
        <f>22/7*0.005*0.005</f>
        <v>7.857142857142858E-5</v>
      </c>
      <c r="R203" s="2452" t="s">
        <v>1323</v>
      </c>
      <c r="S203" s="2453">
        <f>E203*K203*M203*O203*Q203</f>
        <v>461.56542142857148</v>
      </c>
      <c r="T203" s="2362"/>
      <c r="U203" s="2363"/>
      <c r="V203" s="2192">
        <f>2+0.5+0.5</f>
        <v>3</v>
      </c>
      <c r="W203" s="2186">
        <f>(V203/0.1)+1</f>
        <v>31</v>
      </c>
    </row>
    <row r="204" spans="2:24" s="2186" customFormat="1" x14ac:dyDescent="0.3">
      <c r="B204" s="1207"/>
      <c r="C204" s="2529"/>
      <c r="D204" s="2557" t="s">
        <v>1373</v>
      </c>
      <c r="E204" s="2440">
        <f>((0.34)*4)+(6*0.01)</f>
        <v>1.4200000000000002</v>
      </c>
      <c r="F204" s="2442" t="s">
        <v>185</v>
      </c>
      <c r="G204" s="2388"/>
      <c r="H204" s="2390"/>
      <c r="I204" s="2388"/>
      <c r="J204" s="2390"/>
      <c r="K204" s="2577">
        <v>14</v>
      </c>
      <c r="L204" s="2442" t="s">
        <v>185</v>
      </c>
      <c r="M204" s="2390">
        <f>M203</f>
        <v>17</v>
      </c>
      <c r="N204" s="2442" t="s">
        <v>185</v>
      </c>
      <c r="O204" s="2388">
        <v>7850</v>
      </c>
      <c r="P204" s="2442" t="s">
        <v>185</v>
      </c>
      <c r="Q204" s="2578">
        <f>22/7*0.005*0.005</f>
        <v>7.857142857142858E-5</v>
      </c>
      <c r="R204" s="2442" t="s">
        <v>1323</v>
      </c>
      <c r="S204" s="2445">
        <f>E204*K204*M204*O204*Q204</f>
        <v>208.44890000000007</v>
      </c>
      <c r="T204" s="2362"/>
      <c r="U204" s="2363"/>
      <c r="V204" s="2192">
        <f>2</f>
        <v>2</v>
      </c>
      <c r="W204" s="2186">
        <f>(V204/0.15)+1</f>
        <v>14.333333333333334</v>
      </c>
    </row>
    <row r="205" spans="2:24" s="2186" customFormat="1" x14ac:dyDescent="0.3">
      <c r="B205" s="1207"/>
      <c r="C205" s="2529"/>
      <c r="D205" s="2541"/>
      <c r="E205" s="2492"/>
      <c r="F205" s="2509"/>
      <c r="G205" s="2448"/>
      <c r="H205" s="2449"/>
      <c r="I205" s="2448"/>
      <c r="J205" s="2449"/>
      <c r="K205" s="2448"/>
      <c r="L205" s="2449"/>
      <c r="M205" s="2449"/>
      <c r="N205" s="2449"/>
      <c r="O205" s="2448"/>
      <c r="P205" s="2449"/>
      <c r="Q205" s="2448"/>
      <c r="R205" s="2449"/>
      <c r="S205" s="2461"/>
      <c r="T205" s="2362"/>
      <c r="U205" s="2363"/>
      <c r="V205" s="2192"/>
    </row>
    <row r="206" spans="2:24" s="2186" customFormat="1" ht="17.25" thickBot="1" x14ac:dyDescent="0.35">
      <c r="B206" s="1207"/>
      <c r="C206" s="2529"/>
      <c r="D206" s="3117" t="s">
        <v>164</v>
      </c>
      <c r="E206" s="3118"/>
      <c r="F206" s="3118"/>
      <c r="G206" s="3118"/>
      <c r="H206" s="3118"/>
      <c r="I206" s="3119"/>
      <c r="J206" s="2462"/>
      <c r="K206" s="2392"/>
      <c r="L206" s="2394"/>
      <c r="M206" s="2394"/>
      <c r="N206" s="2394"/>
      <c r="O206" s="2392"/>
      <c r="P206" s="2394"/>
      <c r="Q206" s="2392"/>
      <c r="R206" s="2394"/>
      <c r="S206" s="2336">
        <f>SUM(S203:S204)</f>
        <v>670.01432142857152</v>
      </c>
      <c r="T206" s="2362"/>
      <c r="U206" s="2363"/>
      <c r="V206" s="2192"/>
    </row>
    <row r="207" spans="2:24" x14ac:dyDescent="0.3">
      <c r="B207" s="2527"/>
      <c r="C207" s="2528"/>
      <c r="D207" s="2463"/>
      <c r="E207" s="2467"/>
      <c r="F207" s="2467"/>
      <c r="G207" s="2467"/>
      <c r="H207" s="2467"/>
      <c r="I207" s="2467"/>
      <c r="J207" s="2467"/>
      <c r="K207" s="2406"/>
      <c r="L207" s="2407"/>
      <c r="M207" s="2407"/>
      <c r="N207" s="2407"/>
      <c r="O207" s="2406"/>
      <c r="P207" s="2407"/>
      <c r="Q207" s="2406"/>
      <c r="R207" s="2407"/>
      <c r="S207" s="2464"/>
      <c r="T207" s="2370"/>
      <c r="U207" s="2371"/>
    </row>
    <row r="208" spans="2:24" s="2186" customFormat="1" ht="17.25" thickBot="1" x14ac:dyDescent="0.35">
      <c r="B208" s="1207"/>
      <c r="C208" s="2529" t="str">
        <f>'[61]RAB (2)'!D56</f>
        <v>Bekisting Kolom</v>
      </c>
      <c r="D208" s="2530"/>
      <c r="E208" s="2531"/>
      <c r="F208" s="2531"/>
      <c r="G208" s="2531"/>
      <c r="H208" s="2531"/>
      <c r="I208" s="2531"/>
      <c r="J208" s="2531"/>
      <c r="K208" s="2397"/>
      <c r="L208" s="2398"/>
      <c r="M208" s="2398"/>
      <c r="N208" s="2398"/>
      <c r="O208" s="2397"/>
      <c r="P208" s="2398"/>
      <c r="Q208" s="2397"/>
      <c r="R208" s="2398"/>
      <c r="S208" s="2532"/>
      <c r="T208" s="2338"/>
      <c r="U208" s="2363" t="s">
        <v>2</v>
      </c>
      <c r="V208" s="2192"/>
    </row>
    <row r="209" spans="2:22" s="2186" customFormat="1" x14ac:dyDescent="0.3">
      <c r="B209" s="1207"/>
      <c r="C209" s="2529"/>
      <c r="D209" s="2375" t="s">
        <v>95</v>
      </c>
      <c r="E209" s="2376" t="s">
        <v>150</v>
      </c>
      <c r="F209" s="2377"/>
      <c r="G209" s="2376" t="s">
        <v>151</v>
      </c>
      <c r="H209" s="2377"/>
      <c r="I209" s="2376" t="s">
        <v>152</v>
      </c>
      <c r="J209" s="2377"/>
      <c r="K209" s="2376" t="s">
        <v>153</v>
      </c>
      <c r="L209" s="2378"/>
      <c r="M209" s="2378" t="s">
        <v>32</v>
      </c>
      <c r="N209" s="2378"/>
      <c r="O209" s="2379" t="s">
        <v>163</v>
      </c>
      <c r="P209" s="2378"/>
      <c r="Q209" s="2379" t="s">
        <v>151</v>
      </c>
      <c r="R209" s="2378"/>
      <c r="S209" s="2380" t="s">
        <v>143</v>
      </c>
      <c r="T209" s="2362"/>
      <c r="U209" s="2363"/>
      <c r="V209" s="2192"/>
    </row>
    <row r="210" spans="2:22" s="2186" customFormat="1" x14ac:dyDescent="0.3">
      <c r="B210" s="1207"/>
      <c r="C210" s="2529"/>
      <c r="D210" s="2557" t="s">
        <v>191</v>
      </c>
      <c r="E210" s="2428"/>
      <c r="F210" s="2452"/>
      <c r="G210" s="2342">
        <f>(E188+G188)*2</f>
        <v>1.6</v>
      </c>
      <c r="H210" s="2534" t="s">
        <v>185</v>
      </c>
      <c r="I210" s="2550">
        <f>I188-0.4</f>
        <v>3.48</v>
      </c>
      <c r="J210" s="2534" t="s">
        <v>185</v>
      </c>
      <c r="K210" s="2342">
        <v>1</v>
      </c>
      <c r="L210" s="2534" t="s">
        <v>185</v>
      </c>
      <c r="M210" s="2342">
        <f>M203</f>
        <v>17</v>
      </c>
      <c r="N210" s="2534"/>
      <c r="O210" s="2342"/>
      <c r="P210" s="2534" t="s">
        <v>114</v>
      </c>
      <c r="Q210" s="2342">
        <f>M210*K210*I210*G210</f>
        <v>94.656000000000006</v>
      </c>
      <c r="R210" s="2452"/>
      <c r="S210" s="2453"/>
      <c r="T210" s="2362"/>
      <c r="U210" s="2363"/>
      <c r="V210" s="2192"/>
    </row>
    <row r="211" spans="2:22" s="2186" customFormat="1" x14ac:dyDescent="0.3">
      <c r="B211" s="1207"/>
      <c r="C211" s="2529"/>
      <c r="D211" s="2541"/>
      <c r="E211" s="2492"/>
      <c r="F211" s="2509"/>
      <c r="G211" s="2448"/>
      <c r="H211" s="2449"/>
      <c r="I211" s="2448"/>
      <c r="J211" s="2449"/>
      <c r="K211" s="2448"/>
      <c r="L211" s="2449"/>
      <c r="M211" s="2449"/>
      <c r="N211" s="2449"/>
      <c r="O211" s="2448"/>
      <c r="P211" s="2449"/>
      <c r="Q211" s="2448"/>
      <c r="R211" s="2449"/>
      <c r="S211" s="2461"/>
      <c r="T211" s="2362"/>
      <c r="U211" s="2363"/>
      <c r="V211" s="2192"/>
    </row>
    <row r="212" spans="2:22" s="2186" customFormat="1" ht="17.25" thickBot="1" x14ac:dyDescent="0.35">
      <c r="B212" s="1207"/>
      <c r="C212" s="2529"/>
      <c r="D212" s="3117" t="s">
        <v>164</v>
      </c>
      <c r="E212" s="3118"/>
      <c r="F212" s="3118"/>
      <c r="G212" s="3118"/>
      <c r="H212" s="3118"/>
      <c r="I212" s="3119"/>
      <c r="J212" s="2462"/>
      <c r="K212" s="2392"/>
      <c r="L212" s="2394"/>
      <c r="M212" s="2394"/>
      <c r="N212" s="2394"/>
      <c r="O212" s="2392"/>
      <c r="P212" s="2394"/>
      <c r="Q212" s="2579">
        <f>Q210</f>
        <v>94.656000000000006</v>
      </c>
      <c r="R212" s="2394"/>
      <c r="S212" s="2336"/>
      <c r="T212" s="2362"/>
      <c r="U212" s="2363"/>
      <c r="V212" s="2192"/>
    </row>
    <row r="213" spans="2:22" x14ac:dyDescent="0.3">
      <c r="B213" s="2527"/>
      <c r="C213" s="2528"/>
      <c r="D213" s="2463"/>
      <c r="E213" s="2467"/>
      <c r="F213" s="2467"/>
      <c r="G213" s="2467"/>
      <c r="H213" s="2467"/>
      <c r="I213" s="2467"/>
      <c r="J213" s="2467"/>
      <c r="K213" s="2406"/>
      <c r="L213" s="2407"/>
      <c r="M213" s="2407"/>
      <c r="N213" s="2407"/>
      <c r="O213" s="2406"/>
      <c r="P213" s="2407"/>
      <c r="Q213" s="2406"/>
      <c r="R213" s="2407"/>
      <c r="S213" s="2464"/>
      <c r="T213" s="2370"/>
      <c r="U213" s="2371"/>
    </row>
    <row r="214" spans="2:22" s="2186" customFormat="1" ht="17.25" thickBot="1" x14ac:dyDescent="0.35">
      <c r="B214" s="1207">
        <f>'[61]RAB (2)'!B57</f>
        <v>6</v>
      </c>
      <c r="C214" s="2568" t="str">
        <f>'[61]RAB (2)'!C57</f>
        <v>Kolom Praktis</v>
      </c>
      <c r="D214" s="2358"/>
      <c r="E214" s="2359"/>
      <c r="F214" s="2360"/>
      <c r="G214" s="2359"/>
      <c r="H214" s="2360"/>
      <c r="I214" s="2359"/>
      <c r="J214" s="2360"/>
      <c r="K214" s="2359"/>
      <c r="L214" s="2360"/>
      <c r="M214" s="2360"/>
      <c r="N214" s="2360"/>
      <c r="O214" s="2359"/>
      <c r="P214" s="2360"/>
      <c r="Q214" s="2359"/>
      <c r="R214" s="2360"/>
      <c r="S214" s="2361"/>
      <c r="T214" s="2338"/>
      <c r="U214" s="2363" t="s">
        <v>27</v>
      </c>
      <c r="V214" s="2192"/>
    </row>
    <row r="215" spans="2:22" s="2186" customFormat="1" x14ac:dyDescent="0.3">
      <c r="B215" s="1207"/>
      <c r="C215" s="2529"/>
      <c r="D215" s="2375" t="s">
        <v>95</v>
      </c>
      <c r="E215" s="2376" t="s">
        <v>150</v>
      </c>
      <c r="F215" s="2377"/>
      <c r="G215" s="2376" t="s">
        <v>151</v>
      </c>
      <c r="H215" s="2377"/>
      <c r="I215" s="2376" t="s">
        <v>152</v>
      </c>
      <c r="J215" s="2377"/>
      <c r="K215" s="2376" t="s">
        <v>153</v>
      </c>
      <c r="L215" s="2378"/>
      <c r="M215" s="2378" t="s">
        <v>32</v>
      </c>
      <c r="N215" s="2378"/>
      <c r="O215" s="2379" t="s">
        <v>163</v>
      </c>
      <c r="P215" s="2378"/>
      <c r="Q215" s="2379" t="s">
        <v>151</v>
      </c>
      <c r="R215" s="2378"/>
      <c r="S215" s="2380" t="s">
        <v>143</v>
      </c>
      <c r="T215" s="2362"/>
      <c r="U215" s="2363"/>
      <c r="V215" s="2192"/>
    </row>
    <row r="216" spans="2:22" s="2186" customFormat="1" x14ac:dyDescent="0.3">
      <c r="B216" s="1207"/>
      <c r="C216" s="2529"/>
      <c r="D216" s="2557" t="s">
        <v>192</v>
      </c>
      <c r="E216" s="2550"/>
      <c r="F216" s="2534"/>
      <c r="G216" s="2342"/>
      <c r="H216" s="2534"/>
      <c r="I216" s="2342">
        <f>4-0.4</f>
        <v>3.6</v>
      </c>
      <c r="J216" s="2534" t="s">
        <v>185</v>
      </c>
      <c r="K216" s="2342">
        <v>2</v>
      </c>
      <c r="L216" s="2534"/>
      <c r="M216" s="2342"/>
      <c r="N216" s="2534"/>
      <c r="O216" s="2342"/>
      <c r="P216" s="2534"/>
      <c r="Q216" s="2342"/>
      <c r="R216" s="2534" t="s">
        <v>114</v>
      </c>
      <c r="S216" s="2536">
        <f>K216*I216</f>
        <v>7.2</v>
      </c>
      <c r="T216" s="2362"/>
      <c r="U216" s="2363"/>
      <c r="V216" s="2192"/>
    </row>
    <row r="217" spans="2:22" s="2186" customFormat="1" x14ac:dyDescent="0.3">
      <c r="B217" s="1207"/>
      <c r="C217" s="2529"/>
      <c r="D217" s="2471"/>
      <c r="E217" s="2332"/>
      <c r="F217" s="2454"/>
      <c r="G217" s="2337"/>
      <c r="H217" s="2454"/>
      <c r="I217" s="2337"/>
      <c r="J217" s="2454"/>
      <c r="K217" s="2337"/>
      <c r="L217" s="2454"/>
      <c r="M217" s="2337"/>
      <c r="N217" s="2454"/>
      <c r="O217" s="2337"/>
      <c r="P217" s="2454"/>
      <c r="Q217" s="2337"/>
      <c r="R217" s="2454"/>
      <c r="S217" s="2455"/>
      <c r="T217" s="2362"/>
      <c r="U217" s="2363"/>
      <c r="V217" s="2192"/>
    </row>
    <row r="218" spans="2:22" s="2186" customFormat="1" x14ac:dyDescent="0.3">
      <c r="B218" s="1207"/>
      <c r="C218" s="2529"/>
      <c r="D218" s="2471" t="s">
        <v>1236</v>
      </c>
      <c r="E218" s="2332">
        <v>1</v>
      </c>
      <c r="F218" s="2454" t="s">
        <v>185</v>
      </c>
      <c r="G218" s="2337"/>
      <c r="H218" s="2454"/>
      <c r="I218" s="2337"/>
      <c r="J218" s="2454"/>
      <c r="K218" s="2337">
        <f>K216</f>
        <v>2</v>
      </c>
      <c r="L218" s="2454" t="s">
        <v>185</v>
      </c>
      <c r="M218" s="2337">
        <v>4</v>
      </c>
      <c r="N218" s="2454" t="s">
        <v>185</v>
      </c>
      <c r="O218" s="2341">
        <v>7850</v>
      </c>
      <c r="P218" s="2454" t="s">
        <v>185</v>
      </c>
      <c r="Q218" s="2553">
        <f>22/7*0.005*0.005</f>
        <v>7.857142857142858E-5</v>
      </c>
      <c r="R218" s="2454" t="s">
        <v>114</v>
      </c>
      <c r="S218" s="2455">
        <f>Q218*O218*M218*K218*E218</f>
        <v>4.9342857142857151</v>
      </c>
      <c r="T218" s="2338"/>
      <c r="U218" s="2363" t="s">
        <v>0</v>
      </c>
      <c r="V218" s="2192"/>
    </row>
    <row r="219" spans="2:22" s="2186" customFormat="1" x14ac:dyDescent="0.3">
      <c r="B219" s="1207"/>
      <c r="C219" s="2529"/>
      <c r="D219" s="2541"/>
      <c r="E219" s="2580"/>
      <c r="F219" s="2580"/>
      <c r="G219" s="2434"/>
      <c r="H219" s="2434"/>
      <c r="I219" s="2434"/>
      <c r="J219" s="2434"/>
      <c r="K219" s="2434"/>
      <c r="L219" s="2434"/>
      <c r="M219" s="2434"/>
      <c r="N219" s="2434"/>
      <c r="O219" s="2434"/>
      <c r="P219" s="2434"/>
      <c r="Q219" s="2434"/>
      <c r="R219" s="2434"/>
      <c r="S219" s="2542"/>
      <c r="T219" s="2362"/>
      <c r="U219" s="2363"/>
      <c r="V219" s="2192"/>
    </row>
    <row r="220" spans="2:22" s="2186" customFormat="1" ht="17.25" thickBot="1" x14ac:dyDescent="0.35">
      <c r="B220" s="1207"/>
      <c r="C220" s="2529"/>
      <c r="D220" s="2547" t="s">
        <v>164</v>
      </c>
      <c r="E220" s="2548"/>
      <c r="F220" s="2548"/>
      <c r="G220" s="2548"/>
      <c r="H220" s="2548"/>
      <c r="I220" s="2548"/>
      <c r="J220" s="2548"/>
      <c r="K220" s="2392"/>
      <c r="L220" s="2394"/>
      <c r="M220" s="2394"/>
      <c r="N220" s="2394"/>
      <c r="O220" s="2392"/>
      <c r="P220" s="2394"/>
      <c r="Q220" s="2392"/>
      <c r="R220" s="2394"/>
      <c r="S220" s="2336"/>
      <c r="T220" s="2362"/>
      <c r="U220" s="2363"/>
      <c r="V220" s="2192"/>
    </row>
    <row r="221" spans="2:22" x14ac:dyDescent="0.3">
      <c r="B221" s="2527"/>
      <c r="C221" s="2528"/>
      <c r="D221" s="2463"/>
      <c r="E221" s="2467"/>
      <c r="F221" s="2467"/>
      <c r="G221" s="2467"/>
      <c r="H221" s="2467"/>
      <c r="I221" s="2467"/>
      <c r="J221" s="2467"/>
      <c r="K221" s="2406"/>
      <c r="L221" s="2407"/>
      <c r="M221" s="2407"/>
      <c r="N221" s="2407"/>
      <c r="O221" s="2406"/>
      <c r="P221" s="2407"/>
      <c r="Q221" s="2406"/>
      <c r="R221" s="2407"/>
      <c r="S221" s="2464"/>
      <c r="T221" s="2370"/>
      <c r="U221" s="2371"/>
    </row>
    <row r="222" spans="2:22" s="2186" customFormat="1" ht="17.25" thickBot="1" x14ac:dyDescent="0.35">
      <c r="B222" s="1207">
        <f>'[61]RAB (2)'!B58</f>
        <v>7</v>
      </c>
      <c r="C222" s="2568" t="str">
        <f>'[61]RAB (2)'!C58</f>
        <v>Balok Latai</v>
      </c>
      <c r="D222" s="2530"/>
      <c r="E222" s="2531"/>
      <c r="F222" s="2531"/>
      <c r="G222" s="2531"/>
      <c r="H222" s="2531"/>
      <c r="I222" s="2531"/>
      <c r="J222" s="2531"/>
      <c r="K222" s="2397"/>
      <c r="L222" s="2398"/>
      <c r="M222" s="2398"/>
      <c r="N222" s="2398"/>
      <c r="O222" s="2397"/>
      <c r="P222" s="2398"/>
      <c r="Q222" s="2397"/>
      <c r="R222" s="2398"/>
      <c r="S222" s="2532"/>
      <c r="T222" s="2338"/>
      <c r="U222" s="2363" t="s">
        <v>27</v>
      </c>
      <c r="V222" s="2192"/>
    </row>
    <row r="223" spans="2:22" s="2186" customFormat="1" x14ac:dyDescent="0.3">
      <c r="B223" s="1207"/>
      <c r="C223" s="2529"/>
      <c r="D223" s="2375" t="s">
        <v>95</v>
      </c>
      <c r="E223" s="2376" t="s">
        <v>150</v>
      </c>
      <c r="F223" s="2377"/>
      <c r="G223" s="2376" t="s">
        <v>151</v>
      </c>
      <c r="H223" s="2377"/>
      <c r="I223" s="2376" t="s">
        <v>152</v>
      </c>
      <c r="J223" s="2377"/>
      <c r="K223" s="2376" t="s">
        <v>153</v>
      </c>
      <c r="L223" s="2378"/>
      <c r="M223" s="2378" t="s">
        <v>32</v>
      </c>
      <c r="N223" s="2378"/>
      <c r="O223" s="2379" t="s">
        <v>163</v>
      </c>
      <c r="P223" s="2378"/>
      <c r="Q223" s="2379" t="s">
        <v>151</v>
      </c>
      <c r="R223" s="2378"/>
      <c r="S223" s="2380" t="s">
        <v>143</v>
      </c>
      <c r="T223" s="2362"/>
      <c r="U223" s="2363"/>
      <c r="V223" s="2192"/>
    </row>
    <row r="224" spans="2:22" s="2186" customFormat="1" x14ac:dyDescent="0.3">
      <c r="B224" s="1207"/>
      <c r="C224" s="2529"/>
      <c r="D224" s="2581" t="s">
        <v>156</v>
      </c>
      <c r="E224" s="2582"/>
      <c r="F224" s="2583"/>
      <c r="G224" s="2582"/>
      <c r="H224" s="2583"/>
      <c r="I224" s="2582"/>
      <c r="J224" s="2583"/>
      <c r="K224" s="2582"/>
      <c r="L224" s="2584"/>
      <c r="M224" s="2584"/>
      <c r="N224" s="2584"/>
      <c r="O224" s="2585"/>
      <c r="P224" s="2584"/>
      <c r="Q224" s="2585"/>
      <c r="R224" s="2584"/>
      <c r="S224" s="2586"/>
      <c r="T224" s="2362"/>
      <c r="U224" s="2363"/>
      <c r="V224" s="2192"/>
    </row>
    <row r="225" spans="2:22" s="2186" customFormat="1" x14ac:dyDescent="0.3">
      <c r="B225" s="1207"/>
      <c r="C225" s="2529"/>
      <c r="D225" s="2587" t="s">
        <v>1324</v>
      </c>
      <c r="E225" s="2588">
        <v>3.6</v>
      </c>
      <c r="F225" s="2589" t="s">
        <v>185</v>
      </c>
      <c r="G225" s="2590"/>
      <c r="H225" s="2589"/>
      <c r="I225" s="2590"/>
      <c r="J225" s="2589"/>
      <c r="K225" s="2590">
        <v>6</v>
      </c>
      <c r="L225" s="2589"/>
      <c r="M225" s="2590"/>
      <c r="N225" s="2589"/>
      <c r="O225" s="2590"/>
      <c r="P225" s="2589"/>
      <c r="Q225" s="2590"/>
      <c r="R225" s="2589" t="s">
        <v>114</v>
      </c>
      <c r="S225" s="2591">
        <f>K225*E225</f>
        <v>21.6</v>
      </c>
      <c r="T225" s="2362"/>
      <c r="U225" s="2363"/>
      <c r="V225" s="2192"/>
    </row>
    <row r="226" spans="2:22" s="2186" customFormat="1" x14ac:dyDescent="0.3">
      <c r="B226" s="1207"/>
      <c r="C226" s="2529"/>
      <c r="D226" s="2592" t="s">
        <v>157</v>
      </c>
      <c r="E226" s="2337"/>
      <c r="F226" s="2454"/>
      <c r="G226" s="2337"/>
      <c r="H226" s="2454"/>
      <c r="I226" s="2337"/>
      <c r="J226" s="2454"/>
      <c r="K226" s="2337"/>
      <c r="L226" s="2337"/>
      <c r="M226" s="2337"/>
      <c r="N226" s="2337"/>
      <c r="O226" s="2337"/>
      <c r="P226" s="2337"/>
      <c r="Q226" s="2337"/>
      <c r="R226" s="2454"/>
      <c r="S226" s="2455"/>
      <c r="T226" s="2362"/>
      <c r="U226" s="2363"/>
      <c r="V226" s="2192"/>
    </row>
    <row r="227" spans="2:22" s="2186" customFormat="1" x14ac:dyDescent="0.3">
      <c r="B227" s="1207"/>
      <c r="C227" s="2529"/>
      <c r="D227" s="2587" t="s">
        <v>1324</v>
      </c>
      <c r="E227" s="2332">
        <v>3.6</v>
      </c>
      <c r="F227" s="2454" t="s">
        <v>185</v>
      </c>
      <c r="G227" s="2337"/>
      <c r="H227" s="2454"/>
      <c r="I227" s="2337"/>
      <c r="J227" s="2454"/>
      <c r="K227" s="2337">
        <v>2</v>
      </c>
      <c r="L227" s="2454"/>
      <c r="M227" s="2337"/>
      <c r="N227" s="2454"/>
      <c r="O227" s="2337"/>
      <c r="P227" s="2454"/>
      <c r="Q227" s="2337"/>
      <c r="R227" s="2454" t="s">
        <v>114</v>
      </c>
      <c r="S227" s="2455">
        <f>E227*K227</f>
        <v>7.2</v>
      </c>
      <c r="T227" s="2362"/>
      <c r="U227" s="2363"/>
      <c r="V227" s="2192"/>
    </row>
    <row r="228" spans="2:22" s="2186" customFormat="1" x14ac:dyDescent="0.3">
      <c r="B228" s="1207"/>
      <c r="C228" s="2529"/>
      <c r="D228" s="2541"/>
      <c r="E228" s="2580"/>
      <c r="F228" s="2580"/>
      <c r="G228" s="2434"/>
      <c r="H228" s="2434"/>
      <c r="I228" s="2434"/>
      <c r="J228" s="2434"/>
      <c r="K228" s="2434"/>
      <c r="L228" s="2434"/>
      <c r="M228" s="2434"/>
      <c r="N228" s="2434"/>
      <c r="O228" s="2434"/>
      <c r="P228" s="2434"/>
      <c r="Q228" s="2434"/>
      <c r="R228" s="2434"/>
      <c r="S228" s="2542"/>
      <c r="T228" s="2362"/>
      <c r="U228" s="2363"/>
      <c r="V228" s="2192"/>
    </row>
    <row r="229" spans="2:22" s="2186" customFormat="1" x14ac:dyDescent="0.3">
      <c r="B229" s="1207"/>
      <c r="C229" s="2529"/>
      <c r="D229" s="2593" t="s">
        <v>164</v>
      </c>
      <c r="E229" s="2594"/>
      <c r="F229" s="2594"/>
      <c r="G229" s="2594"/>
      <c r="H229" s="2594"/>
      <c r="I229" s="2595"/>
      <c r="J229" s="2596"/>
      <c r="K229" s="2594"/>
      <c r="L229" s="2594"/>
      <c r="M229" s="2594"/>
      <c r="N229" s="2594"/>
      <c r="O229" s="2594"/>
      <c r="P229" s="2594"/>
      <c r="Q229" s="2594"/>
      <c r="R229" s="2594"/>
      <c r="S229" s="2597">
        <f>SUM(S224:S228)</f>
        <v>28.8</v>
      </c>
      <c r="T229" s="2362"/>
      <c r="U229" s="2363"/>
      <c r="V229" s="2192"/>
    </row>
    <row r="230" spans="2:22" s="2186" customFormat="1" x14ac:dyDescent="0.3">
      <c r="B230" s="1207"/>
      <c r="C230" s="2529"/>
      <c r="D230" s="2581"/>
      <c r="E230" s="2342"/>
      <c r="F230" s="2342"/>
      <c r="G230" s="2342"/>
      <c r="H230" s="2342"/>
      <c r="I230" s="2342"/>
      <c r="J230" s="2342"/>
      <c r="K230" s="2342"/>
      <c r="L230" s="2342"/>
      <c r="M230" s="2342"/>
      <c r="N230" s="2342"/>
      <c r="O230" s="2342"/>
      <c r="P230" s="2342"/>
      <c r="Q230" s="2342"/>
      <c r="R230" s="2342"/>
      <c r="S230" s="2598"/>
      <c r="T230" s="2362"/>
      <c r="U230" s="2363"/>
      <c r="V230" s="2192"/>
    </row>
    <row r="231" spans="2:22" s="2186" customFormat="1" ht="17.25" thickBot="1" x14ac:dyDescent="0.35">
      <c r="B231" s="1207"/>
      <c r="C231" s="2529"/>
      <c r="D231" s="2599" t="s">
        <v>1236</v>
      </c>
      <c r="E231" s="2600">
        <v>1</v>
      </c>
      <c r="F231" s="2601" t="s">
        <v>185</v>
      </c>
      <c r="G231" s="2561"/>
      <c r="H231" s="2601"/>
      <c r="I231" s="2561"/>
      <c r="J231" s="2601"/>
      <c r="K231" s="2561">
        <f>SUM(K225:K227)</f>
        <v>8</v>
      </c>
      <c r="L231" s="2601" t="s">
        <v>185</v>
      </c>
      <c r="M231" s="2561">
        <v>4</v>
      </c>
      <c r="N231" s="2601" t="s">
        <v>185</v>
      </c>
      <c r="O231" s="2602">
        <v>7850</v>
      </c>
      <c r="P231" s="2601" t="s">
        <v>185</v>
      </c>
      <c r="Q231" s="2603">
        <f>22/7*0.005*0.005</f>
        <v>7.857142857142858E-5</v>
      </c>
      <c r="R231" s="2601" t="s">
        <v>114</v>
      </c>
      <c r="S231" s="2562">
        <f>Q231*O231*M231*K231*E231</f>
        <v>19.73714285714286</v>
      </c>
      <c r="T231" s="2338"/>
      <c r="U231" s="2363" t="s">
        <v>0</v>
      </c>
      <c r="V231" s="2192"/>
    </row>
    <row r="232" spans="2:22" x14ac:dyDescent="0.3">
      <c r="B232" s="2527"/>
      <c r="C232" s="2528"/>
      <c r="D232" s="2463"/>
      <c r="E232" s="2467"/>
      <c r="F232" s="2467"/>
      <c r="G232" s="2467"/>
      <c r="H232" s="2467"/>
      <c r="I232" s="2467"/>
      <c r="J232" s="2467"/>
      <c r="K232" s="2406"/>
      <c r="L232" s="2407"/>
      <c r="M232" s="2407"/>
      <c r="N232" s="2407"/>
      <c r="O232" s="2406"/>
      <c r="P232" s="2407"/>
      <c r="Q232" s="2406"/>
      <c r="R232" s="2407"/>
      <c r="S232" s="2464"/>
      <c r="T232" s="2370"/>
      <c r="U232" s="2371"/>
    </row>
    <row r="233" spans="2:22" s="2185" customFormat="1" x14ac:dyDescent="0.3">
      <c r="B233" s="1207">
        <f>'[61]RAB (2)'!B59</f>
        <v>8</v>
      </c>
      <c r="C233" s="2568" t="str">
        <f>'[61]RAB (2)'!C59</f>
        <v>Balok 25x50 Cm (B1)</v>
      </c>
      <c r="D233" s="2520"/>
      <c r="E233" s="2521"/>
      <c r="F233" s="2521"/>
      <c r="G233" s="2521"/>
      <c r="H233" s="2521"/>
      <c r="I233" s="2521"/>
      <c r="J233" s="2521"/>
      <c r="K233" s="2495"/>
      <c r="L233" s="2496"/>
      <c r="M233" s="2496"/>
      <c r="N233" s="2496"/>
      <c r="O233" s="2495"/>
      <c r="P233" s="2496"/>
      <c r="Q233" s="2495"/>
      <c r="R233" s="2496"/>
      <c r="S233" s="2604"/>
      <c r="T233" s="2356"/>
      <c r="U233" s="2410"/>
      <c r="V233" s="2209"/>
    </row>
    <row r="234" spans="2:22" s="2185" customFormat="1" ht="17.25" thickBot="1" x14ac:dyDescent="0.35">
      <c r="B234" s="1207"/>
      <c r="C234" s="2546" t="str">
        <f>'[61]RAB (2)'!D60</f>
        <v xml:space="preserve">Beton mutu f'c=26,4 Mpa </v>
      </c>
      <c r="D234" s="2520"/>
      <c r="E234" s="2521"/>
      <c r="F234" s="2521"/>
      <c r="G234" s="2521"/>
      <c r="H234" s="2521"/>
      <c r="I234" s="2521"/>
      <c r="J234" s="2521"/>
      <c r="K234" s="2495"/>
      <c r="L234" s="2496"/>
      <c r="M234" s="2496"/>
      <c r="N234" s="2496"/>
      <c r="O234" s="2495"/>
      <c r="P234" s="2496"/>
      <c r="Q234" s="2495"/>
      <c r="R234" s="2496"/>
      <c r="S234" s="2604"/>
      <c r="T234" s="2330"/>
      <c r="U234" s="2410" t="s">
        <v>3</v>
      </c>
      <c r="V234" s="2209"/>
    </row>
    <row r="235" spans="2:22" s="2185" customFormat="1" x14ac:dyDescent="0.3">
      <c r="B235" s="1207"/>
      <c r="C235" s="2546"/>
      <c r="D235" s="2420" t="s">
        <v>95</v>
      </c>
      <c r="E235" s="2421" t="s">
        <v>150</v>
      </c>
      <c r="F235" s="2422"/>
      <c r="G235" s="2421" t="s">
        <v>151</v>
      </c>
      <c r="H235" s="2422"/>
      <c r="I235" s="2421" t="s">
        <v>152</v>
      </c>
      <c r="J235" s="2422"/>
      <c r="K235" s="2421" t="s">
        <v>153</v>
      </c>
      <c r="L235" s="2423"/>
      <c r="M235" s="2423" t="s">
        <v>32</v>
      </c>
      <c r="N235" s="2423"/>
      <c r="O235" s="2424" t="s">
        <v>163</v>
      </c>
      <c r="P235" s="2423"/>
      <c r="Q235" s="2424" t="s">
        <v>151</v>
      </c>
      <c r="R235" s="2423"/>
      <c r="S235" s="2425" t="s">
        <v>143</v>
      </c>
      <c r="T235" s="2356"/>
      <c r="U235" s="2410"/>
      <c r="V235" s="2209"/>
    </row>
    <row r="236" spans="2:22" s="2185" customFormat="1" x14ac:dyDescent="0.3">
      <c r="B236" s="1207"/>
      <c r="C236" s="2546"/>
      <c r="D236" s="2605" t="s">
        <v>156</v>
      </c>
      <c r="E236" s="2606">
        <f>4-0.4</f>
        <v>3.6</v>
      </c>
      <c r="F236" s="2607" t="s">
        <v>185</v>
      </c>
      <c r="G236" s="2550">
        <v>0.25</v>
      </c>
      <c r="H236" s="2607" t="s">
        <v>185</v>
      </c>
      <c r="I236" s="2550">
        <f>0.5-0.12</f>
        <v>0.38</v>
      </c>
      <c r="J236" s="2607" t="s">
        <v>185</v>
      </c>
      <c r="K236" s="2550">
        <v>1</v>
      </c>
      <c r="L236" s="2607"/>
      <c r="M236" s="2550"/>
      <c r="N236" s="2607"/>
      <c r="O236" s="2550"/>
      <c r="P236" s="2607"/>
      <c r="Q236" s="2550"/>
      <c r="R236" s="2607" t="s">
        <v>114</v>
      </c>
      <c r="S236" s="2608">
        <f>E236*G236*I236*K236</f>
        <v>0.34200000000000003</v>
      </c>
      <c r="T236" s="2356"/>
      <c r="U236" s="2410"/>
      <c r="V236" s="2209"/>
    </row>
    <row r="237" spans="2:22" s="2185" customFormat="1" x14ac:dyDescent="0.3">
      <c r="B237" s="1207"/>
      <c r="C237" s="2546"/>
      <c r="D237" s="2609" t="s">
        <v>244</v>
      </c>
      <c r="E237" s="2332"/>
      <c r="F237" s="2335"/>
      <c r="G237" s="2332"/>
      <c r="H237" s="2335"/>
      <c r="I237" s="2332"/>
      <c r="J237" s="2335"/>
      <c r="K237" s="2332"/>
      <c r="L237" s="2335"/>
      <c r="M237" s="2332"/>
      <c r="N237" s="2335"/>
      <c r="O237" s="2332"/>
      <c r="P237" s="2335"/>
      <c r="Q237" s="2332"/>
      <c r="R237" s="2335"/>
      <c r="S237" s="2545"/>
      <c r="T237" s="2356"/>
      <c r="U237" s="2410"/>
      <c r="V237" s="2209"/>
    </row>
    <row r="238" spans="2:22" s="2185" customFormat="1" x14ac:dyDescent="0.3">
      <c r="B238" s="1207"/>
      <c r="C238" s="2546"/>
      <c r="D238" s="2431" t="s">
        <v>733</v>
      </c>
      <c r="E238" s="2332"/>
      <c r="F238" s="2335"/>
      <c r="G238" s="2332"/>
      <c r="H238" s="2335"/>
      <c r="I238" s="2332"/>
      <c r="J238" s="2335"/>
      <c r="K238" s="2332">
        <f>S250</f>
        <v>90.310751142857143</v>
      </c>
      <c r="L238" s="2335" t="s">
        <v>253</v>
      </c>
      <c r="M238" s="2332"/>
      <c r="N238" s="2332"/>
      <c r="O238" s="2339">
        <v>7850</v>
      </c>
      <c r="P238" s="2332"/>
      <c r="Q238" s="2332"/>
      <c r="R238" s="2335" t="s">
        <v>149</v>
      </c>
      <c r="S238" s="2610">
        <f>K238/O238</f>
        <v>1.1504554285714286E-2</v>
      </c>
      <c r="T238" s="2356"/>
      <c r="U238" s="2410"/>
      <c r="V238" s="2209"/>
    </row>
    <row r="239" spans="2:22" s="2185" customFormat="1" x14ac:dyDescent="0.3">
      <c r="B239" s="1207"/>
      <c r="C239" s="2546"/>
      <c r="D239" s="2431" t="s">
        <v>734</v>
      </c>
      <c r="E239" s="2332"/>
      <c r="F239" s="2335"/>
      <c r="G239" s="2332"/>
      <c r="H239" s="2335"/>
      <c r="I239" s="2332"/>
      <c r="J239" s="2335"/>
      <c r="K239" s="2332">
        <f>S257</f>
        <v>25.534928571428573</v>
      </c>
      <c r="L239" s="2335" t="s">
        <v>253</v>
      </c>
      <c r="M239" s="2332"/>
      <c r="N239" s="2332"/>
      <c r="O239" s="2339">
        <f>O238</f>
        <v>7850</v>
      </c>
      <c r="P239" s="2332"/>
      <c r="Q239" s="2332"/>
      <c r="R239" s="2335" t="s">
        <v>149</v>
      </c>
      <c r="S239" s="2610">
        <f>K239/O239</f>
        <v>3.2528571428571428E-3</v>
      </c>
      <c r="T239" s="2356"/>
      <c r="U239" s="2410"/>
      <c r="V239" s="2209"/>
    </row>
    <row r="240" spans="2:22" s="2185" customFormat="1" x14ac:dyDescent="0.3">
      <c r="B240" s="1207"/>
      <c r="C240" s="2546"/>
      <c r="D240" s="2611"/>
      <c r="E240" s="2612"/>
      <c r="F240" s="2613"/>
      <c r="G240" s="2612"/>
      <c r="H240" s="2613"/>
      <c r="I240" s="2612"/>
      <c r="J240" s="2613"/>
      <c r="K240" s="2612"/>
      <c r="L240" s="2613"/>
      <c r="M240" s="2612"/>
      <c r="N240" s="2612"/>
      <c r="O240" s="2612"/>
      <c r="P240" s="2612"/>
      <c r="Q240" s="2612"/>
      <c r="R240" s="2613"/>
      <c r="S240" s="2614">
        <f>SUM(S238:S239)</f>
        <v>1.4757411428571428E-2</v>
      </c>
      <c r="T240" s="2356"/>
      <c r="U240" s="2410"/>
      <c r="V240" s="2209"/>
    </row>
    <row r="241" spans="2:25" s="2185" customFormat="1" x14ac:dyDescent="0.3">
      <c r="B241" s="1207"/>
      <c r="C241" s="2546"/>
      <c r="D241" s="2517"/>
      <c r="E241" s="2580"/>
      <c r="F241" s="2580"/>
      <c r="G241" s="2580"/>
      <c r="H241" s="2580"/>
      <c r="I241" s="2580"/>
      <c r="J241" s="2580"/>
      <c r="K241" s="2580"/>
      <c r="L241" s="2580"/>
      <c r="M241" s="2580"/>
      <c r="N241" s="2580"/>
      <c r="O241" s="2580"/>
      <c r="P241" s="2580"/>
      <c r="Q241" s="2580"/>
      <c r="R241" s="2580"/>
      <c r="S241" s="2615"/>
      <c r="T241" s="2356"/>
      <c r="U241" s="2410"/>
      <c r="V241" s="2209"/>
    </row>
    <row r="242" spans="2:25" s="2185" customFormat="1" ht="17.25" thickBot="1" x14ac:dyDescent="0.35">
      <c r="B242" s="1207"/>
      <c r="C242" s="2546"/>
      <c r="D242" s="3129" t="s">
        <v>164</v>
      </c>
      <c r="E242" s="3130"/>
      <c r="F242" s="3130"/>
      <c r="G242" s="3130"/>
      <c r="H242" s="3130"/>
      <c r="I242" s="3131"/>
      <c r="J242" s="2519"/>
      <c r="K242" s="2481"/>
      <c r="L242" s="2483"/>
      <c r="M242" s="2483"/>
      <c r="N242" s="2483"/>
      <c r="O242" s="2481"/>
      <c r="P242" s="2483"/>
      <c r="Q242" s="2481"/>
      <c r="R242" s="2483"/>
      <c r="S242" s="2616">
        <f>S236-S240</f>
        <v>0.32724258857142857</v>
      </c>
      <c r="T242" s="2356"/>
      <c r="U242" s="2410"/>
      <c r="V242" s="2209"/>
    </row>
    <row r="243" spans="2:25" s="2207" customFormat="1" x14ac:dyDescent="0.3">
      <c r="B243" s="2527"/>
      <c r="C243" s="2617"/>
      <c r="D243" s="2524"/>
      <c r="E243" s="2525"/>
      <c r="F243" s="2525"/>
      <c r="G243" s="2525"/>
      <c r="H243" s="2525"/>
      <c r="I243" s="2525"/>
      <c r="J243" s="2525"/>
      <c r="K243" s="2499"/>
      <c r="L243" s="2500"/>
      <c r="M243" s="2500"/>
      <c r="N243" s="2500"/>
      <c r="O243" s="2499"/>
      <c r="P243" s="2500"/>
      <c r="Q243" s="2499"/>
      <c r="R243" s="2500"/>
      <c r="S243" s="2618"/>
      <c r="T243" s="2364"/>
      <c r="U243" s="2489"/>
      <c r="V243" s="2214"/>
    </row>
    <row r="244" spans="2:25" s="2185" customFormat="1" ht="17.25" thickBot="1" x14ac:dyDescent="0.35">
      <c r="B244" s="1207"/>
      <c r="C244" s="2546" t="str">
        <f>'[61]RAB (2)'!D61</f>
        <v>Pembesian Ulir</v>
      </c>
      <c r="D244" s="2520"/>
      <c r="E244" s="2521"/>
      <c r="F244" s="2521"/>
      <c r="G244" s="2521"/>
      <c r="H244" s="2521"/>
      <c r="I244" s="2521"/>
      <c r="J244" s="2521"/>
      <c r="K244" s="2495"/>
      <c r="L244" s="2496"/>
      <c r="M244" s="2496"/>
      <c r="N244" s="2496"/>
      <c r="O244" s="2495"/>
      <c r="P244" s="2496"/>
      <c r="Q244" s="2495"/>
      <c r="R244" s="2496"/>
      <c r="S244" s="2604"/>
      <c r="T244" s="2330"/>
      <c r="U244" s="2410" t="s">
        <v>0</v>
      </c>
      <c r="V244" s="2209"/>
      <c r="X244" s="2215"/>
    </row>
    <row r="245" spans="2:25" s="2185" customFormat="1" x14ac:dyDescent="0.3">
      <c r="B245" s="1207"/>
      <c r="C245" s="2546"/>
      <c r="D245" s="2420" t="s">
        <v>95</v>
      </c>
      <c r="E245" s="2421" t="s">
        <v>150</v>
      </c>
      <c r="F245" s="2422"/>
      <c r="G245" s="2421" t="s">
        <v>151</v>
      </c>
      <c r="H245" s="2422"/>
      <c r="I245" s="2421" t="s">
        <v>152</v>
      </c>
      <c r="J245" s="2422"/>
      <c r="K245" s="2421" t="s">
        <v>153</v>
      </c>
      <c r="L245" s="2423"/>
      <c r="M245" s="2423" t="s">
        <v>32</v>
      </c>
      <c r="N245" s="2423"/>
      <c r="O245" s="2424" t="s">
        <v>163</v>
      </c>
      <c r="P245" s="2423"/>
      <c r="Q245" s="2424" t="s">
        <v>151</v>
      </c>
      <c r="R245" s="2423"/>
      <c r="S245" s="2425" t="s">
        <v>143</v>
      </c>
      <c r="T245" s="2356"/>
      <c r="U245" s="2410"/>
      <c r="V245" s="2209"/>
      <c r="W245" s="2223"/>
    </row>
    <row r="246" spans="2:25" s="2185" customFormat="1" x14ac:dyDescent="0.3">
      <c r="B246" s="1207"/>
      <c r="C246" s="2546"/>
      <c r="D246" s="2543" t="s">
        <v>236</v>
      </c>
      <c r="E246" s="2332">
        <v>4</v>
      </c>
      <c r="F246" s="2335" t="s">
        <v>185</v>
      </c>
      <c r="G246" s="2332"/>
      <c r="H246" s="2332"/>
      <c r="I246" s="2332"/>
      <c r="J246" s="2332"/>
      <c r="K246" s="2332">
        <v>6</v>
      </c>
      <c r="L246" s="2335" t="s">
        <v>185</v>
      </c>
      <c r="M246" s="2332">
        <f>K236</f>
        <v>1</v>
      </c>
      <c r="N246" s="2335" t="s">
        <v>185</v>
      </c>
      <c r="O246" s="2339">
        <v>7850</v>
      </c>
      <c r="P246" s="2335" t="s">
        <v>185</v>
      </c>
      <c r="Q246" s="2619">
        <f>22/7*0.0095*0.0095</f>
        <v>2.8364285714285714E-4</v>
      </c>
      <c r="R246" s="2335" t="s">
        <v>114</v>
      </c>
      <c r="S246" s="2545">
        <f>E246*K246*M246*O246*Q246</f>
        <v>53.438314285714284</v>
      </c>
      <c r="T246" s="2356"/>
      <c r="U246" s="2410"/>
      <c r="V246" s="2209"/>
    </row>
    <row r="247" spans="2:25" s="2185" customFormat="1" x14ac:dyDescent="0.3">
      <c r="B247" s="1207"/>
      <c r="C247" s="2546"/>
      <c r="D247" s="2458" t="s">
        <v>290</v>
      </c>
      <c r="E247" s="2334">
        <f>V247/2+(40*0.019*2)</f>
        <v>3.52</v>
      </c>
      <c r="F247" s="2441" t="s">
        <v>185</v>
      </c>
      <c r="G247" s="2440"/>
      <c r="H247" s="2504"/>
      <c r="I247" s="2440"/>
      <c r="J247" s="2504"/>
      <c r="K247" s="2332">
        <v>3</v>
      </c>
      <c r="L247" s="2441" t="s">
        <v>185</v>
      </c>
      <c r="M247" s="2334">
        <f>M246</f>
        <v>1</v>
      </c>
      <c r="N247" s="2441" t="s">
        <v>185</v>
      </c>
      <c r="O247" s="2339">
        <v>7850</v>
      </c>
      <c r="P247" s="2335" t="s">
        <v>185</v>
      </c>
      <c r="Q247" s="2544">
        <f>22/7*0.0095*0.0095</f>
        <v>2.8364285714285714E-4</v>
      </c>
      <c r="R247" s="2441" t="s">
        <v>114</v>
      </c>
      <c r="S247" s="2545">
        <f>E247*K247*M247*O247*Q247</f>
        <v>23.512858285714287</v>
      </c>
      <c r="T247" s="2356"/>
      <c r="U247" s="2410"/>
      <c r="V247" s="2209">
        <v>4</v>
      </c>
    </row>
    <row r="248" spans="2:25" s="2185" customFormat="1" x14ac:dyDescent="0.3">
      <c r="B248" s="1207"/>
      <c r="C248" s="2546"/>
      <c r="D248" s="2458" t="s">
        <v>288</v>
      </c>
      <c r="E248" s="2334">
        <f>V248/2</f>
        <v>2</v>
      </c>
      <c r="F248" s="2441" t="s">
        <v>185</v>
      </c>
      <c r="G248" s="2440"/>
      <c r="H248" s="2504"/>
      <c r="I248" s="2440"/>
      <c r="J248" s="2504"/>
      <c r="K248" s="2332">
        <v>3</v>
      </c>
      <c r="L248" s="2441" t="s">
        <v>185</v>
      </c>
      <c r="M248" s="2334">
        <f>M247</f>
        <v>1</v>
      </c>
      <c r="N248" s="2441" t="s">
        <v>185</v>
      </c>
      <c r="O248" s="2339">
        <v>7850</v>
      </c>
      <c r="P248" s="2335" t="s">
        <v>185</v>
      </c>
      <c r="Q248" s="2544">
        <f>22/7*0.0095*0.0095</f>
        <v>2.8364285714285714E-4</v>
      </c>
      <c r="R248" s="2441" t="s">
        <v>114</v>
      </c>
      <c r="S248" s="2545">
        <f>E248*K248*M248*O248*Q248</f>
        <v>13.359578571428571</v>
      </c>
      <c r="T248" s="2356"/>
      <c r="U248" s="2410"/>
      <c r="V248" s="2209">
        <v>4</v>
      </c>
    </row>
    <row r="249" spans="2:25" s="2185" customFormat="1" x14ac:dyDescent="0.3">
      <c r="B249" s="1207"/>
      <c r="C249" s="2546"/>
      <c r="D249" s="2517"/>
      <c r="E249" s="2492"/>
      <c r="F249" s="2508"/>
      <c r="G249" s="2492"/>
      <c r="H249" s="2509"/>
      <c r="I249" s="2492"/>
      <c r="J249" s="2509"/>
      <c r="K249" s="2492"/>
      <c r="L249" s="2508"/>
      <c r="M249" s="2509"/>
      <c r="N249" s="2508"/>
      <c r="O249" s="2492"/>
      <c r="P249" s="2508"/>
      <c r="Q249" s="2492"/>
      <c r="R249" s="2508"/>
      <c r="S249" s="2518"/>
      <c r="T249" s="2356"/>
      <c r="U249" s="2410"/>
      <c r="V249" s="2209"/>
    </row>
    <row r="250" spans="2:25" s="2185" customFormat="1" ht="17.25" thickBot="1" x14ac:dyDescent="0.35">
      <c r="B250" s="1207"/>
      <c r="C250" s="2546"/>
      <c r="D250" s="3129" t="s">
        <v>164</v>
      </c>
      <c r="E250" s="3130"/>
      <c r="F250" s="3130"/>
      <c r="G250" s="3130"/>
      <c r="H250" s="3130"/>
      <c r="I250" s="3131"/>
      <c r="J250" s="2519"/>
      <c r="K250" s="2481"/>
      <c r="L250" s="2483"/>
      <c r="M250" s="2483"/>
      <c r="N250" s="2483"/>
      <c r="O250" s="2481"/>
      <c r="P250" s="2483"/>
      <c r="Q250" s="2481"/>
      <c r="R250" s="2483"/>
      <c r="S250" s="2620">
        <f>SUM(S246:S249)</f>
        <v>90.310751142857143</v>
      </c>
      <c r="T250" s="2356"/>
      <c r="U250" s="2410"/>
      <c r="V250" s="2209"/>
    </row>
    <row r="251" spans="2:25" s="2207" customFormat="1" x14ac:dyDescent="0.3">
      <c r="B251" s="2527"/>
      <c r="C251" s="2617"/>
      <c r="D251" s="2524"/>
      <c r="E251" s="2525"/>
      <c r="F251" s="2525"/>
      <c r="G251" s="2525"/>
      <c r="H251" s="2525"/>
      <c r="I251" s="2525"/>
      <c r="J251" s="2525"/>
      <c r="K251" s="2499"/>
      <c r="L251" s="2500"/>
      <c r="M251" s="2500"/>
      <c r="N251" s="2500"/>
      <c r="O251" s="2499"/>
      <c r="P251" s="2500"/>
      <c r="Q251" s="2499"/>
      <c r="R251" s="2500"/>
      <c r="S251" s="2618"/>
      <c r="T251" s="2364"/>
      <c r="U251" s="2489"/>
      <c r="V251" s="2214"/>
    </row>
    <row r="252" spans="2:25" s="2185" customFormat="1" ht="17.25" thickBot="1" x14ac:dyDescent="0.35">
      <c r="B252" s="1207"/>
      <c r="C252" s="2546" t="str">
        <f>'[61]RAB (2)'!D62</f>
        <v>Pembesian sengkang</v>
      </c>
      <c r="D252" s="2520"/>
      <c r="E252" s="2521"/>
      <c r="F252" s="2521"/>
      <c r="G252" s="2521"/>
      <c r="H252" s="2521"/>
      <c r="I252" s="2521"/>
      <c r="J252" s="2521"/>
      <c r="K252" s="2495"/>
      <c r="L252" s="2496"/>
      <c r="M252" s="2496"/>
      <c r="N252" s="2496"/>
      <c r="O252" s="2495"/>
      <c r="P252" s="2496"/>
      <c r="Q252" s="2495"/>
      <c r="R252" s="2496"/>
      <c r="S252" s="2604"/>
      <c r="T252" s="2330"/>
      <c r="U252" s="2410" t="s">
        <v>0</v>
      </c>
      <c r="V252" s="2209"/>
    </row>
    <row r="253" spans="2:25" s="2185" customFormat="1" x14ac:dyDescent="0.3">
      <c r="B253" s="1207"/>
      <c r="C253" s="2546"/>
      <c r="D253" s="2420" t="s">
        <v>95</v>
      </c>
      <c r="E253" s="2421" t="s">
        <v>150</v>
      </c>
      <c r="F253" s="2422"/>
      <c r="G253" s="2421" t="s">
        <v>151</v>
      </c>
      <c r="H253" s="2422"/>
      <c r="I253" s="2421" t="s">
        <v>152</v>
      </c>
      <c r="J253" s="2422"/>
      <c r="K253" s="2421" t="s">
        <v>153</v>
      </c>
      <c r="L253" s="2423"/>
      <c r="M253" s="2423" t="s">
        <v>32</v>
      </c>
      <c r="N253" s="2423"/>
      <c r="O253" s="2424" t="s">
        <v>163</v>
      </c>
      <c r="P253" s="2423"/>
      <c r="Q253" s="2424" t="s">
        <v>151</v>
      </c>
      <c r="R253" s="2423"/>
      <c r="S253" s="2425" t="s">
        <v>143</v>
      </c>
      <c r="T253" s="2356"/>
      <c r="U253" s="2410"/>
      <c r="V253" s="2209"/>
      <c r="W253" s="2215"/>
      <c r="Y253" s="2215"/>
    </row>
    <row r="254" spans="2:25" s="2185" customFormat="1" x14ac:dyDescent="0.3">
      <c r="B254" s="1207"/>
      <c r="C254" s="2546"/>
      <c r="D254" s="2522" t="s">
        <v>237</v>
      </c>
      <c r="E254" s="2550">
        <f>(0.44+0.19)*2+(2*6*0.01)</f>
        <v>1.38</v>
      </c>
      <c r="F254" s="2607" t="s">
        <v>185</v>
      </c>
      <c r="G254" s="2550"/>
      <c r="H254" s="2550"/>
      <c r="I254" s="2550"/>
      <c r="J254" s="2550"/>
      <c r="K254" s="2550">
        <f>ROUNDDOWN(W254,0.3)</f>
        <v>18</v>
      </c>
      <c r="L254" s="2607" t="s">
        <v>185</v>
      </c>
      <c r="M254" s="2550">
        <v>1</v>
      </c>
      <c r="N254" s="2607" t="s">
        <v>185</v>
      </c>
      <c r="O254" s="2621">
        <v>7850</v>
      </c>
      <c r="P254" s="2607" t="s">
        <v>185</v>
      </c>
      <c r="Q254" s="2622">
        <f>22/7*0.005*0.005</f>
        <v>7.857142857142858E-5</v>
      </c>
      <c r="R254" s="2607" t="s">
        <v>114</v>
      </c>
      <c r="S254" s="2608">
        <f>E254*K254*M254*O254*Q254</f>
        <v>15.320957142857143</v>
      </c>
      <c r="T254" s="2356"/>
      <c r="U254" s="2410"/>
      <c r="V254" s="2209"/>
      <c r="W254" s="2215">
        <f>(E236/2)/0.1</f>
        <v>18</v>
      </c>
      <c r="X254" s="2215"/>
      <c r="Y254" s="2215"/>
    </row>
    <row r="255" spans="2:25" s="2185" customFormat="1" x14ac:dyDescent="0.3">
      <c r="B255" s="1207"/>
      <c r="C255" s="2546"/>
      <c r="D255" s="2623" t="s">
        <v>237</v>
      </c>
      <c r="E255" s="2624">
        <f>(0.44+0.19)*2+(2*6*0.01)</f>
        <v>1.38</v>
      </c>
      <c r="F255" s="2625" t="s">
        <v>185</v>
      </c>
      <c r="G255" s="2624"/>
      <c r="H255" s="2624"/>
      <c r="I255" s="2624"/>
      <c r="J255" s="2624"/>
      <c r="K255" s="2624">
        <f>ROUNDDOWN(W255,0.3)</f>
        <v>12</v>
      </c>
      <c r="L255" s="2625" t="s">
        <v>185</v>
      </c>
      <c r="M255" s="2624">
        <v>1</v>
      </c>
      <c r="N255" s="2625" t="s">
        <v>185</v>
      </c>
      <c r="O255" s="2626">
        <v>7850</v>
      </c>
      <c r="P255" s="2625" t="s">
        <v>185</v>
      </c>
      <c r="Q255" s="2627">
        <f>22/7*0.005*0.005</f>
        <v>7.857142857142858E-5</v>
      </c>
      <c r="R255" s="2625" t="s">
        <v>114</v>
      </c>
      <c r="S255" s="2628">
        <f>E255*K255*M255*O255*Q255</f>
        <v>10.213971428571428</v>
      </c>
      <c r="T255" s="2356"/>
      <c r="U255" s="2410"/>
      <c r="V255" s="2209"/>
      <c r="W255" s="2215">
        <f>(E236/2)/0.15</f>
        <v>12</v>
      </c>
      <c r="X255" s="2215"/>
      <c r="Y255" s="2215"/>
    </row>
    <row r="256" spans="2:25" s="2185" customFormat="1" x14ac:dyDescent="0.3">
      <c r="B256" s="1207"/>
      <c r="C256" s="2546"/>
      <c r="D256" s="2629"/>
      <c r="E256" s="2630"/>
      <c r="F256" s="2631"/>
      <c r="G256" s="2630"/>
      <c r="H256" s="2631"/>
      <c r="I256" s="2630"/>
      <c r="J256" s="2631"/>
      <c r="K256" s="2630"/>
      <c r="L256" s="2631"/>
      <c r="M256" s="2631"/>
      <c r="N256" s="2631"/>
      <c r="O256" s="2630"/>
      <c r="P256" s="2631"/>
      <c r="Q256" s="2630"/>
      <c r="R256" s="2631"/>
      <c r="S256" s="2632"/>
      <c r="T256" s="2356"/>
      <c r="U256" s="2410"/>
      <c r="V256" s="2209"/>
    </row>
    <row r="257" spans="2:24" s="2185" customFormat="1" ht="17.25" thickBot="1" x14ac:dyDescent="0.35">
      <c r="B257" s="1207"/>
      <c r="C257" s="2546"/>
      <c r="D257" s="3129" t="s">
        <v>164</v>
      </c>
      <c r="E257" s="3130"/>
      <c r="F257" s="3130"/>
      <c r="G257" s="3130"/>
      <c r="H257" s="3130"/>
      <c r="I257" s="3131"/>
      <c r="J257" s="2519"/>
      <c r="K257" s="2481"/>
      <c r="L257" s="2483"/>
      <c r="M257" s="2483"/>
      <c r="N257" s="2483"/>
      <c r="O257" s="2481"/>
      <c r="P257" s="2483"/>
      <c r="Q257" s="2481"/>
      <c r="R257" s="2483"/>
      <c r="S257" s="2620">
        <f>SUM(S254:S256)</f>
        <v>25.534928571428573</v>
      </c>
      <c r="T257" s="2356"/>
      <c r="U257" s="2410"/>
      <c r="V257" s="2209"/>
    </row>
    <row r="258" spans="2:24" s="2207" customFormat="1" x14ac:dyDescent="0.3">
      <c r="B258" s="2527"/>
      <c r="C258" s="2617"/>
      <c r="D258" s="2524"/>
      <c r="E258" s="2525"/>
      <c r="F258" s="2525"/>
      <c r="G258" s="2525"/>
      <c r="H258" s="2525"/>
      <c r="I258" s="2525"/>
      <c r="J258" s="2525"/>
      <c r="K258" s="2499"/>
      <c r="L258" s="2500"/>
      <c r="M258" s="2500"/>
      <c r="N258" s="2500"/>
      <c r="O258" s="2499"/>
      <c r="P258" s="2500"/>
      <c r="Q258" s="2499"/>
      <c r="R258" s="2500"/>
      <c r="S258" s="2618"/>
      <c r="T258" s="2364"/>
      <c r="U258" s="2489"/>
      <c r="V258" s="2214"/>
    </row>
    <row r="259" spans="2:24" s="2185" customFormat="1" ht="17.25" thickBot="1" x14ac:dyDescent="0.35">
      <c r="B259" s="1207"/>
      <c r="C259" s="2546" t="str">
        <f>'[61]RAB (2)'!D63</f>
        <v>Bekisting Balok</v>
      </c>
      <c r="D259" s="2520"/>
      <c r="E259" s="2521"/>
      <c r="F259" s="2521"/>
      <c r="G259" s="2521"/>
      <c r="H259" s="2521"/>
      <c r="I259" s="2521"/>
      <c r="J259" s="2521"/>
      <c r="K259" s="2495"/>
      <c r="L259" s="2496"/>
      <c r="M259" s="2496"/>
      <c r="N259" s="2496"/>
      <c r="O259" s="2495"/>
      <c r="P259" s="2496"/>
      <c r="Q259" s="2495"/>
      <c r="R259" s="2496"/>
      <c r="S259" s="2604"/>
      <c r="T259" s="2330"/>
      <c r="U259" s="2410" t="s">
        <v>2</v>
      </c>
      <c r="V259" s="2209"/>
    </row>
    <row r="260" spans="2:24" s="2185" customFormat="1" x14ac:dyDescent="0.3">
      <c r="B260" s="1207"/>
      <c r="C260" s="2546"/>
      <c r="D260" s="2420" t="s">
        <v>95</v>
      </c>
      <c r="E260" s="2421" t="s">
        <v>150</v>
      </c>
      <c r="F260" s="2422"/>
      <c r="G260" s="2421" t="s">
        <v>151</v>
      </c>
      <c r="H260" s="2422"/>
      <c r="I260" s="2421" t="s">
        <v>152</v>
      </c>
      <c r="J260" s="2422"/>
      <c r="K260" s="2421" t="s">
        <v>153</v>
      </c>
      <c r="L260" s="2423"/>
      <c r="M260" s="2423" t="s">
        <v>32</v>
      </c>
      <c r="N260" s="2423"/>
      <c r="O260" s="2424" t="s">
        <v>163</v>
      </c>
      <c r="P260" s="2423"/>
      <c r="Q260" s="2424" t="s">
        <v>151</v>
      </c>
      <c r="R260" s="2423"/>
      <c r="S260" s="2425" t="s">
        <v>143</v>
      </c>
      <c r="T260" s="2356"/>
      <c r="U260" s="2410"/>
      <c r="V260" s="2209"/>
    </row>
    <row r="261" spans="2:24" s="2185" customFormat="1" x14ac:dyDescent="0.3">
      <c r="B261" s="1207"/>
      <c r="C261" s="2546"/>
      <c r="D261" s="2522" t="s">
        <v>156</v>
      </c>
      <c r="E261" s="2550">
        <f>E236</f>
        <v>3.6</v>
      </c>
      <c r="F261" s="2607" t="s">
        <v>185</v>
      </c>
      <c r="G261" s="2550">
        <f>(2*I236)+G236</f>
        <v>1.01</v>
      </c>
      <c r="H261" s="2607" t="s">
        <v>185</v>
      </c>
      <c r="I261" s="2550"/>
      <c r="J261" s="2607"/>
      <c r="K261" s="2550">
        <f>K236</f>
        <v>1</v>
      </c>
      <c r="L261" s="2607"/>
      <c r="M261" s="2550"/>
      <c r="N261" s="2607"/>
      <c r="O261" s="2550"/>
      <c r="P261" s="2607" t="s">
        <v>114</v>
      </c>
      <c r="Q261" s="2550">
        <f>E261*G261*K261</f>
        <v>3.6360000000000001</v>
      </c>
      <c r="R261" s="2607"/>
      <c r="S261" s="2608"/>
      <c r="T261" s="2356"/>
      <c r="U261" s="2410"/>
      <c r="V261" s="2209"/>
    </row>
    <row r="262" spans="2:24" s="2185" customFormat="1" x14ac:dyDescent="0.3">
      <c r="B262" s="1207"/>
      <c r="C262" s="2546"/>
      <c r="D262" s="2517"/>
      <c r="E262" s="2580"/>
      <c r="F262" s="2580"/>
      <c r="G262" s="2580"/>
      <c r="H262" s="2580"/>
      <c r="I262" s="2580"/>
      <c r="J262" s="2580"/>
      <c r="K262" s="2580"/>
      <c r="L262" s="2580"/>
      <c r="M262" s="2580"/>
      <c r="N262" s="2580"/>
      <c r="O262" s="2580"/>
      <c r="P262" s="2580"/>
      <c r="Q262" s="2580"/>
      <c r="R262" s="2580"/>
      <c r="S262" s="2615"/>
      <c r="T262" s="2356"/>
      <c r="U262" s="2410"/>
      <c r="V262" s="2209"/>
    </row>
    <row r="263" spans="2:24" s="2185" customFormat="1" ht="17.25" thickBot="1" x14ac:dyDescent="0.35">
      <c r="B263" s="1207"/>
      <c r="C263" s="2546"/>
      <c r="D263" s="3129" t="s">
        <v>164</v>
      </c>
      <c r="E263" s="3130"/>
      <c r="F263" s="3130"/>
      <c r="G263" s="3130"/>
      <c r="H263" s="3130"/>
      <c r="I263" s="3131"/>
      <c r="J263" s="2519"/>
      <c r="K263" s="2481"/>
      <c r="L263" s="2483"/>
      <c r="M263" s="2483"/>
      <c r="N263" s="2483"/>
      <c r="O263" s="2481"/>
      <c r="P263" s="2483"/>
      <c r="Q263" s="2633">
        <f>SUM(Q261:Q262)</f>
        <v>3.6360000000000001</v>
      </c>
      <c r="R263" s="2483"/>
      <c r="S263" s="2620"/>
      <c r="T263" s="2356"/>
      <c r="U263" s="2410"/>
      <c r="V263" s="2209"/>
    </row>
    <row r="264" spans="2:24" x14ac:dyDescent="0.3">
      <c r="B264" s="2527"/>
      <c r="C264" s="2528"/>
      <c r="D264" s="2463"/>
      <c r="E264" s="2467"/>
      <c r="F264" s="2467"/>
      <c r="G264" s="2467"/>
      <c r="H264" s="2467"/>
      <c r="I264" s="2467"/>
      <c r="J264" s="2467"/>
      <c r="K264" s="2406"/>
      <c r="L264" s="2407"/>
      <c r="M264" s="2407"/>
      <c r="N264" s="2407"/>
      <c r="O264" s="2406"/>
      <c r="P264" s="2407"/>
      <c r="Q264" s="2406"/>
      <c r="R264" s="2407"/>
      <c r="S264" s="2464"/>
      <c r="T264" s="2370"/>
      <c r="U264" s="2371"/>
    </row>
    <row r="265" spans="2:24" s="2186" customFormat="1" x14ac:dyDescent="0.3">
      <c r="B265" s="2634">
        <f>'[61]RAB (2)'!B64</f>
        <v>9</v>
      </c>
      <c r="C265" s="2635" t="str">
        <f>'[61]RAB (2)'!C64</f>
        <v>Balok 20x40 Cm (B2)</v>
      </c>
      <c r="D265" s="2636"/>
      <c r="E265" s="2637"/>
      <c r="F265" s="2637"/>
      <c r="G265" s="2637"/>
      <c r="H265" s="2637"/>
      <c r="I265" s="2637"/>
      <c r="J265" s="2637"/>
      <c r="K265" s="2495"/>
      <c r="L265" s="2496"/>
      <c r="M265" s="2496"/>
      <c r="N265" s="2496"/>
      <c r="O265" s="2495"/>
      <c r="P265" s="2496"/>
      <c r="Q265" s="2495"/>
      <c r="R265" s="2496"/>
      <c r="S265" s="2604"/>
      <c r="T265" s="2362"/>
      <c r="U265" s="2363"/>
      <c r="V265" s="2192"/>
    </row>
    <row r="266" spans="2:24" s="2186" customFormat="1" ht="17.25" thickBot="1" x14ac:dyDescent="0.35">
      <c r="B266" s="2634"/>
      <c r="C266" s="2638" t="str">
        <f>'[61]RAB (2)'!D65</f>
        <v xml:space="preserve">Beton mutu f'c=26,4 Mpa </v>
      </c>
      <c r="D266" s="2636"/>
      <c r="E266" s="2637"/>
      <c r="F266" s="2637"/>
      <c r="G266" s="2637"/>
      <c r="H266" s="2637"/>
      <c r="I266" s="2637"/>
      <c r="J266" s="2637"/>
      <c r="K266" s="2495"/>
      <c r="L266" s="2496"/>
      <c r="M266" s="2496"/>
      <c r="N266" s="2496"/>
      <c r="O266" s="2495"/>
      <c r="P266" s="2496"/>
      <c r="Q266" s="2495"/>
      <c r="R266" s="2496"/>
      <c r="S266" s="2604"/>
      <c r="T266" s="2338"/>
      <c r="U266" s="2363" t="s">
        <v>3</v>
      </c>
      <c r="V266" s="2192"/>
    </row>
    <row r="267" spans="2:24" s="2186" customFormat="1" x14ac:dyDescent="0.3">
      <c r="B267" s="2634"/>
      <c r="C267" s="2638"/>
      <c r="D267" s="2375" t="s">
        <v>95</v>
      </c>
      <c r="E267" s="2421" t="s">
        <v>150</v>
      </c>
      <c r="F267" s="2422"/>
      <c r="G267" s="2421" t="s">
        <v>151</v>
      </c>
      <c r="H267" s="2422"/>
      <c r="I267" s="2421" t="s">
        <v>152</v>
      </c>
      <c r="J267" s="2422"/>
      <c r="K267" s="2421" t="s">
        <v>153</v>
      </c>
      <c r="L267" s="2423"/>
      <c r="M267" s="2423" t="s">
        <v>32</v>
      </c>
      <c r="N267" s="2423"/>
      <c r="O267" s="2424" t="s">
        <v>163</v>
      </c>
      <c r="P267" s="2423"/>
      <c r="Q267" s="2424" t="s">
        <v>151</v>
      </c>
      <c r="R267" s="2423"/>
      <c r="S267" s="2425" t="s">
        <v>143</v>
      </c>
      <c r="T267" s="2362"/>
      <c r="U267" s="2363"/>
      <c r="V267" s="2192"/>
    </row>
    <row r="268" spans="2:24" s="2186" customFormat="1" x14ac:dyDescent="0.3">
      <c r="B268" s="2634"/>
      <c r="C268" s="2638"/>
      <c r="D268" s="2639" t="s">
        <v>156</v>
      </c>
      <c r="E268" s="2342">
        <f>4-0.4</f>
        <v>3.6</v>
      </c>
      <c r="F268" s="2607" t="s">
        <v>185</v>
      </c>
      <c r="G268" s="2550">
        <v>0.2</v>
      </c>
      <c r="H268" s="2550" t="s">
        <v>185</v>
      </c>
      <c r="I268" s="2550">
        <f>0.4-0.12</f>
        <v>0.28000000000000003</v>
      </c>
      <c r="J268" s="2607"/>
      <c r="K268" s="2550">
        <v>4</v>
      </c>
      <c r="L268" s="2337" t="s">
        <v>185</v>
      </c>
      <c r="M268" s="2550">
        <v>3</v>
      </c>
      <c r="N268" s="2607"/>
      <c r="O268" s="2550"/>
      <c r="P268" s="2607"/>
      <c r="Q268" s="2550"/>
      <c r="R268" s="2607" t="s">
        <v>114</v>
      </c>
      <c r="S268" s="2608">
        <f>E268*G268*I268*K268*M268</f>
        <v>2.4192000000000005</v>
      </c>
      <c r="T268" s="2362"/>
      <c r="U268" s="2363"/>
      <c r="V268" s="2192"/>
    </row>
    <row r="269" spans="2:24" s="2186" customFormat="1" x14ac:dyDescent="0.3">
      <c r="B269" s="2634"/>
      <c r="C269" s="2638"/>
      <c r="D269" s="2230" t="s">
        <v>157</v>
      </c>
      <c r="E269" s="2337">
        <f>4-0.4</f>
        <v>3.6</v>
      </c>
      <c r="F269" s="2335" t="s">
        <v>185</v>
      </c>
      <c r="G269" s="2332">
        <v>0.2</v>
      </c>
      <c r="H269" s="2332" t="s">
        <v>185</v>
      </c>
      <c r="I269" s="2332">
        <f>I268</f>
        <v>0.28000000000000003</v>
      </c>
      <c r="J269" s="2335"/>
      <c r="K269" s="2332">
        <v>2</v>
      </c>
      <c r="L269" s="2337" t="s">
        <v>185</v>
      </c>
      <c r="M269" s="2332">
        <v>5</v>
      </c>
      <c r="N269" s="2335"/>
      <c r="O269" s="2332"/>
      <c r="P269" s="2335"/>
      <c r="Q269" s="2332"/>
      <c r="R269" s="2335" t="s">
        <v>114</v>
      </c>
      <c r="S269" s="2545">
        <f>E269*G269*I269*K269*M269</f>
        <v>2.0160000000000005</v>
      </c>
      <c r="T269" s="2362"/>
      <c r="U269" s="2363"/>
      <c r="V269" s="2192"/>
    </row>
    <row r="270" spans="2:24" s="2186" customFormat="1" x14ac:dyDescent="0.3">
      <c r="B270" s="2634"/>
      <c r="C270" s="2638"/>
      <c r="D270" s="2559"/>
      <c r="E270" s="2640">
        <f>1.225</f>
        <v>1.2250000000000001</v>
      </c>
      <c r="F270" s="2335" t="s">
        <v>185</v>
      </c>
      <c r="G270" s="2332">
        <v>0.2</v>
      </c>
      <c r="H270" s="2332" t="s">
        <v>185</v>
      </c>
      <c r="I270" s="2332">
        <f>I269</f>
        <v>0.28000000000000003</v>
      </c>
      <c r="J270" s="2335"/>
      <c r="K270" s="2332">
        <v>5</v>
      </c>
      <c r="L270" s="2337" t="s">
        <v>185</v>
      </c>
      <c r="M270" s="2332">
        <v>1</v>
      </c>
      <c r="N270" s="2335"/>
      <c r="O270" s="2332"/>
      <c r="P270" s="2335"/>
      <c r="Q270" s="2332"/>
      <c r="R270" s="2335" t="s">
        <v>1323</v>
      </c>
      <c r="S270" s="2545">
        <f>E270*G270*I270*K270*M270</f>
        <v>0.34300000000000003</v>
      </c>
      <c r="T270" s="2362"/>
      <c r="U270" s="2363"/>
      <c r="V270" s="2192"/>
      <c r="X270" s="2224"/>
    </row>
    <row r="271" spans="2:24" s="2186" customFormat="1" x14ac:dyDescent="0.3">
      <c r="B271" s="2634"/>
      <c r="C271" s="2638"/>
      <c r="D271" s="2559"/>
      <c r="E271" s="2640"/>
      <c r="F271" s="2335"/>
      <c r="G271" s="2332"/>
      <c r="H271" s="2332"/>
      <c r="I271" s="2332"/>
      <c r="J271" s="2335"/>
      <c r="K271" s="2332"/>
      <c r="L271" s="2337"/>
      <c r="M271" s="2332"/>
      <c r="N271" s="2335"/>
      <c r="O271" s="2332"/>
      <c r="P271" s="2335"/>
      <c r="Q271" s="2332"/>
      <c r="R271" s="2335"/>
      <c r="S271" s="2641">
        <f>SUM(S268:S270)</f>
        <v>4.7782000000000009</v>
      </c>
      <c r="T271" s="2362"/>
      <c r="U271" s="2363"/>
      <c r="V271" s="2192"/>
      <c r="X271" s="2224"/>
    </row>
    <row r="272" spans="2:24" x14ac:dyDescent="0.3">
      <c r="B272" s="2642"/>
      <c r="C272" s="2643"/>
      <c r="D272" s="2230" t="s">
        <v>244</v>
      </c>
      <c r="E272" s="2332"/>
      <c r="F272" s="2335"/>
      <c r="G272" s="2332"/>
      <c r="H272" s="2335"/>
      <c r="I272" s="2332"/>
      <c r="J272" s="2335"/>
      <c r="K272" s="2332"/>
      <c r="L272" s="2335"/>
      <c r="M272" s="2332"/>
      <c r="N272" s="2335"/>
      <c r="O272" s="2332"/>
      <c r="P272" s="2337"/>
      <c r="Q272" s="2332"/>
      <c r="R272" s="2337"/>
      <c r="S272" s="2455"/>
      <c r="T272" s="2370"/>
      <c r="U272" s="2371"/>
    </row>
    <row r="273" spans="2:24" x14ac:dyDescent="0.3">
      <c r="B273" s="2642"/>
      <c r="C273" s="2643"/>
      <c r="D273" s="2431" t="s">
        <v>733</v>
      </c>
      <c r="E273" s="2332"/>
      <c r="F273" s="2335"/>
      <c r="G273" s="2332"/>
      <c r="H273" s="2335"/>
      <c r="I273" s="2332"/>
      <c r="J273" s="2335"/>
      <c r="K273" s="2332">
        <f>S290</f>
        <v>1470.9776777142858</v>
      </c>
      <c r="L273" s="2337" t="s">
        <v>253</v>
      </c>
      <c r="M273" s="2332"/>
      <c r="N273" s="2337"/>
      <c r="O273" s="2339">
        <v>7850</v>
      </c>
      <c r="P273" s="2337"/>
      <c r="Q273" s="2332"/>
      <c r="R273" s="2335" t="s">
        <v>1323</v>
      </c>
      <c r="S273" s="2455">
        <f>K273/O273</f>
        <v>0.18738569142857145</v>
      </c>
      <c r="T273" s="2370"/>
      <c r="U273" s="2371"/>
    </row>
    <row r="274" spans="2:24" s="2186" customFormat="1" x14ac:dyDescent="0.3">
      <c r="B274" s="2634"/>
      <c r="C274" s="2638"/>
      <c r="D274" s="2431" t="s">
        <v>734</v>
      </c>
      <c r="E274" s="2332"/>
      <c r="F274" s="2335"/>
      <c r="G274" s="2332"/>
      <c r="H274" s="2335"/>
      <c r="I274" s="2332"/>
      <c r="J274" s="2335"/>
      <c r="K274" s="2332">
        <f>S298</f>
        <v>530.23834285714292</v>
      </c>
      <c r="L274" s="2337" t="s">
        <v>253</v>
      </c>
      <c r="M274" s="2332"/>
      <c r="N274" s="2337"/>
      <c r="O274" s="2339">
        <f>O273</f>
        <v>7850</v>
      </c>
      <c r="P274" s="2337"/>
      <c r="Q274" s="2332"/>
      <c r="R274" s="2335" t="s">
        <v>1323</v>
      </c>
      <c r="S274" s="2455">
        <f>K274/O274</f>
        <v>6.7546285714285725E-2</v>
      </c>
      <c r="T274" s="2362"/>
      <c r="U274" s="2363"/>
      <c r="V274" s="2192"/>
    </row>
    <row r="275" spans="2:24" s="2186" customFormat="1" x14ac:dyDescent="0.3">
      <c r="B275" s="2634"/>
      <c r="C275" s="2638"/>
      <c r="D275" s="2611"/>
      <c r="E275" s="2612"/>
      <c r="F275" s="2613"/>
      <c r="G275" s="2612"/>
      <c r="H275" s="2613"/>
      <c r="I275" s="2612"/>
      <c r="J275" s="2613"/>
      <c r="K275" s="2612"/>
      <c r="L275" s="2644"/>
      <c r="M275" s="2612"/>
      <c r="N275" s="2644"/>
      <c r="O275" s="2612"/>
      <c r="P275" s="2644"/>
      <c r="Q275" s="2612"/>
      <c r="R275" s="2644"/>
      <c r="S275" s="2645">
        <f>SUM(S273:S274)</f>
        <v>0.2549319771428572</v>
      </c>
      <c r="T275" s="2362"/>
      <c r="U275" s="2363"/>
      <c r="V275" s="2192"/>
    </row>
    <row r="276" spans="2:24" x14ac:dyDescent="0.3">
      <c r="B276" s="2642"/>
      <c r="C276" s="2643"/>
      <c r="D276" s="2646"/>
      <c r="E276" s="2647"/>
      <c r="F276" s="2647"/>
      <c r="G276" s="2647"/>
      <c r="H276" s="2647"/>
      <c r="I276" s="2647"/>
      <c r="J276" s="2647"/>
      <c r="K276" s="2647"/>
      <c r="L276" s="2647"/>
      <c r="M276" s="2648"/>
      <c r="N276" s="2647"/>
      <c r="O276" s="2647"/>
      <c r="P276" s="2647"/>
      <c r="Q276" s="2647"/>
      <c r="R276" s="2647"/>
      <c r="S276" s="2649"/>
      <c r="T276" s="2370"/>
      <c r="U276" s="2371"/>
    </row>
    <row r="277" spans="2:24" s="2186" customFormat="1" ht="17.25" thickBot="1" x14ac:dyDescent="0.35">
      <c r="B277" s="2634"/>
      <c r="C277" s="2638"/>
      <c r="D277" s="3117" t="s">
        <v>164</v>
      </c>
      <c r="E277" s="3117"/>
      <c r="F277" s="3117"/>
      <c r="G277" s="3117"/>
      <c r="H277" s="3117"/>
      <c r="I277" s="3117"/>
      <c r="J277" s="2462"/>
      <c r="K277" s="2481"/>
      <c r="L277" s="2483"/>
      <c r="M277" s="2483"/>
      <c r="N277" s="2483"/>
      <c r="O277" s="2481"/>
      <c r="P277" s="2483"/>
      <c r="Q277" s="2481"/>
      <c r="R277" s="2483"/>
      <c r="S277" s="2620">
        <f>S271-S275</f>
        <v>4.5232680228571436</v>
      </c>
      <c r="T277" s="2362"/>
      <c r="U277" s="2363"/>
      <c r="V277" s="2192"/>
    </row>
    <row r="278" spans="2:24" x14ac:dyDescent="0.3">
      <c r="B278" s="2642"/>
      <c r="C278" s="2643"/>
      <c r="D278" s="2650"/>
      <c r="E278" s="2651"/>
      <c r="F278" s="2651"/>
      <c r="G278" s="2651"/>
      <c r="H278" s="2651"/>
      <c r="I278" s="2651"/>
      <c r="J278" s="2651"/>
      <c r="K278" s="2499"/>
      <c r="L278" s="2500"/>
      <c r="M278" s="2500"/>
      <c r="N278" s="2500"/>
      <c r="O278" s="2499"/>
      <c r="P278" s="2500"/>
      <c r="Q278" s="2499"/>
      <c r="R278" s="2500"/>
      <c r="S278" s="2618"/>
      <c r="T278" s="2370"/>
      <c r="U278" s="2371"/>
    </row>
    <row r="279" spans="2:24" s="2186" customFormat="1" ht="17.25" thickBot="1" x14ac:dyDescent="0.35">
      <c r="B279" s="2634"/>
      <c r="C279" s="2638" t="str">
        <f>'[61]RAB (2)'!D66</f>
        <v>Pembesian Ulir</v>
      </c>
      <c r="D279" s="2636"/>
      <c r="E279" s="2637"/>
      <c r="F279" s="2637"/>
      <c r="G279" s="2637"/>
      <c r="H279" s="2637"/>
      <c r="I279" s="2637"/>
      <c r="J279" s="2637"/>
      <c r="K279" s="2495"/>
      <c r="L279" s="2496"/>
      <c r="M279" s="2496"/>
      <c r="N279" s="2496"/>
      <c r="O279" s="2495"/>
      <c r="P279" s="2496"/>
      <c r="Q279" s="2495"/>
      <c r="R279" s="2496"/>
      <c r="S279" s="2604"/>
      <c r="T279" s="2338"/>
      <c r="U279" s="2363" t="s">
        <v>0</v>
      </c>
      <c r="V279" s="2192"/>
      <c r="X279" s="2222"/>
    </row>
    <row r="280" spans="2:24" s="2186" customFormat="1" x14ac:dyDescent="0.3">
      <c r="B280" s="2634"/>
      <c r="C280" s="2638"/>
      <c r="D280" s="2375" t="s">
        <v>95</v>
      </c>
      <c r="E280" s="2421" t="s">
        <v>150</v>
      </c>
      <c r="F280" s="2422"/>
      <c r="G280" s="2421" t="s">
        <v>151</v>
      </c>
      <c r="H280" s="2422"/>
      <c r="I280" s="2421" t="s">
        <v>152</v>
      </c>
      <c r="J280" s="2422"/>
      <c r="K280" s="2421" t="s">
        <v>153</v>
      </c>
      <c r="L280" s="2423"/>
      <c r="M280" s="2423" t="s">
        <v>32</v>
      </c>
      <c r="N280" s="2423"/>
      <c r="O280" s="2424" t="s">
        <v>163</v>
      </c>
      <c r="P280" s="2423"/>
      <c r="Q280" s="2424" t="s">
        <v>151</v>
      </c>
      <c r="R280" s="2423"/>
      <c r="S280" s="2425" t="s">
        <v>143</v>
      </c>
      <c r="T280" s="2362"/>
      <c r="U280" s="2363"/>
      <c r="V280" s="2192"/>
      <c r="W280" s="2224"/>
    </row>
    <row r="281" spans="2:24" x14ac:dyDescent="0.3">
      <c r="B281" s="2642"/>
      <c r="C281" s="2643"/>
      <c r="D281" s="2543" t="s">
        <v>1327</v>
      </c>
      <c r="E281" s="2332">
        <v>4</v>
      </c>
      <c r="F281" s="2335" t="s">
        <v>185</v>
      </c>
      <c r="G281" s="2332"/>
      <c r="H281" s="2332"/>
      <c r="I281" s="2332"/>
      <c r="J281" s="2332"/>
      <c r="K281" s="2332">
        <v>6</v>
      </c>
      <c r="L281" s="2335" t="s">
        <v>185</v>
      </c>
      <c r="M281" s="2332">
        <f>K268*M268</f>
        <v>12</v>
      </c>
      <c r="N281" s="2335" t="s">
        <v>185</v>
      </c>
      <c r="O281" s="2339">
        <v>7850</v>
      </c>
      <c r="P281" s="2335" t="s">
        <v>185</v>
      </c>
      <c r="Q281" s="2619">
        <f>22/7*0.008*0.008</f>
        <v>2.0114285714285715E-4</v>
      </c>
      <c r="R281" s="2335" t="s">
        <v>114</v>
      </c>
      <c r="S281" s="2545">
        <f>E281*K281*M281*O281*Q281</f>
        <v>454.74377142857145</v>
      </c>
      <c r="T281" s="2356"/>
      <c r="U281" s="2410"/>
      <c r="V281" s="2209"/>
    </row>
    <row r="282" spans="2:24" x14ac:dyDescent="0.3">
      <c r="B282" s="2642"/>
      <c r="C282" s="2643"/>
      <c r="D282" s="2652" t="s">
        <v>1320</v>
      </c>
      <c r="E282" s="2334">
        <f>V282/2+(40*0.016*2)</f>
        <v>3.2800000000000002</v>
      </c>
      <c r="F282" s="2441" t="s">
        <v>185</v>
      </c>
      <c r="G282" s="2440"/>
      <c r="H282" s="2504"/>
      <c r="I282" s="2440"/>
      <c r="J282" s="2504"/>
      <c r="K282" s="2332">
        <v>3</v>
      </c>
      <c r="L282" s="2441" t="s">
        <v>185</v>
      </c>
      <c r="M282" s="2334">
        <f>M281</f>
        <v>12</v>
      </c>
      <c r="N282" s="2441" t="s">
        <v>185</v>
      </c>
      <c r="O282" s="2339">
        <v>7850</v>
      </c>
      <c r="P282" s="2335" t="s">
        <v>185</v>
      </c>
      <c r="Q282" s="2544">
        <f>Q281</f>
        <v>2.0114285714285715E-4</v>
      </c>
      <c r="R282" s="2441" t="s">
        <v>114</v>
      </c>
      <c r="S282" s="2545">
        <f>E282*K282*M282*O282*Q282</f>
        <v>186.44494628571428</v>
      </c>
      <c r="T282" s="2356"/>
      <c r="U282" s="2410"/>
      <c r="V282" s="2209">
        <v>4</v>
      </c>
    </row>
    <row r="283" spans="2:24" x14ac:dyDescent="0.3">
      <c r="B283" s="2642"/>
      <c r="C283" s="2643"/>
      <c r="D283" s="2652" t="s">
        <v>1321</v>
      </c>
      <c r="E283" s="2334">
        <f>V283/2</f>
        <v>2</v>
      </c>
      <c r="F283" s="2441" t="s">
        <v>185</v>
      </c>
      <c r="G283" s="2440"/>
      <c r="H283" s="2504"/>
      <c r="I283" s="2440"/>
      <c r="J283" s="2504"/>
      <c r="K283" s="2332">
        <v>3</v>
      </c>
      <c r="L283" s="2441" t="s">
        <v>185</v>
      </c>
      <c r="M283" s="2334">
        <f>M282</f>
        <v>12</v>
      </c>
      <c r="N283" s="2441" t="s">
        <v>185</v>
      </c>
      <c r="O283" s="2339">
        <v>7850</v>
      </c>
      <c r="P283" s="2335" t="s">
        <v>185</v>
      </c>
      <c r="Q283" s="2544">
        <f>Q282</f>
        <v>2.0114285714285715E-4</v>
      </c>
      <c r="R283" s="2441" t="s">
        <v>114</v>
      </c>
      <c r="S283" s="2545">
        <f>E283*K283*M283*O283*Q283</f>
        <v>113.68594285714286</v>
      </c>
      <c r="T283" s="2653"/>
      <c r="U283" s="2410"/>
      <c r="V283" s="2209">
        <v>4</v>
      </c>
    </row>
    <row r="284" spans="2:24" x14ac:dyDescent="0.3">
      <c r="B284" s="2642"/>
      <c r="C284" s="2643"/>
      <c r="D284" s="2652"/>
      <c r="E284" s="2334"/>
      <c r="F284" s="2441"/>
      <c r="G284" s="2440"/>
      <c r="H284" s="2504"/>
      <c r="I284" s="2440"/>
      <c r="J284" s="2504"/>
      <c r="K284" s="2332"/>
      <c r="L284" s="2441"/>
      <c r="M284" s="2334"/>
      <c r="N284" s="2441"/>
      <c r="O284" s="2339"/>
      <c r="P284" s="2335"/>
      <c r="Q284" s="2544"/>
      <c r="R284" s="2441"/>
      <c r="S284" s="2545"/>
      <c r="T284" s="2356"/>
      <c r="U284" s="2410"/>
      <c r="V284" s="2209"/>
    </row>
    <row r="285" spans="2:24" x14ac:dyDescent="0.3">
      <c r="B285" s="2642"/>
      <c r="C285" s="2643"/>
      <c r="D285" s="2457" t="s">
        <v>1328</v>
      </c>
      <c r="E285" s="2332">
        <v>4</v>
      </c>
      <c r="F285" s="2335" t="s">
        <v>185</v>
      </c>
      <c r="G285" s="2332"/>
      <c r="H285" s="2332"/>
      <c r="I285" s="2332"/>
      <c r="J285" s="2332"/>
      <c r="K285" s="2332">
        <v>6</v>
      </c>
      <c r="L285" s="2335" t="s">
        <v>185</v>
      </c>
      <c r="M285" s="2332">
        <f>K269*M269</f>
        <v>10</v>
      </c>
      <c r="N285" s="2335" t="s">
        <v>185</v>
      </c>
      <c r="O285" s="2339">
        <v>7850</v>
      </c>
      <c r="P285" s="2335" t="s">
        <v>185</v>
      </c>
      <c r="Q285" s="2619">
        <f>22/7*0.008*0.008</f>
        <v>2.0114285714285715E-4</v>
      </c>
      <c r="R285" s="2335" t="s">
        <v>114</v>
      </c>
      <c r="S285" s="2545">
        <f>E285*K285*M285*O285*Q285</f>
        <v>378.95314285714284</v>
      </c>
      <c r="T285" s="2356"/>
      <c r="U285" s="2410"/>
      <c r="V285" s="2209"/>
    </row>
    <row r="286" spans="2:24" x14ac:dyDescent="0.3">
      <c r="B286" s="2642"/>
      <c r="C286" s="2643"/>
      <c r="D286" s="2652" t="s">
        <v>1320</v>
      </c>
      <c r="E286" s="2334">
        <f>V286/2+(40*0.016*2)</f>
        <v>3.2800000000000002</v>
      </c>
      <c r="F286" s="2441" t="s">
        <v>185</v>
      </c>
      <c r="G286" s="2440"/>
      <c r="H286" s="2504"/>
      <c r="I286" s="2440"/>
      <c r="J286" s="2504"/>
      <c r="K286" s="2332">
        <v>3</v>
      </c>
      <c r="L286" s="2441" t="s">
        <v>185</v>
      </c>
      <c r="M286" s="2334">
        <f>M285</f>
        <v>10</v>
      </c>
      <c r="N286" s="2441" t="s">
        <v>185</v>
      </c>
      <c r="O286" s="2339">
        <v>7850</v>
      </c>
      <c r="P286" s="2335" t="s">
        <v>185</v>
      </c>
      <c r="Q286" s="2544">
        <f>Q285</f>
        <v>2.0114285714285715E-4</v>
      </c>
      <c r="R286" s="2441" t="s">
        <v>114</v>
      </c>
      <c r="S286" s="2545">
        <f>E286*K286*M286*O286*Q286</f>
        <v>155.37078857142856</v>
      </c>
      <c r="T286" s="2356"/>
      <c r="U286" s="2410"/>
      <c r="V286" s="2209">
        <v>4</v>
      </c>
    </row>
    <row r="287" spans="2:24" x14ac:dyDescent="0.3">
      <c r="B287" s="2642"/>
      <c r="C287" s="2643"/>
      <c r="D287" s="2652" t="s">
        <v>1321</v>
      </c>
      <c r="E287" s="2334">
        <f>V287/2</f>
        <v>2</v>
      </c>
      <c r="F287" s="2441" t="s">
        <v>185</v>
      </c>
      <c r="G287" s="2440"/>
      <c r="H287" s="2504"/>
      <c r="I287" s="2440"/>
      <c r="J287" s="2504"/>
      <c r="K287" s="2332">
        <v>3</v>
      </c>
      <c r="L287" s="2441" t="s">
        <v>185</v>
      </c>
      <c r="M287" s="2334">
        <f>M286</f>
        <v>10</v>
      </c>
      <c r="N287" s="2441" t="s">
        <v>185</v>
      </c>
      <c r="O287" s="2339">
        <v>7850</v>
      </c>
      <c r="P287" s="2335" t="s">
        <v>185</v>
      </c>
      <c r="Q287" s="2544">
        <f>Q286</f>
        <v>2.0114285714285715E-4</v>
      </c>
      <c r="R287" s="2441" t="s">
        <v>114</v>
      </c>
      <c r="S287" s="2545">
        <f>E287*K287*M287*O287*Q287</f>
        <v>94.738285714285709</v>
      </c>
      <c r="T287" s="2356"/>
      <c r="U287" s="2410"/>
      <c r="V287" s="2209">
        <v>4</v>
      </c>
    </row>
    <row r="288" spans="2:24" x14ac:dyDescent="0.3">
      <c r="B288" s="2642"/>
      <c r="C288" s="2643"/>
      <c r="D288" s="2457" t="s">
        <v>1328</v>
      </c>
      <c r="E288" s="2332">
        <f>E270</f>
        <v>1.2250000000000001</v>
      </c>
      <c r="F288" s="2335" t="s">
        <v>185</v>
      </c>
      <c r="G288" s="2332"/>
      <c r="H288" s="2332"/>
      <c r="I288" s="2332"/>
      <c r="J288" s="2332"/>
      <c r="K288" s="2332">
        <v>9</v>
      </c>
      <c r="L288" s="2335" t="s">
        <v>185</v>
      </c>
      <c r="M288" s="2332">
        <f>K270*M270</f>
        <v>5</v>
      </c>
      <c r="N288" s="2335" t="s">
        <v>185</v>
      </c>
      <c r="O288" s="2339">
        <v>7850</v>
      </c>
      <c r="P288" s="2335" t="s">
        <v>185</v>
      </c>
      <c r="Q288" s="2619">
        <f>22/7*0.008*0.008</f>
        <v>2.0114285714285715E-4</v>
      </c>
      <c r="R288" s="2335" t="s">
        <v>114</v>
      </c>
      <c r="S288" s="2545">
        <f>E288*K288*M288*O288*Q288</f>
        <v>87.040800000000004</v>
      </c>
      <c r="T288" s="2356"/>
      <c r="U288" s="2410"/>
      <c r="V288" s="2209"/>
    </row>
    <row r="289" spans="2:25" x14ac:dyDescent="0.3">
      <c r="B289" s="2642"/>
      <c r="C289" s="2643"/>
      <c r="D289" s="2646"/>
      <c r="E289" s="2647"/>
      <c r="F289" s="2654"/>
      <c r="G289" s="2647"/>
      <c r="H289" s="2647"/>
      <c r="I289" s="2647"/>
      <c r="J289" s="2647"/>
      <c r="K289" s="2647"/>
      <c r="L289" s="2654"/>
      <c r="M289" s="2647"/>
      <c r="N289" s="2654"/>
      <c r="O289" s="2647"/>
      <c r="P289" s="2654"/>
      <c r="Q289" s="2648"/>
      <c r="R289" s="2654"/>
      <c r="S289" s="2655"/>
      <c r="T289" s="2370"/>
      <c r="U289" s="2371"/>
    </row>
    <row r="290" spans="2:25" s="2186" customFormat="1" ht="17.25" thickBot="1" x14ac:dyDescent="0.35">
      <c r="B290" s="2634"/>
      <c r="C290" s="2638"/>
      <c r="D290" s="3117" t="s">
        <v>164</v>
      </c>
      <c r="E290" s="3117"/>
      <c r="F290" s="3117"/>
      <c r="G290" s="3117"/>
      <c r="H290" s="3117"/>
      <c r="I290" s="3117"/>
      <c r="J290" s="2462"/>
      <c r="K290" s="2481"/>
      <c r="L290" s="2483"/>
      <c r="M290" s="2483"/>
      <c r="N290" s="2483"/>
      <c r="O290" s="2481"/>
      <c r="P290" s="2483"/>
      <c r="Q290" s="2481"/>
      <c r="R290" s="2483"/>
      <c r="S290" s="2620">
        <f>SUM(S281:S289)</f>
        <v>1470.9776777142858</v>
      </c>
      <c r="T290" s="2362"/>
      <c r="U290" s="2363"/>
      <c r="V290" s="2192"/>
    </row>
    <row r="291" spans="2:25" x14ac:dyDescent="0.3">
      <c r="B291" s="2642"/>
      <c r="C291" s="2643"/>
      <c r="D291" s="2650"/>
      <c r="E291" s="2651"/>
      <c r="F291" s="2651"/>
      <c r="G291" s="2651"/>
      <c r="H291" s="2651"/>
      <c r="I291" s="2651"/>
      <c r="J291" s="2651"/>
      <c r="K291" s="2499"/>
      <c r="L291" s="2500"/>
      <c r="M291" s="2500"/>
      <c r="N291" s="2500"/>
      <c r="O291" s="2499"/>
      <c r="P291" s="2500"/>
      <c r="Q291" s="2499"/>
      <c r="R291" s="2500"/>
      <c r="S291" s="2618"/>
      <c r="T291" s="2370"/>
      <c r="U291" s="2371"/>
    </row>
    <row r="292" spans="2:25" s="2186" customFormat="1" ht="17.25" thickBot="1" x14ac:dyDescent="0.35">
      <c r="B292" s="2634"/>
      <c r="C292" s="2638" t="str">
        <f>'[61]RAB (2)'!D67</f>
        <v>Pembesian sengkang</v>
      </c>
      <c r="D292" s="2636"/>
      <c r="E292" s="2637"/>
      <c r="F292" s="2637"/>
      <c r="G292" s="2637"/>
      <c r="H292" s="2637"/>
      <c r="I292" s="2637"/>
      <c r="J292" s="2637"/>
      <c r="K292" s="2495"/>
      <c r="L292" s="2496"/>
      <c r="M292" s="2496"/>
      <c r="N292" s="2496"/>
      <c r="O292" s="2495"/>
      <c r="P292" s="2496"/>
      <c r="Q292" s="2495"/>
      <c r="R292" s="2496"/>
      <c r="S292" s="2604"/>
      <c r="T292" s="2338"/>
      <c r="U292" s="2363" t="s">
        <v>0</v>
      </c>
      <c r="V292" s="2192"/>
    </row>
    <row r="293" spans="2:25" s="2186" customFormat="1" x14ac:dyDescent="0.3">
      <c r="B293" s="2634"/>
      <c r="C293" s="2638"/>
      <c r="D293" s="2375" t="s">
        <v>95</v>
      </c>
      <c r="E293" s="2421" t="s">
        <v>150</v>
      </c>
      <c r="F293" s="2422"/>
      <c r="G293" s="2421" t="s">
        <v>151</v>
      </c>
      <c r="H293" s="2422"/>
      <c r="I293" s="2421" t="s">
        <v>152</v>
      </c>
      <c r="J293" s="2422"/>
      <c r="K293" s="2421" t="s">
        <v>153</v>
      </c>
      <c r="L293" s="2423"/>
      <c r="M293" s="2423" t="s">
        <v>32</v>
      </c>
      <c r="N293" s="2423"/>
      <c r="O293" s="2424" t="s">
        <v>163</v>
      </c>
      <c r="P293" s="2423"/>
      <c r="Q293" s="2424" t="s">
        <v>151</v>
      </c>
      <c r="R293" s="2423"/>
      <c r="S293" s="2425" t="s">
        <v>143</v>
      </c>
      <c r="T293" s="2362"/>
      <c r="U293" s="2363"/>
      <c r="V293" s="2192"/>
      <c r="W293" s="2222"/>
      <c r="Y293" s="2222"/>
    </row>
    <row r="294" spans="2:25" s="2186" customFormat="1" x14ac:dyDescent="0.3">
      <c r="B294" s="2634"/>
      <c r="C294" s="2638"/>
      <c r="D294" s="2557" t="s">
        <v>237</v>
      </c>
      <c r="E294" s="2656">
        <f>(0.34+0.14)*2+ (2*6*0.01)</f>
        <v>1.08</v>
      </c>
      <c r="F294" s="2657" t="s">
        <v>185</v>
      </c>
      <c r="G294" s="2343"/>
      <c r="H294" s="2343"/>
      <c r="I294" s="2343"/>
      <c r="J294" s="2343"/>
      <c r="K294" s="2343">
        <f>W294</f>
        <v>33</v>
      </c>
      <c r="L294" s="2657" t="s">
        <v>185</v>
      </c>
      <c r="M294" s="2343">
        <f>M281</f>
        <v>12</v>
      </c>
      <c r="N294" s="2657" t="s">
        <v>185</v>
      </c>
      <c r="O294" s="2658">
        <v>7850</v>
      </c>
      <c r="P294" s="2657" t="s">
        <v>185</v>
      </c>
      <c r="Q294" s="2659">
        <f>22/7*0.005*0.005</f>
        <v>7.857142857142858E-5</v>
      </c>
      <c r="R294" s="2660" t="s">
        <v>114</v>
      </c>
      <c r="S294" s="2661">
        <f>E294*K294*M294*O294*Q294</f>
        <v>263.78691428571432</v>
      </c>
      <c r="T294" s="2362"/>
      <c r="U294" s="2363"/>
      <c r="V294" s="2192"/>
      <c r="W294" s="2221">
        <f>4/0.125+1</f>
        <v>33</v>
      </c>
      <c r="X294" s="2222"/>
      <c r="Y294" s="2222"/>
    </row>
    <row r="295" spans="2:25" s="2186" customFormat="1" x14ac:dyDescent="0.3">
      <c r="B295" s="2634"/>
      <c r="C295" s="2638"/>
      <c r="D295" s="2471" t="s">
        <v>238</v>
      </c>
      <c r="E295" s="2662">
        <f>E294</f>
        <v>1.08</v>
      </c>
      <c r="F295" s="2663" t="s">
        <v>185</v>
      </c>
      <c r="G295" s="2344"/>
      <c r="H295" s="2344"/>
      <c r="I295" s="2344"/>
      <c r="J295" s="2344"/>
      <c r="K295" s="2344">
        <f>W295</f>
        <v>33</v>
      </c>
      <c r="L295" s="2663" t="s">
        <v>185</v>
      </c>
      <c r="M295" s="2344">
        <f>M285</f>
        <v>10</v>
      </c>
      <c r="N295" s="2663" t="s">
        <v>185</v>
      </c>
      <c r="O295" s="2664">
        <f>O294</f>
        <v>7850</v>
      </c>
      <c r="P295" s="2663" t="s">
        <v>185</v>
      </c>
      <c r="Q295" s="2665">
        <f>Q294</f>
        <v>7.857142857142858E-5</v>
      </c>
      <c r="R295" s="2666" t="s">
        <v>114</v>
      </c>
      <c r="S295" s="2667">
        <f>E295*K295*M295*O295*Q295</f>
        <v>219.82242857142859</v>
      </c>
      <c r="T295" s="2362"/>
      <c r="U295" s="2363"/>
      <c r="V295" s="2192"/>
      <c r="W295" s="2221">
        <f>4/0.125+1</f>
        <v>33</v>
      </c>
      <c r="X295" s="2222"/>
      <c r="Y295" s="2222"/>
    </row>
    <row r="296" spans="2:25" s="2186" customFormat="1" x14ac:dyDescent="0.3">
      <c r="B296" s="2634"/>
      <c r="C296" s="2638"/>
      <c r="D296" s="2668"/>
      <c r="E296" s="2662">
        <f>E295</f>
        <v>1.08</v>
      </c>
      <c r="F296" s="2663" t="s">
        <v>185</v>
      </c>
      <c r="G296" s="2344"/>
      <c r="H296" s="2344"/>
      <c r="I296" s="2344"/>
      <c r="J296" s="2344"/>
      <c r="K296" s="2344">
        <v>14</v>
      </c>
      <c r="L296" s="2663" t="s">
        <v>185</v>
      </c>
      <c r="M296" s="2344">
        <f>M288</f>
        <v>5</v>
      </c>
      <c r="N296" s="2663" t="s">
        <v>185</v>
      </c>
      <c r="O296" s="2664">
        <f>O295</f>
        <v>7850</v>
      </c>
      <c r="P296" s="2663" t="s">
        <v>185</v>
      </c>
      <c r="Q296" s="2665">
        <f>Q295</f>
        <v>7.857142857142858E-5</v>
      </c>
      <c r="R296" s="2666" t="s">
        <v>114</v>
      </c>
      <c r="S296" s="2667">
        <f>E296*K296*M296*O296*Q296</f>
        <v>46.629000000000012</v>
      </c>
      <c r="T296" s="2362"/>
      <c r="U296" s="2363"/>
      <c r="V296" s="2192"/>
      <c r="W296" s="2221">
        <f>1.375/0.1+1</f>
        <v>14.75</v>
      </c>
      <c r="X296" s="2222"/>
      <c r="Y296" s="2222"/>
    </row>
    <row r="297" spans="2:25" s="2186" customFormat="1" x14ac:dyDescent="0.3">
      <c r="B297" s="2634"/>
      <c r="C297" s="2638"/>
      <c r="D297" s="2541"/>
      <c r="E297" s="2580"/>
      <c r="F297" s="2580"/>
      <c r="G297" s="2580"/>
      <c r="H297" s="2580"/>
      <c r="I297" s="2580"/>
      <c r="J297" s="2580"/>
      <c r="K297" s="2580"/>
      <c r="L297" s="2580"/>
      <c r="M297" s="2580"/>
      <c r="N297" s="2580"/>
      <c r="O297" s="2580"/>
      <c r="P297" s="2580"/>
      <c r="Q297" s="2580"/>
      <c r="R297" s="2580"/>
      <c r="S297" s="2615"/>
      <c r="T297" s="2362"/>
      <c r="U297" s="2363"/>
      <c r="V297" s="2192"/>
    </row>
    <row r="298" spans="2:25" s="2186" customFormat="1" ht="17.25" thickBot="1" x14ac:dyDescent="0.35">
      <c r="B298" s="2634"/>
      <c r="C298" s="2638"/>
      <c r="D298" s="3117" t="s">
        <v>164</v>
      </c>
      <c r="E298" s="3117"/>
      <c r="F298" s="3117"/>
      <c r="G298" s="3117"/>
      <c r="H298" s="3117"/>
      <c r="I298" s="3117"/>
      <c r="J298" s="2462"/>
      <c r="K298" s="2481"/>
      <c r="L298" s="2483"/>
      <c r="M298" s="2483"/>
      <c r="N298" s="2483"/>
      <c r="O298" s="2481"/>
      <c r="P298" s="2483"/>
      <c r="Q298" s="2481"/>
      <c r="R298" s="2483"/>
      <c r="S298" s="2620">
        <f>SUM(S294:S297)</f>
        <v>530.23834285714292</v>
      </c>
      <c r="T298" s="2362"/>
      <c r="U298" s="2363"/>
      <c r="V298" s="2192"/>
    </row>
    <row r="299" spans="2:25" x14ac:dyDescent="0.3">
      <c r="B299" s="2642"/>
      <c r="C299" s="2643"/>
      <c r="D299" s="2650"/>
      <c r="E299" s="2651"/>
      <c r="F299" s="2651"/>
      <c r="G299" s="2651"/>
      <c r="H299" s="2651"/>
      <c r="I299" s="2651"/>
      <c r="J299" s="2651"/>
      <c r="K299" s="2499"/>
      <c r="L299" s="2500"/>
      <c r="M299" s="2500"/>
      <c r="N299" s="2500"/>
      <c r="O299" s="2499"/>
      <c r="P299" s="2500"/>
      <c r="Q299" s="2499"/>
      <c r="R299" s="2500"/>
      <c r="S299" s="2618"/>
      <c r="T299" s="2370"/>
      <c r="U299" s="2371"/>
    </row>
    <row r="300" spans="2:25" s="2186" customFormat="1" ht="17.25" thickBot="1" x14ac:dyDescent="0.35">
      <c r="B300" s="2634"/>
      <c r="C300" s="2638" t="str">
        <f>'[61]RAB (2)'!D68</f>
        <v>Bekisting Balok</v>
      </c>
      <c r="D300" s="2636"/>
      <c r="E300" s="2637"/>
      <c r="F300" s="2637"/>
      <c r="G300" s="2637"/>
      <c r="H300" s="2637"/>
      <c r="I300" s="2637"/>
      <c r="J300" s="2637"/>
      <c r="K300" s="2495"/>
      <c r="L300" s="2496"/>
      <c r="M300" s="2496"/>
      <c r="N300" s="2496"/>
      <c r="O300" s="2495"/>
      <c r="P300" s="2496"/>
      <c r="Q300" s="2495"/>
      <c r="R300" s="2496"/>
      <c r="S300" s="2604"/>
      <c r="T300" s="2338"/>
      <c r="U300" s="2363" t="s">
        <v>2</v>
      </c>
      <c r="V300" s="2192"/>
    </row>
    <row r="301" spans="2:25" s="2186" customFormat="1" x14ac:dyDescent="0.3">
      <c r="B301" s="2634"/>
      <c r="C301" s="2638"/>
      <c r="D301" s="2375" t="s">
        <v>95</v>
      </c>
      <c r="E301" s="2421" t="s">
        <v>150</v>
      </c>
      <c r="F301" s="2422"/>
      <c r="G301" s="2421" t="s">
        <v>151</v>
      </c>
      <c r="H301" s="2422"/>
      <c r="I301" s="2421" t="s">
        <v>152</v>
      </c>
      <c r="J301" s="2422"/>
      <c r="K301" s="2421" t="s">
        <v>153</v>
      </c>
      <c r="L301" s="2423"/>
      <c r="M301" s="2423" t="s">
        <v>32</v>
      </c>
      <c r="N301" s="2423"/>
      <c r="O301" s="2424" t="s">
        <v>163</v>
      </c>
      <c r="P301" s="2423"/>
      <c r="Q301" s="2424" t="s">
        <v>151</v>
      </c>
      <c r="R301" s="2423"/>
      <c r="S301" s="2425" t="s">
        <v>143</v>
      </c>
      <c r="T301" s="2362"/>
      <c r="U301" s="2363"/>
      <c r="V301" s="2192"/>
    </row>
    <row r="302" spans="2:25" s="2186" customFormat="1" x14ac:dyDescent="0.3">
      <c r="B302" s="2634"/>
      <c r="C302" s="2638"/>
      <c r="D302" s="2557" t="s">
        <v>156</v>
      </c>
      <c r="E302" s="2333">
        <f>E268</f>
        <v>3.6</v>
      </c>
      <c r="F302" s="2669" t="s">
        <v>185</v>
      </c>
      <c r="G302" s="2333">
        <f>G303</f>
        <v>0.76</v>
      </c>
      <c r="H302" s="2669" t="s">
        <v>185</v>
      </c>
      <c r="I302" s="2333"/>
      <c r="J302" s="2669"/>
      <c r="K302" s="2333">
        <f>M294</f>
        <v>12</v>
      </c>
      <c r="L302" s="2669"/>
      <c r="M302" s="2333"/>
      <c r="N302" s="2669"/>
      <c r="O302" s="2333"/>
      <c r="P302" s="2669" t="s">
        <v>114</v>
      </c>
      <c r="Q302" s="2333">
        <f>E302*G302*K302</f>
        <v>32.832000000000001</v>
      </c>
      <c r="R302" s="2669"/>
      <c r="S302" s="2670"/>
      <c r="T302" s="2362"/>
      <c r="U302" s="2363"/>
      <c r="V302" s="2192"/>
    </row>
    <row r="303" spans="2:25" s="2186" customFormat="1" x14ac:dyDescent="0.3">
      <c r="B303" s="2634"/>
      <c r="C303" s="2638"/>
      <c r="D303" s="2471" t="s">
        <v>157</v>
      </c>
      <c r="E303" s="2334">
        <f>E269</f>
        <v>3.6</v>
      </c>
      <c r="F303" s="2671" t="s">
        <v>185</v>
      </c>
      <c r="G303" s="2334">
        <f>(2*I269)+G269</f>
        <v>0.76</v>
      </c>
      <c r="H303" s="2671" t="s">
        <v>185</v>
      </c>
      <c r="I303" s="2334"/>
      <c r="J303" s="2671"/>
      <c r="K303" s="2334">
        <f>M295</f>
        <v>10</v>
      </c>
      <c r="L303" s="2671"/>
      <c r="M303" s="2334"/>
      <c r="N303" s="2671"/>
      <c r="O303" s="2334"/>
      <c r="P303" s="2666" t="s">
        <v>114</v>
      </c>
      <c r="Q303" s="2334">
        <f>E303*G303*K303</f>
        <v>27.360000000000003</v>
      </c>
      <c r="R303" s="2671"/>
      <c r="S303" s="2672"/>
      <c r="T303" s="2362"/>
      <c r="U303" s="2363"/>
      <c r="V303" s="2192"/>
      <c r="X303" s="2222"/>
      <c r="Y303" s="2222"/>
    </row>
    <row r="304" spans="2:25" s="2186" customFormat="1" x14ac:dyDescent="0.3">
      <c r="B304" s="2634"/>
      <c r="C304" s="2638"/>
      <c r="D304" s="2668"/>
      <c r="E304" s="2334">
        <f>E288</f>
        <v>1.2250000000000001</v>
      </c>
      <c r="F304" s="2671" t="s">
        <v>185</v>
      </c>
      <c r="G304" s="2334">
        <f>G303</f>
        <v>0.76</v>
      </c>
      <c r="H304" s="2671" t="s">
        <v>185</v>
      </c>
      <c r="I304" s="2334"/>
      <c r="J304" s="2671"/>
      <c r="K304" s="2334">
        <f>M296</f>
        <v>5</v>
      </c>
      <c r="L304" s="2671"/>
      <c r="M304" s="2334"/>
      <c r="N304" s="2671"/>
      <c r="O304" s="2334"/>
      <c r="P304" s="2666" t="s">
        <v>114</v>
      </c>
      <c r="Q304" s="2334">
        <f>E304*G304*K304</f>
        <v>4.6550000000000002</v>
      </c>
      <c r="R304" s="2673"/>
      <c r="S304" s="2674"/>
      <c r="T304" s="2362"/>
      <c r="U304" s="2363"/>
      <c r="V304" s="2192"/>
      <c r="X304" s="2222"/>
      <c r="Y304" s="2222"/>
    </row>
    <row r="305" spans="2:22" s="2186" customFormat="1" x14ac:dyDescent="0.3">
      <c r="B305" s="2634"/>
      <c r="C305" s="2638"/>
      <c r="D305" s="2541"/>
      <c r="E305" s="2675"/>
      <c r="F305" s="2675"/>
      <c r="G305" s="2675"/>
      <c r="H305" s="2675"/>
      <c r="I305" s="2675"/>
      <c r="J305" s="2675"/>
      <c r="K305" s="2675"/>
      <c r="L305" s="2675"/>
      <c r="M305" s="2675"/>
      <c r="N305" s="2675"/>
      <c r="O305" s="2675"/>
      <c r="P305" s="2675"/>
      <c r="Q305" s="2675"/>
      <c r="R305" s="2675"/>
      <c r="S305" s="2676"/>
      <c r="T305" s="2362"/>
      <c r="U305" s="2363"/>
      <c r="V305" s="2192"/>
    </row>
    <row r="306" spans="2:22" s="2186" customFormat="1" ht="17.25" thickBot="1" x14ac:dyDescent="0.35">
      <c r="B306" s="2634"/>
      <c r="C306" s="2638"/>
      <c r="D306" s="3117" t="s">
        <v>164</v>
      </c>
      <c r="E306" s="3117"/>
      <c r="F306" s="3117"/>
      <c r="G306" s="3117"/>
      <c r="H306" s="3117"/>
      <c r="I306" s="3117"/>
      <c r="J306" s="2462"/>
      <c r="K306" s="2481"/>
      <c r="L306" s="2483"/>
      <c r="M306" s="2483"/>
      <c r="N306" s="2483"/>
      <c r="O306" s="2481"/>
      <c r="P306" s="2483"/>
      <c r="Q306" s="2677">
        <f>SUM(Q302:Q305)</f>
        <v>64.847000000000008</v>
      </c>
      <c r="R306" s="2483"/>
      <c r="S306" s="2620"/>
      <c r="T306" s="2362"/>
      <c r="U306" s="2363"/>
      <c r="V306" s="2192"/>
    </row>
    <row r="307" spans="2:22" s="2186" customFormat="1" x14ac:dyDescent="0.3">
      <c r="B307" s="2634"/>
      <c r="C307" s="2638"/>
      <c r="D307" s="2530"/>
      <c r="E307" s="2530"/>
      <c r="F307" s="2530"/>
      <c r="G307" s="2530"/>
      <c r="H307" s="2530"/>
      <c r="I307" s="2530"/>
      <c r="J307" s="2531"/>
      <c r="K307" s="2495"/>
      <c r="L307" s="2496"/>
      <c r="M307" s="2496"/>
      <c r="N307" s="2496"/>
      <c r="O307" s="2495"/>
      <c r="P307" s="2496"/>
      <c r="Q307" s="2494"/>
      <c r="R307" s="2496"/>
      <c r="S307" s="2604"/>
      <c r="T307" s="2362"/>
      <c r="U307" s="2363"/>
      <c r="V307" s="2192"/>
    </row>
    <row r="308" spans="2:22" s="2186" customFormat="1" x14ac:dyDescent="0.3">
      <c r="B308" s="2634">
        <f>'[61]RAB (2)'!B69</f>
        <v>10</v>
      </c>
      <c r="C308" s="2635" t="str">
        <f>'[61]RAB (2)'!C69</f>
        <v>Balok 15x30 Cm (B3)</v>
      </c>
      <c r="D308" s="2530"/>
      <c r="E308" s="2530"/>
      <c r="F308" s="2530"/>
      <c r="G308" s="2530"/>
      <c r="H308" s="2530"/>
      <c r="I308" s="2530"/>
      <c r="J308" s="2531"/>
      <c r="K308" s="2495"/>
      <c r="L308" s="2496"/>
      <c r="M308" s="2496"/>
      <c r="N308" s="2496"/>
      <c r="O308" s="2495"/>
      <c r="P308" s="2496"/>
      <c r="Q308" s="2494"/>
      <c r="R308" s="2496"/>
      <c r="S308" s="2604"/>
      <c r="T308" s="2362"/>
      <c r="U308" s="2363"/>
      <c r="V308" s="2192"/>
    </row>
    <row r="309" spans="2:22" s="2186" customFormat="1" ht="17.25" thickBot="1" x14ac:dyDescent="0.35">
      <c r="B309" s="2634"/>
      <c r="C309" s="2638" t="str">
        <f>'[61]RAB (2)'!D70</f>
        <v xml:space="preserve">Beton mutu f'c=26,4 Mpa </v>
      </c>
      <c r="D309" s="2530"/>
      <c r="E309" s="2530"/>
      <c r="F309" s="2530"/>
      <c r="G309" s="2530"/>
      <c r="H309" s="2530"/>
      <c r="I309" s="2530"/>
      <c r="J309" s="2531"/>
      <c r="K309" s="2495"/>
      <c r="L309" s="2496"/>
      <c r="M309" s="2496"/>
      <c r="N309" s="2496"/>
      <c r="O309" s="2495"/>
      <c r="P309" s="2496"/>
      <c r="Q309" s="2494"/>
      <c r="R309" s="2496"/>
      <c r="S309" s="2604"/>
      <c r="T309" s="2338"/>
      <c r="U309" s="2363" t="s">
        <v>3</v>
      </c>
      <c r="V309" s="2192"/>
    </row>
    <row r="310" spans="2:22" s="2186" customFormat="1" x14ac:dyDescent="0.3">
      <c r="B310" s="2634"/>
      <c r="C310" s="2638"/>
      <c r="D310" s="2375" t="s">
        <v>95</v>
      </c>
      <c r="E310" s="2421" t="s">
        <v>150</v>
      </c>
      <c r="F310" s="2422"/>
      <c r="G310" s="2421" t="s">
        <v>151</v>
      </c>
      <c r="H310" s="2422"/>
      <c r="I310" s="2421" t="s">
        <v>152</v>
      </c>
      <c r="J310" s="2422"/>
      <c r="K310" s="2421" t="s">
        <v>153</v>
      </c>
      <c r="L310" s="2423"/>
      <c r="M310" s="2423" t="s">
        <v>32</v>
      </c>
      <c r="N310" s="2423"/>
      <c r="O310" s="2424" t="s">
        <v>163</v>
      </c>
      <c r="P310" s="2423"/>
      <c r="Q310" s="2424" t="s">
        <v>151</v>
      </c>
      <c r="R310" s="2423"/>
      <c r="S310" s="2425" t="s">
        <v>143</v>
      </c>
      <c r="T310" s="2362"/>
      <c r="U310" s="2363"/>
      <c r="V310" s="2192"/>
    </row>
    <row r="311" spans="2:22" s="2186" customFormat="1" x14ac:dyDescent="0.3">
      <c r="B311" s="2634"/>
      <c r="C311" s="2638"/>
      <c r="D311" s="2678" t="s">
        <v>156</v>
      </c>
      <c r="E311" s="2342">
        <f>4-(0.2*1)</f>
        <v>3.8</v>
      </c>
      <c r="F311" s="2607" t="s">
        <v>185</v>
      </c>
      <c r="G311" s="2550">
        <v>0.15</v>
      </c>
      <c r="H311" s="2550" t="s">
        <v>185</v>
      </c>
      <c r="I311" s="2550">
        <f>0.3-0.12</f>
        <v>0.18</v>
      </c>
      <c r="J311" s="2607" t="s">
        <v>185</v>
      </c>
      <c r="K311" s="2550">
        <v>4</v>
      </c>
      <c r="L311" s="2607" t="s">
        <v>185</v>
      </c>
      <c r="M311" s="2550">
        <v>1</v>
      </c>
      <c r="N311" s="2607"/>
      <c r="O311" s="2550"/>
      <c r="P311" s="2607"/>
      <c r="Q311" s="2550"/>
      <c r="R311" s="2607" t="s">
        <v>114</v>
      </c>
      <c r="S311" s="2608">
        <f>E311*G311*I311*K311*M311</f>
        <v>0.41039999999999993</v>
      </c>
      <c r="T311" s="2362"/>
      <c r="U311" s="2363"/>
      <c r="V311" s="2192"/>
    </row>
    <row r="312" spans="2:22" s="2186" customFormat="1" x14ac:dyDescent="0.3">
      <c r="B312" s="2634"/>
      <c r="C312" s="2638"/>
      <c r="D312" s="2592" t="s">
        <v>157</v>
      </c>
      <c r="E312" s="2337">
        <f>4-(0.2*1)</f>
        <v>3.8</v>
      </c>
      <c r="F312" s="2335" t="s">
        <v>185</v>
      </c>
      <c r="G312" s="2332">
        <v>0.15</v>
      </c>
      <c r="H312" s="2332" t="s">
        <v>185</v>
      </c>
      <c r="I312" s="2332">
        <f>0.3-0.12</f>
        <v>0.18</v>
      </c>
      <c r="J312" s="2335" t="s">
        <v>185</v>
      </c>
      <c r="K312" s="2332">
        <v>2</v>
      </c>
      <c r="L312" s="2335" t="s">
        <v>185</v>
      </c>
      <c r="M312" s="2332">
        <v>3</v>
      </c>
      <c r="N312" s="2335"/>
      <c r="O312" s="2332"/>
      <c r="P312" s="2335"/>
      <c r="Q312" s="2332"/>
      <c r="R312" s="2335" t="s">
        <v>114</v>
      </c>
      <c r="S312" s="2545">
        <f>E312*G312*I312*K312*M312</f>
        <v>0.61559999999999993</v>
      </c>
      <c r="T312" s="2362"/>
      <c r="U312" s="2363"/>
      <c r="V312" s="2192"/>
    </row>
    <row r="313" spans="2:22" s="2186" customFormat="1" x14ac:dyDescent="0.3">
      <c r="B313" s="2634"/>
      <c r="C313" s="2638"/>
      <c r="D313" s="2679"/>
      <c r="E313" s="2337">
        <f>2-(0.2*1)</f>
        <v>1.8</v>
      </c>
      <c r="F313" s="2335" t="s">
        <v>185</v>
      </c>
      <c r="G313" s="2332">
        <v>0.15</v>
      </c>
      <c r="H313" s="2332" t="s">
        <v>185</v>
      </c>
      <c r="I313" s="2332">
        <f>0.3-0.12</f>
        <v>0.18</v>
      </c>
      <c r="J313" s="2335" t="s">
        <v>185</v>
      </c>
      <c r="K313" s="2332">
        <v>1</v>
      </c>
      <c r="L313" s="2335" t="s">
        <v>185</v>
      </c>
      <c r="M313" s="2332">
        <v>1</v>
      </c>
      <c r="N313" s="2335"/>
      <c r="O313" s="2332"/>
      <c r="P313" s="2335"/>
      <c r="Q313" s="2332"/>
      <c r="R313" s="2335" t="s">
        <v>114</v>
      </c>
      <c r="S313" s="2545">
        <f>E313*G313*I313*K313*M313</f>
        <v>4.8600000000000004E-2</v>
      </c>
      <c r="T313" s="2362"/>
      <c r="U313" s="2363"/>
      <c r="V313" s="2192"/>
    </row>
    <row r="314" spans="2:22" s="2186" customFormat="1" x14ac:dyDescent="0.3">
      <c r="B314" s="2634"/>
      <c r="C314" s="2638"/>
      <c r="D314" s="2679"/>
      <c r="E314" s="2337"/>
      <c r="F314" s="2335"/>
      <c r="G314" s="2332"/>
      <c r="H314" s="2332"/>
      <c r="I314" s="2332"/>
      <c r="J314" s="2335"/>
      <c r="K314" s="2332"/>
      <c r="L314" s="2335"/>
      <c r="M314" s="2332"/>
      <c r="N314" s="2335"/>
      <c r="O314" s="2332"/>
      <c r="P314" s="2335"/>
      <c r="Q314" s="2332"/>
      <c r="R314" s="2335"/>
      <c r="S314" s="2641">
        <f>SUM(S311:S313)</f>
        <v>1.0745999999999998</v>
      </c>
      <c r="T314" s="2362"/>
      <c r="U314" s="2363"/>
      <c r="V314" s="2192"/>
    </row>
    <row r="315" spans="2:22" x14ac:dyDescent="0.3">
      <c r="B315" s="2642"/>
      <c r="C315" s="2643"/>
      <c r="D315" s="2230" t="s">
        <v>244</v>
      </c>
      <c r="E315" s="2332"/>
      <c r="F315" s="2335"/>
      <c r="G315" s="2332"/>
      <c r="H315" s="2335"/>
      <c r="I315" s="2332"/>
      <c r="J315" s="2335"/>
      <c r="K315" s="2332"/>
      <c r="L315" s="2335"/>
      <c r="M315" s="2332"/>
      <c r="N315" s="2335"/>
      <c r="O315" s="2332"/>
      <c r="P315" s="2337"/>
      <c r="Q315" s="2332"/>
      <c r="R315" s="2337"/>
      <c r="S315" s="2455"/>
      <c r="T315" s="2370"/>
      <c r="U315" s="2371"/>
    </row>
    <row r="316" spans="2:22" x14ac:dyDescent="0.3">
      <c r="B316" s="2642"/>
      <c r="C316" s="2643"/>
      <c r="D316" s="2431" t="s">
        <v>733</v>
      </c>
      <c r="E316" s="2332"/>
      <c r="F316" s="2335"/>
      <c r="G316" s="2332"/>
      <c r="H316" s="2335"/>
      <c r="I316" s="2332"/>
      <c r="J316" s="2335"/>
      <c r="K316" s="2332">
        <f>S333</f>
        <v>229.73787571428568</v>
      </c>
      <c r="L316" s="2337" t="s">
        <v>253</v>
      </c>
      <c r="M316" s="2332"/>
      <c r="N316" s="2337"/>
      <c r="O316" s="2339">
        <v>7850</v>
      </c>
      <c r="P316" s="2337"/>
      <c r="Q316" s="2332"/>
      <c r="R316" s="2335" t="s">
        <v>114</v>
      </c>
      <c r="S316" s="2455">
        <f>K316/O316</f>
        <v>2.9265971428571423E-2</v>
      </c>
      <c r="T316" s="2370"/>
      <c r="U316" s="2371"/>
    </row>
    <row r="317" spans="2:22" s="2186" customFormat="1" x14ac:dyDescent="0.3">
      <c r="B317" s="2634"/>
      <c r="C317" s="2638"/>
      <c r="D317" s="2431" t="s">
        <v>734</v>
      </c>
      <c r="E317" s="2332"/>
      <c r="F317" s="2335"/>
      <c r="G317" s="2332"/>
      <c r="H317" s="2335"/>
      <c r="I317" s="2332"/>
      <c r="J317" s="2335"/>
      <c r="K317" s="2332">
        <f>S341</f>
        <v>396.7659142857143</v>
      </c>
      <c r="L317" s="2337" t="s">
        <v>253</v>
      </c>
      <c r="M317" s="2332"/>
      <c r="N317" s="2337"/>
      <c r="O317" s="2339">
        <f>O316</f>
        <v>7850</v>
      </c>
      <c r="P317" s="2337"/>
      <c r="Q317" s="2332"/>
      <c r="R317" s="2335" t="s">
        <v>114</v>
      </c>
      <c r="S317" s="2455">
        <f>K317/O317</f>
        <v>5.0543428571428572E-2</v>
      </c>
      <c r="T317" s="2362"/>
      <c r="U317" s="2363"/>
      <c r="V317" s="2192"/>
    </row>
    <row r="318" spans="2:22" s="2186" customFormat="1" x14ac:dyDescent="0.3">
      <c r="B318" s="2634"/>
      <c r="C318" s="2638"/>
      <c r="D318" s="2611"/>
      <c r="E318" s="2612"/>
      <c r="F318" s="2613"/>
      <c r="G318" s="2612"/>
      <c r="H318" s="2613"/>
      <c r="I318" s="2612"/>
      <c r="J318" s="2613"/>
      <c r="K318" s="2612"/>
      <c r="L318" s="2644"/>
      <c r="M318" s="2612"/>
      <c r="N318" s="2644"/>
      <c r="O318" s="2612"/>
      <c r="P318" s="2644"/>
      <c r="Q318" s="2612"/>
      <c r="R318" s="2644"/>
      <c r="S318" s="2645">
        <f>SUM(S316:S317)</f>
        <v>7.9809400000000003E-2</v>
      </c>
      <c r="T318" s="2362"/>
      <c r="U318" s="2363"/>
      <c r="V318" s="2192"/>
    </row>
    <row r="319" spans="2:22" x14ac:dyDescent="0.3">
      <c r="B319" s="2642"/>
      <c r="C319" s="2643"/>
      <c r="D319" s="2646"/>
      <c r="E319" s="2647"/>
      <c r="F319" s="2647"/>
      <c r="G319" s="2647"/>
      <c r="H319" s="2647"/>
      <c r="I319" s="2647"/>
      <c r="J319" s="2647"/>
      <c r="K319" s="2647"/>
      <c r="L319" s="2647"/>
      <c r="M319" s="2648"/>
      <c r="N319" s="2647"/>
      <c r="O319" s="2647"/>
      <c r="P319" s="2647"/>
      <c r="Q319" s="2647"/>
      <c r="R319" s="2647"/>
      <c r="S319" s="2649"/>
      <c r="T319" s="2370"/>
      <c r="U319" s="2371"/>
    </row>
    <row r="320" spans="2:22" s="2186" customFormat="1" ht="17.25" thickBot="1" x14ac:dyDescent="0.35">
      <c r="B320" s="2634"/>
      <c r="C320" s="2638"/>
      <c r="D320" s="3117" t="s">
        <v>164</v>
      </c>
      <c r="E320" s="3117"/>
      <c r="F320" s="3117"/>
      <c r="G320" s="3117"/>
      <c r="H320" s="3117"/>
      <c r="I320" s="3117"/>
      <c r="J320" s="2462"/>
      <c r="K320" s="2481"/>
      <c r="L320" s="2483"/>
      <c r="M320" s="2483"/>
      <c r="N320" s="2483"/>
      <c r="O320" s="2481"/>
      <c r="P320" s="2483"/>
      <c r="Q320" s="2481"/>
      <c r="R320" s="2483"/>
      <c r="S320" s="2620">
        <f>S314-S318</f>
        <v>0.99479059999999975</v>
      </c>
      <c r="T320" s="2362"/>
      <c r="U320" s="2363"/>
      <c r="V320" s="2192"/>
    </row>
    <row r="321" spans="2:25" s="2186" customFormat="1" x14ac:dyDescent="0.3">
      <c r="B321" s="2634"/>
      <c r="C321" s="2638"/>
      <c r="D321" s="2530"/>
      <c r="E321" s="2530"/>
      <c r="F321" s="2530"/>
      <c r="G321" s="2530"/>
      <c r="H321" s="2530"/>
      <c r="I321" s="2530"/>
      <c r="J321" s="2531"/>
      <c r="K321" s="2495"/>
      <c r="L321" s="2496"/>
      <c r="M321" s="2496"/>
      <c r="N321" s="2496"/>
      <c r="O321" s="2495"/>
      <c r="P321" s="2496"/>
      <c r="Q321" s="2495"/>
      <c r="R321" s="2496"/>
      <c r="S321" s="2604"/>
      <c r="T321" s="2362"/>
      <c r="U321" s="2363"/>
      <c r="V321" s="2192"/>
    </row>
    <row r="322" spans="2:25" s="2186" customFormat="1" ht="17.25" thickBot="1" x14ac:dyDescent="0.35">
      <c r="B322" s="2634"/>
      <c r="C322" s="2638" t="str">
        <f>'[61]RAB (2)'!D71</f>
        <v>Pembesian Ulir</v>
      </c>
      <c r="D322" s="2530"/>
      <c r="E322" s="2530"/>
      <c r="F322" s="2530"/>
      <c r="G322" s="2530"/>
      <c r="H322" s="2530"/>
      <c r="I322" s="2530"/>
      <c r="J322" s="2531"/>
      <c r="K322" s="2495"/>
      <c r="L322" s="2496"/>
      <c r="M322" s="2496"/>
      <c r="N322" s="2496"/>
      <c r="O322" s="2495"/>
      <c r="P322" s="2496"/>
      <c r="Q322" s="2494"/>
      <c r="R322" s="2496"/>
      <c r="S322" s="2604"/>
      <c r="T322" s="2338"/>
      <c r="U322" s="2363" t="s">
        <v>0</v>
      </c>
      <c r="V322" s="2192"/>
    </row>
    <row r="323" spans="2:25" s="2186" customFormat="1" x14ac:dyDescent="0.3">
      <c r="B323" s="2634"/>
      <c r="C323" s="2638"/>
      <c r="D323" s="2375" t="s">
        <v>95</v>
      </c>
      <c r="E323" s="2421" t="s">
        <v>150</v>
      </c>
      <c r="F323" s="2422"/>
      <c r="G323" s="2421" t="s">
        <v>151</v>
      </c>
      <c r="H323" s="2422"/>
      <c r="I323" s="2421" t="s">
        <v>152</v>
      </c>
      <c r="J323" s="2422"/>
      <c r="K323" s="2421" t="s">
        <v>153</v>
      </c>
      <c r="L323" s="2423"/>
      <c r="M323" s="2423" t="s">
        <v>32</v>
      </c>
      <c r="N323" s="2423"/>
      <c r="O323" s="2424" t="s">
        <v>163</v>
      </c>
      <c r="P323" s="2423"/>
      <c r="Q323" s="2424" t="s">
        <v>151</v>
      </c>
      <c r="R323" s="2423"/>
      <c r="S323" s="2425" t="s">
        <v>143</v>
      </c>
      <c r="T323" s="2362"/>
      <c r="U323" s="2363"/>
      <c r="V323" s="2192"/>
      <c r="W323" s="2224"/>
    </row>
    <row r="324" spans="2:25" x14ac:dyDescent="0.3">
      <c r="B324" s="2642"/>
      <c r="C324" s="2643"/>
      <c r="D324" s="2543" t="s">
        <v>1329</v>
      </c>
      <c r="E324" s="2342"/>
      <c r="F324" s="2534"/>
      <c r="G324" s="2342"/>
      <c r="H324" s="2342"/>
      <c r="I324" s="2342"/>
      <c r="J324" s="2342"/>
      <c r="K324" s="2342"/>
      <c r="L324" s="2534"/>
      <c r="M324" s="2342"/>
      <c r="N324" s="2534"/>
      <c r="O324" s="2342"/>
      <c r="P324" s="2534"/>
      <c r="Q324" s="2551"/>
      <c r="R324" s="2534"/>
      <c r="S324" s="2536"/>
      <c r="T324" s="2370"/>
      <c r="U324" s="2371"/>
    </row>
    <row r="325" spans="2:25" x14ac:dyDescent="0.3">
      <c r="B325" s="2642"/>
      <c r="C325" s="2643"/>
      <c r="D325" s="2652" t="s">
        <v>615</v>
      </c>
      <c r="E325" s="2334">
        <f>16+(40*0.013*8)</f>
        <v>20.16</v>
      </c>
      <c r="F325" s="2335" t="s">
        <v>185</v>
      </c>
      <c r="G325" s="2332"/>
      <c r="H325" s="2332"/>
      <c r="I325" s="2332"/>
      <c r="J325" s="2332"/>
      <c r="K325" s="2332">
        <v>1</v>
      </c>
      <c r="L325" s="2335" t="s">
        <v>185</v>
      </c>
      <c r="M325" s="2332">
        <f>M311</f>
        <v>1</v>
      </c>
      <c r="N325" s="2335" t="s">
        <v>185</v>
      </c>
      <c r="O325" s="2339">
        <v>7850</v>
      </c>
      <c r="P325" s="2335" t="s">
        <v>185</v>
      </c>
      <c r="Q325" s="2619">
        <f>22/7*0.0065*0.0065</f>
        <v>1.3278571428571427E-4</v>
      </c>
      <c r="R325" s="2335" t="s">
        <v>114</v>
      </c>
      <c r="S325" s="2545">
        <f>E325*K325*M325*O325*Q325</f>
        <v>21.014135999999997</v>
      </c>
      <c r="T325" s="2370"/>
      <c r="U325" s="2371"/>
    </row>
    <row r="326" spans="2:25" x14ac:dyDescent="0.3">
      <c r="B326" s="2642"/>
      <c r="C326" s="2643"/>
      <c r="D326" s="2652" t="s">
        <v>616</v>
      </c>
      <c r="E326" s="2332">
        <v>16</v>
      </c>
      <c r="F326" s="2335" t="s">
        <v>185</v>
      </c>
      <c r="G326" s="2332"/>
      <c r="H326" s="2332"/>
      <c r="I326" s="2332"/>
      <c r="J326" s="2332"/>
      <c r="K326" s="2332">
        <v>4</v>
      </c>
      <c r="L326" s="2335" t="s">
        <v>185</v>
      </c>
      <c r="M326" s="2332">
        <f>M325</f>
        <v>1</v>
      </c>
      <c r="N326" s="2335" t="s">
        <v>185</v>
      </c>
      <c r="O326" s="2339">
        <v>7850</v>
      </c>
      <c r="P326" s="2335" t="s">
        <v>185</v>
      </c>
      <c r="Q326" s="2619">
        <f>22/7*0.0065*0.0065</f>
        <v>1.3278571428571427E-4</v>
      </c>
      <c r="R326" s="2335" t="s">
        <v>114</v>
      </c>
      <c r="S326" s="2545">
        <f>E326*K326*M326*O326*Q326</f>
        <v>66.711542857142845</v>
      </c>
      <c r="T326" s="2370"/>
      <c r="U326" s="2371"/>
    </row>
    <row r="327" spans="2:25" x14ac:dyDescent="0.3">
      <c r="B327" s="2642"/>
      <c r="C327" s="2643"/>
      <c r="D327" s="2652"/>
      <c r="E327" s="2332"/>
      <c r="F327" s="2335"/>
      <c r="G327" s="2332"/>
      <c r="H327" s="2332"/>
      <c r="I327" s="2332"/>
      <c r="J327" s="2332"/>
      <c r="K327" s="2332"/>
      <c r="L327" s="2335"/>
      <c r="M327" s="2332"/>
      <c r="N327" s="2335"/>
      <c r="O327" s="2339"/>
      <c r="P327" s="2335"/>
      <c r="Q327" s="2544"/>
      <c r="R327" s="2335"/>
      <c r="S327" s="2545"/>
      <c r="T327" s="2370"/>
      <c r="U327" s="2371"/>
    </row>
    <row r="328" spans="2:25" x14ac:dyDescent="0.3">
      <c r="B328" s="2642"/>
      <c r="C328" s="2643"/>
      <c r="D328" s="2457" t="s">
        <v>1330</v>
      </c>
      <c r="E328" s="2337"/>
      <c r="F328" s="2454"/>
      <c r="G328" s="2337"/>
      <c r="H328" s="2337"/>
      <c r="I328" s="2337"/>
      <c r="J328" s="2337"/>
      <c r="K328" s="2337"/>
      <c r="L328" s="2454"/>
      <c r="M328" s="2337"/>
      <c r="N328" s="2454"/>
      <c r="O328" s="2341"/>
      <c r="P328" s="2454"/>
      <c r="Q328" s="2553"/>
      <c r="R328" s="2454"/>
      <c r="S328" s="2455"/>
      <c r="T328" s="2370"/>
      <c r="U328" s="2371"/>
    </row>
    <row r="329" spans="2:25" x14ac:dyDescent="0.3">
      <c r="B329" s="2642"/>
      <c r="C329" s="2643"/>
      <c r="D329" s="2652" t="s">
        <v>615</v>
      </c>
      <c r="E329" s="2334">
        <f>(8*1)+(40*0.013*4)</f>
        <v>10.08</v>
      </c>
      <c r="F329" s="2335" t="s">
        <v>185</v>
      </c>
      <c r="G329" s="2332"/>
      <c r="H329" s="2332"/>
      <c r="I329" s="2332"/>
      <c r="J329" s="2332"/>
      <c r="K329" s="2332">
        <v>1</v>
      </c>
      <c r="L329" s="2335" t="s">
        <v>185</v>
      </c>
      <c r="M329" s="2332">
        <f>M312</f>
        <v>3</v>
      </c>
      <c r="N329" s="2335" t="s">
        <v>185</v>
      </c>
      <c r="O329" s="2339">
        <v>7850</v>
      </c>
      <c r="P329" s="2335" t="s">
        <v>185</v>
      </c>
      <c r="Q329" s="2619">
        <f>22/7*0.0065*0.0065</f>
        <v>1.3278571428571427E-4</v>
      </c>
      <c r="R329" s="2335" t="s">
        <v>114</v>
      </c>
      <c r="S329" s="2545">
        <f>E329*K329*M329*O329*Q329</f>
        <v>31.521204000000001</v>
      </c>
      <c r="T329" s="2370"/>
      <c r="U329" s="2371"/>
    </row>
    <row r="330" spans="2:25" x14ac:dyDescent="0.3">
      <c r="B330" s="2642"/>
      <c r="C330" s="2643"/>
      <c r="D330" s="2652" t="s">
        <v>616</v>
      </c>
      <c r="E330" s="2334">
        <f>(8*1)</f>
        <v>8</v>
      </c>
      <c r="F330" s="2335" t="s">
        <v>185</v>
      </c>
      <c r="G330" s="2332"/>
      <c r="H330" s="2332"/>
      <c r="I330" s="2332"/>
      <c r="J330" s="2332"/>
      <c r="K330" s="2332">
        <v>4</v>
      </c>
      <c r="L330" s="2335" t="s">
        <v>185</v>
      </c>
      <c r="M330" s="2332">
        <f>M329</f>
        <v>3</v>
      </c>
      <c r="N330" s="2335" t="s">
        <v>185</v>
      </c>
      <c r="O330" s="2339">
        <v>7850</v>
      </c>
      <c r="P330" s="2335" t="s">
        <v>185</v>
      </c>
      <c r="Q330" s="2619">
        <f>22/7*0.0065*0.0065</f>
        <v>1.3278571428571427E-4</v>
      </c>
      <c r="R330" s="2335" t="s">
        <v>114</v>
      </c>
      <c r="S330" s="2545">
        <f>E330*K330*M330*O330*Q330</f>
        <v>100.06731428571428</v>
      </c>
      <c r="T330" s="2370"/>
      <c r="U330" s="2371"/>
    </row>
    <row r="331" spans="2:25" x14ac:dyDescent="0.3">
      <c r="B331" s="2642"/>
      <c r="C331" s="2643"/>
      <c r="D331" s="2457" t="s">
        <v>1330</v>
      </c>
      <c r="E331" s="2334">
        <f>2</f>
        <v>2</v>
      </c>
      <c r="F331" s="2335" t="s">
        <v>185</v>
      </c>
      <c r="G331" s="2332"/>
      <c r="H331" s="2332"/>
      <c r="I331" s="2332"/>
      <c r="J331" s="2332"/>
      <c r="K331" s="2332">
        <v>5</v>
      </c>
      <c r="L331" s="2335" t="s">
        <v>185</v>
      </c>
      <c r="M331" s="2332">
        <f>M313</f>
        <v>1</v>
      </c>
      <c r="N331" s="2335" t="s">
        <v>185</v>
      </c>
      <c r="O331" s="2339">
        <v>7850</v>
      </c>
      <c r="P331" s="2335" t="s">
        <v>185</v>
      </c>
      <c r="Q331" s="2619">
        <f>22/7*0.0065*0.0065</f>
        <v>1.3278571428571427E-4</v>
      </c>
      <c r="R331" s="2335" t="s">
        <v>114</v>
      </c>
      <c r="S331" s="2545">
        <f>E331*K331*M331*O331*Q331</f>
        <v>10.423678571428571</v>
      </c>
      <c r="T331" s="2370"/>
      <c r="U331" s="2371"/>
    </row>
    <row r="332" spans="2:25" x14ac:dyDescent="0.3">
      <c r="B332" s="2642"/>
      <c r="C332" s="2643"/>
      <c r="D332" s="2646"/>
      <c r="E332" s="2647"/>
      <c r="F332" s="2654"/>
      <c r="G332" s="2647"/>
      <c r="H332" s="2647"/>
      <c r="I332" s="2647"/>
      <c r="J332" s="2647"/>
      <c r="K332" s="2647"/>
      <c r="L332" s="2654"/>
      <c r="M332" s="2647"/>
      <c r="N332" s="2654"/>
      <c r="O332" s="2647"/>
      <c r="P332" s="2654"/>
      <c r="Q332" s="2648"/>
      <c r="R332" s="2654"/>
      <c r="S332" s="2655"/>
      <c r="T332" s="2370"/>
      <c r="U332" s="2371"/>
    </row>
    <row r="333" spans="2:25" s="2186" customFormat="1" ht="17.25" thickBot="1" x14ac:dyDescent="0.35">
      <c r="B333" s="2634"/>
      <c r="C333" s="2638"/>
      <c r="D333" s="3117" t="s">
        <v>164</v>
      </c>
      <c r="E333" s="3117"/>
      <c r="F333" s="3117"/>
      <c r="G333" s="3117"/>
      <c r="H333" s="3117"/>
      <c r="I333" s="3117"/>
      <c r="J333" s="2462"/>
      <c r="K333" s="2481"/>
      <c r="L333" s="2483"/>
      <c r="M333" s="2483"/>
      <c r="N333" s="2483"/>
      <c r="O333" s="2481"/>
      <c r="P333" s="2483"/>
      <c r="Q333" s="2481"/>
      <c r="R333" s="2483"/>
      <c r="S333" s="2620">
        <f>SUM(S324:S332)</f>
        <v>229.73787571428568</v>
      </c>
      <c r="T333" s="2362"/>
      <c r="U333" s="2363"/>
      <c r="V333" s="2192"/>
    </row>
    <row r="334" spans="2:25" x14ac:dyDescent="0.3">
      <c r="B334" s="2642"/>
      <c r="C334" s="2643"/>
      <c r="D334" s="2650"/>
      <c r="E334" s="2651"/>
      <c r="F334" s="2651"/>
      <c r="G334" s="2651"/>
      <c r="H334" s="2651"/>
      <c r="I334" s="2651"/>
      <c r="J334" s="2651"/>
      <c r="K334" s="2499"/>
      <c r="L334" s="2500"/>
      <c r="M334" s="2500"/>
      <c r="N334" s="2500"/>
      <c r="O334" s="2499"/>
      <c r="P334" s="2500"/>
      <c r="Q334" s="2499"/>
      <c r="R334" s="2500"/>
      <c r="S334" s="2618"/>
      <c r="T334" s="2370"/>
      <c r="U334" s="2371"/>
    </row>
    <row r="335" spans="2:25" s="2186" customFormat="1" ht="17.25" thickBot="1" x14ac:dyDescent="0.35">
      <c r="B335" s="2634"/>
      <c r="C335" s="2638" t="str">
        <f>'[61]RAB (2)'!D72</f>
        <v>Pembesian sengkang</v>
      </c>
      <c r="D335" s="2530"/>
      <c r="E335" s="2530"/>
      <c r="F335" s="2530"/>
      <c r="G335" s="2530"/>
      <c r="H335" s="2530"/>
      <c r="I335" s="2530"/>
      <c r="J335" s="2531"/>
      <c r="K335" s="2495"/>
      <c r="L335" s="2496"/>
      <c r="M335" s="2496"/>
      <c r="N335" s="2496"/>
      <c r="O335" s="2495"/>
      <c r="P335" s="2496"/>
      <c r="Q335" s="2494"/>
      <c r="R335" s="2496"/>
      <c r="S335" s="2604"/>
      <c r="T335" s="2338"/>
      <c r="U335" s="2363" t="s">
        <v>0</v>
      </c>
      <c r="V335" s="2192"/>
    </row>
    <row r="336" spans="2:25" s="2186" customFormat="1" x14ac:dyDescent="0.3">
      <c r="B336" s="2634"/>
      <c r="C336" s="2638"/>
      <c r="D336" s="2375" t="s">
        <v>95</v>
      </c>
      <c r="E336" s="2421" t="s">
        <v>150</v>
      </c>
      <c r="F336" s="2422"/>
      <c r="G336" s="2421" t="s">
        <v>151</v>
      </c>
      <c r="H336" s="2422"/>
      <c r="I336" s="2421" t="s">
        <v>152</v>
      </c>
      <c r="J336" s="2422"/>
      <c r="K336" s="2421" t="s">
        <v>153</v>
      </c>
      <c r="L336" s="2423"/>
      <c r="M336" s="2423" t="s">
        <v>32</v>
      </c>
      <c r="N336" s="2423"/>
      <c r="O336" s="2424" t="s">
        <v>163</v>
      </c>
      <c r="P336" s="2423"/>
      <c r="Q336" s="2424" t="s">
        <v>151</v>
      </c>
      <c r="R336" s="2423"/>
      <c r="S336" s="2425" t="s">
        <v>143</v>
      </c>
      <c r="T336" s="2362"/>
      <c r="U336" s="2363"/>
      <c r="V336" s="2192"/>
      <c r="W336" s="2222"/>
      <c r="Y336" s="2222"/>
    </row>
    <row r="337" spans="2:25" s="2186" customFormat="1" x14ac:dyDescent="0.3">
      <c r="B337" s="2634"/>
      <c r="C337" s="2638"/>
      <c r="D337" s="2557" t="s">
        <v>237</v>
      </c>
      <c r="E337" s="2550">
        <f>(0.29+0.09)*2+ (2*6*0.01)</f>
        <v>0.88</v>
      </c>
      <c r="F337" s="2534" t="s">
        <v>185</v>
      </c>
      <c r="G337" s="2342"/>
      <c r="H337" s="2342"/>
      <c r="I337" s="2342"/>
      <c r="J337" s="2342"/>
      <c r="K337" s="2342">
        <f>W337</f>
        <v>129</v>
      </c>
      <c r="L337" s="2534" t="s">
        <v>185</v>
      </c>
      <c r="M337" s="2342">
        <f>M311</f>
        <v>1</v>
      </c>
      <c r="N337" s="2534" t="s">
        <v>185</v>
      </c>
      <c r="O337" s="2342">
        <v>7850</v>
      </c>
      <c r="P337" s="2534" t="s">
        <v>185</v>
      </c>
      <c r="Q337" s="2551">
        <f>22/7*0.005*0.005</f>
        <v>7.857142857142858E-5</v>
      </c>
      <c r="R337" s="2552" t="s">
        <v>114</v>
      </c>
      <c r="S337" s="2536">
        <f>E337*K337*M337*O337*Q337</f>
        <v>70.017514285714299</v>
      </c>
      <c r="T337" s="2362"/>
      <c r="U337" s="2363"/>
      <c r="V337" s="2192"/>
      <c r="W337" s="2221">
        <f>16/0.125+1</f>
        <v>129</v>
      </c>
      <c r="X337" s="2222"/>
      <c r="Y337" s="2222"/>
    </row>
    <row r="338" spans="2:25" s="2186" customFormat="1" x14ac:dyDescent="0.3">
      <c r="B338" s="2634"/>
      <c r="C338" s="2638"/>
      <c r="D338" s="2471" t="s">
        <v>238</v>
      </c>
      <c r="E338" s="2332">
        <f>(0.29+0.09)*2+ (2*6*0.01)</f>
        <v>0.88</v>
      </c>
      <c r="F338" s="2454" t="s">
        <v>185</v>
      </c>
      <c r="G338" s="2337"/>
      <c r="H338" s="2337"/>
      <c r="I338" s="2337"/>
      <c r="J338" s="2337"/>
      <c r="K338" s="2337">
        <f>W338*3</f>
        <v>195</v>
      </c>
      <c r="L338" s="2454" t="s">
        <v>185</v>
      </c>
      <c r="M338" s="2337">
        <f>M312</f>
        <v>3</v>
      </c>
      <c r="N338" s="2454" t="s">
        <v>185</v>
      </c>
      <c r="O338" s="2337">
        <v>7850</v>
      </c>
      <c r="P338" s="2454" t="s">
        <v>185</v>
      </c>
      <c r="Q338" s="2553">
        <f>22/7*0.005*0.005</f>
        <v>7.857142857142858E-5</v>
      </c>
      <c r="R338" s="2554" t="s">
        <v>114</v>
      </c>
      <c r="S338" s="2455">
        <f>E338*K338*M338*O338*Q338</f>
        <v>317.52128571428574</v>
      </c>
      <c r="T338" s="2362"/>
      <c r="U338" s="2363"/>
      <c r="V338" s="2192"/>
      <c r="W338" s="2221">
        <f>8/0.125+1</f>
        <v>65</v>
      </c>
      <c r="X338" s="2222"/>
      <c r="Y338" s="2222"/>
    </row>
    <row r="339" spans="2:25" s="2186" customFormat="1" x14ac:dyDescent="0.3">
      <c r="B339" s="2634"/>
      <c r="C339" s="2638"/>
      <c r="D339" s="2471"/>
      <c r="E339" s="2332">
        <f>(0.29+0.09)*2+ (2*6*0.01)</f>
        <v>0.88</v>
      </c>
      <c r="F339" s="2454" t="s">
        <v>185</v>
      </c>
      <c r="G339" s="2337"/>
      <c r="H339" s="2337"/>
      <c r="I339" s="2337"/>
      <c r="J339" s="2337"/>
      <c r="K339" s="2337">
        <f>W339</f>
        <v>17</v>
      </c>
      <c r="L339" s="2454" t="s">
        <v>185</v>
      </c>
      <c r="M339" s="2337">
        <f>M313</f>
        <v>1</v>
      </c>
      <c r="N339" s="2454" t="s">
        <v>185</v>
      </c>
      <c r="O339" s="2337">
        <v>7850</v>
      </c>
      <c r="P339" s="2454" t="s">
        <v>185</v>
      </c>
      <c r="Q339" s="2553">
        <f>22/7*0.005*0.005</f>
        <v>7.857142857142858E-5</v>
      </c>
      <c r="R339" s="2554" t="s">
        <v>114</v>
      </c>
      <c r="S339" s="2455">
        <f>E339*K339*M339*O339*Q339</f>
        <v>9.2271142857142863</v>
      </c>
      <c r="T339" s="2362"/>
      <c r="U339" s="2363"/>
      <c r="V339" s="2192"/>
      <c r="W339" s="2221">
        <f>2/0.125+1</f>
        <v>17</v>
      </c>
      <c r="X339" s="2222"/>
      <c r="Y339" s="2222"/>
    </row>
    <row r="340" spans="2:25" s="2186" customFormat="1" x14ac:dyDescent="0.3">
      <c r="B340" s="2634"/>
      <c r="C340" s="2638"/>
      <c r="D340" s="2541"/>
      <c r="E340" s="2580"/>
      <c r="F340" s="2580"/>
      <c r="G340" s="2580"/>
      <c r="H340" s="2580"/>
      <c r="I340" s="2580"/>
      <c r="J340" s="2580"/>
      <c r="K340" s="2580"/>
      <c r="L340" s="2580"/>
      <c r="M340" s="2580"/>
      <c r="N340" s="2580"/>
      <c r="O340" s="2580"/>
      <c r="P340" s="2580"/>
      <c r="Q340" s="2580"/>
      <c r="R340" s="2580"/>
      <c r="S340" s="2615"/>
      <c r="T340" s="2362"/>
      <c r="U340" s="2363"/>
      <c r="V340" s="2192"/>
    </row>
    <row r="341" spans="2:25" s="2186" customFormat="1" ht="17.25" thickBot="1" x14ac:dyDescent="0.35">
      <c r="B341" s="2634"/>
      <c r="C341" s="2638"/>
      <c r="D341" s="3117" t="s">
        <v>164</v>
      </c>
      <c r="E341" s="3117"/>
      <c r="F341" s="3117"/>
      <c r="G341" s="3117"/>
      <c r="H341" s="3117"/>
      <c r="I341" s="3117"/>
      <c r="J341" s="2462"/>
      <c r="K341" s="2481"/>
      <c r="L341" s="2483"/>
      <c r="M341" s="2483"/>
      <c r="N341" s="2483"/>
      <c r="O341" s="2481"/>
      <c r="P341" s="2483"/>
      <c r="Q341" s="2481"/>
      <c r="R341" s="2483"/>
      <c r="S341" s="2620">
        <f>SUM(S337:S340)</f>
        <v>396.7659142857143</v>
      </c>
      <c r="T341" s="2362"/>
      <c r="U341" s="2363"/>
      <c r="V341" s="2192"/>
    </row>
    <row r="342" spans="2:25" x14ac:dyDescent="0.3">
      <c r="B342" s="2642"/>
      <c r="C342" s="2643"/>
      <c r="D342" s="2650"/>
      <c r="E342" s="2651"/>
      <c r="F342" s="2651"/>
      <c r="G342" s="2651"/>
      <c r="H342" s="2651"/>
      <c r="I342" s="2651"/>
      <c r="J342" s="2651"/>
      <c r="K342" s="2499"/>
      <c r="L342" s="2500"/>
      <c r="M342" s="2500"/>
      <c r="N342" s="2500"/>
      <c r="O342" s="2499"/>
      <c r="P342" s="2500"/>
      <c r="Q342" s="2499"/>
      <c r="R342" s="2500"/>
      <c r="S342" s="2618"/>
      <c r="T342" s="2370"/>
      <c r="U342" s="2371"/>
    </row>
    <row r="343" spans="2:25" s="2186" customFormat="1" ht="17.25" thickBot="1" x14ac:dyDescent="0.35">
      <c r="B343" s="2634"/>
      <c r="C343" s="2638" t="str">
        <f>'[61]RAB (2)'!D73</f>
        <v>Bekisting Balok</v>
      </c>
      <c r="D343" s="2530"/>
      <c r="E343" s="2530"/>
      <c r="F343" s="2530"/>
      <c r="G343" s="2530"/>
      <c r="H343" s="2530"/>
      <c r="I343" s="2530"/>
      <c r="J343" s="2531"/>
      <c r="K343" s="2495"/>
      <c r="L343" s="2496"/>
      <c r="M343" s="2496"/>
      <c r="N343" s="2496"/>
      <c r="O343" s="2495"/>
      <c r="P343" s="2496"/>
      <c r="Q343" s="2494"/>
      <c r="R343" s="2496"/>
      <c r="S343" s="2604"/>
      <c r="T343" s="2338"/>
      <c r="U343" s="2363" t="s">
        <v>2</v>
      </c>
      <c r="V343" s="2192"/>
    </row>
    <row r="344" spans="2:25" s="2186" customFormat="1" x14ac:dyDescent="0.3">
      <c r="B344" s="2634"/>
      <c r="C344" s="2638"/>
      <c r="D344" s="2375" t="s">
        <v>95</v>
      </c>
      <c r="E344" s="2421" t="s">
        <v>150</v>
      </c>
      <c r="F344" s="2422"/>
      <c r="G344" s="2421" t="s">
        <v>151</v>
      </c>
      <c r="H344" s="2422"/>
      <c r="I344" s="2421" t="s">
        <v>152</v>
      </c>
      <c r="J344" s="2422"/>
      <c r="K344" s="2421" t="s">
        <v>153</v>
      </c>
      <c r="L344" s="2423"/>
      <c r="M344" s="2423" t="s">
        <v>32</v>
      </c>
      <c r="N344" s="2423"/>
      <c r="O344" s="2424" t="s">
        <v>163</v>
      </c>
      <c r="P344" s="2423"/>
      <c r="Q344" s="2424" t="s">
        <v>151</v>
      </c>
      <c r="R344" s="2423"/>
      <c r="S344" s="2425" t="s">
        <v>143</v>
      </c>
      <c r="T344" s="2362"/>
      <c r="U344" s="2363"/>
      <c r="V344" s="2192"/>
    </row>
    <row r="345" spans="2:25" s="2186" customFormat="1" x14ac:dyDescent="0.3">
      <c r="B345" s="2634"/>
      <c r="C345" s="2638"/>
      <c r="D345" s="2557" t="s">
        <v>156</v>
      </c>
      <c r="E345" s="2333">
        <f>E311</f>
        <v>3.8</v>
      </c>
      <c r="F345" s="2669" t="s">
        <v>185</v>
      </c>
      <c r="G345" s="2333">
        <f>I311*2+G311</f>
        <v>0.51</v>
      </c>
      <c r="H345" s="2669" t="s">
        <v>185</v>
      </c>
      <c r="I345" s="2333"/>
      <c r="J345" s="2669"/>
      <c r="K345" s="2333">
        <f>K311</f>
        <v>4</v>
      </c>
      <c r="L345" s="2669" t="s">
        <v>185</v>
      </c>
      <c r="M345" s="2333">
        <f>M311</f>
        <v>1</v>
      </c>
      <c r="N345" s="2669"/>
      <c r="O345" s="2333"/>
      <c r="P345" s="2669" t="s">
        <v>114</v>
      </c>
      <c r="Q345" s="2333">
        <f>E345*G345*K345*M345</f>
        <v>7.7519999999999998</v>
      </c>
      <c r="R345" s="2669"/>
      <c r="S345" s="2670"/>
      <c r="T345" s="2362"/>
      <c r="U345" s="2363"/>
      <c r="V345" s="2192"/>
    </row>
    <row r="346" spans="2:25" s="2186" customFormat="1" x14ac:dyDescent="0.3">
      <c r="B346" s="2634"/>
      <c r="C346" s="2638"/>
      <c r="D346" s="2471" t="s">
        <v>157</v>
      </c>
      <c r="E346" s="2334">
        <f>E312</f>
        <v>3.8</v>
      </c>
      <c r="F346" s="2671" t="s">
        <v>185</v>
      </c>
      <c r="G346" s="2334">
        <f>G345</f>
        <v>0.51</v>
      </c>
      <c r="H346" s="2671" t="s">
        <v>185</v>
      </c>
      <c r="I346" s="2334"/>
      <c r="J346" s="2671"/>
      <c r="K346" s="2334">
        <f>K312</f>
        <v>2</v>
      </c>
      <c r="L346" s="2671" t="s">
        <v>185</v>
      </c>
      <c r="M346" s="2334">
        <f>M312</f>
        <v>3</v>
      </c>
      <c r="N346" s="2671"/>
      <c r="O346" s="2334"/>
      <c r="P346" s="2671" t="s">
        <v>114</v>
      </c>
      <c r="Q346" s="2334">
        <f>E346*G346*K346*M346</f>
        <v>11.628</v>
      </c>
      <c r="R346" s="2671"/>
      <c r="S346" s="2672"/>
      <c r="T346" s="2362"/>
      <c r="U346" s="2363"/>
      <c r="V346" s="2192"/>
    </row>
    <row r="347" spans="2:25" s="2186" customFormat="1" x14ac:dyDescent="0.3">
      <c r="B347" s="2634"/>
      <c r="C347" s="2638"/>
      <c r="D347" s="2471"/>
      <c r="E347" s="2334">
        <f>E313</f>
        <v>1.8</v>
      </c>
      <c r="F347" s="2671" t="s">
        <v>185</v>
      </c>
      <c r="G347" s="2334">
        <f>G346</f>
        <v>0.51</v>
      </c>
      <c r="H347" s="2671" t="s">
        <v>185</v>
      </c>
      <c r="I347" s="2334"/>
      <c r="J347" s="2671"/>
      <c r="K347" s="2334">
        <f>K313</f>
        <v>1</v>
      </c>
      <c r="L347" s="2671" t="s">
        <v>185</v>
      </c>
      <c r="M347" s="2334">
        <f>M313</f>
        <v>1</v>
      </c>
      <c r="N347" s="2671"/>
      <c r="O347" s="2334"/>
      <c r="P347" s="2671" t="s">
        <v>114</v>
      </c>
      <c r="Q347" s="2334">
        <f>E347*G347*K347*M347</f>
        <v>0.91800000000000004</v>
      </c>
      <c r="R347" s="2671"/>
      <c r="S347" s="2672"/>
      <c r="T347" s="2362"/>
      <c r="U347" s="2363"/>
      <c r="V347" s="2192"/>
    </row>
    <row r="348" spans="2:25" s="2186" customFormat="1" x14ac:dyDescent="0.3">
      <c r="B348" s="2634"/>
      <c r="C348" s="2638"/>
      <c r="D348" s="2541"/>
      <c r="E348" s="2675"/>
      <c r="F348" s="2675"/>
      <c r="G348" s="2675"/>
      <c r="H348" s="2675"/>
      <c r="I348" s="2675"/>
      <c r="J348" s="2675"/>
      <c r="K348" s="2675"/>
      <c r="L348" s="2675"/>
      <c r="M348" s="2675"/>
      <c r="N348" s="2675"/>
      <c r="O348" s="2675"/>
      <c r="P348" s="2675"/>
      <c r="Q348" s="2675"/>
      <c r="R348" s="2675"/>
      <c r="S348" s="2676"/>
      <c r="T348" s="2362"/>
      <c r="U348" s="2363"/>
      <c r="V348" s="2192"/>
    </row>
    <row r="349" spans="2:25" s="2186" customFormat="1" ht="17.25" thickBot="1" x14ac:dyDescent="0.35">
      <c r="B349" s="2634"/>
      <c r="C349" s="2638"/>
      <c r="D349" s="3117" t="s">
        <v>164</v>
      </c>
      <c r="E349" s="3117"/>
      <c r="F349" s="3117"/>
      <c r="G349" s="3117"/>
      <c r="H349" s="3117"/>
      <c r="I349" s="3117"/>
      <c r="J349" s="2462"/>
      <c r="K349" s="2481"/>
      <c r="L349" s="2483"/>
      <c r="M349" s="2483"/>
      <c r="N349" s="2483"/>
      <c r="O349" s="2481"/>
      <c r="P349" s="2483"/>
      <c r="Q349" s="2677">
        <f>SUM(Q345:Q348)</f>
        <v>20.297999999999998</v>
      </c>
      <c r="R349" s="2483"/>
      <c r="S349" s="2620"/>
      <c r="T349" s="2362"/>
      <c r="U349" s="2363"/>
      <c r="V349" s="2192"/>
    </row>
    <row r="350" spans="2:25" x14ac:dyDescent="0.3">
      <c r="B350" s="2527"/>
      <c r="C350" s="2528"/>
      <c r="D350" s="2463"/>
      <c r="E350" s="2467"/>
      <c r="F350" s="2467"/>
      <c r="G350" s="2467"/>
      <c r="H350" s="2467"/>
      <c r="I350" s="2467"/>
      <c r="J350" s="2467"/>
      <c r="K350" s="2406"/>
      <c r="L350" s="2407"/>
      <c r="M350" s="2407"/>
      <c r="N350" s="2407"/>
      <c r="O350" s="2406"/>
      <c r="P350" s="2407"/>
      <c r="Q350" s="2406"/>
      <c r="R350" s="2407"/>
      <c r="S350" s="2464"/>
      <c r="T350" s="2370"/>
      <c r="U350" s="2371"/>
    </row>
    <row r="351" spans="2:25" s="2186" customFormat="1" x14ac:dyDescent="0.3">
      <c r="B351" s="1207">
        <f>'[61]RAB (2)'!B74</f>
        <v>11</v>
      </c>
      <c r="C351" s="2568" t="str">
        <f>'[61]RAB (2)'!C74</f>
        <v xml:space="preserve">Tangga </v>
      </c>
      <c r="D351" s="2358"/>
      <c r="E351" s="2359"/>
      <c r="F351" s="2360"/>
      <c r="G351" s="2359"/>
      <c r="H351" s="2360"/>
      <c r="I351" s="2359"/>
      <c r="J351" s="2360"/>
      <c r="K351" s="2359"/>
      <c r="L351" s="2360"/>
      <c r="M351" s="2360"/>
      <c r="N351" s="2360"/>
      <c r="O351" s="2359"/>
      <c r="P351" s="2360"/>
      <c r="Q351" s="2359"/>
      <c r="R351" s="2360"/>
      <c r="S351" s="2361"/>
      <c r="T351" s="2680"/>
      <c r="U351" s="2363"/>
      <c r="V351" s="2192"/>
    </row>
    <row r="352" spans="2:25" s="2186" customFormat="1" ht="17.25" thickBot="1" x14ac:dyDescent="0.35">
      <c r="B352" s="1207"/>
      <c r="C352" s="2529" t="str">
        <f>'[61]RAB (2)'!D75</f>
        <v xml:space="preserve">Beton mutu f'c=26,4 Mpa </v>
      </c>
      <c r="D352" s="2358"/>
      <c r="E352" s="2359"/>
      <c r="F352" s="2360"/>
      <c r="G352" s="2359"/>
      <c r="H352" s="2360"/>
      <c r="I352" s="2359"/>
      <c r="J352" s="2360"/>
      <c r="K352" s="2359"/>
      <c r="L352" s="2360"/>
      <c r="M352" s="2360"/>
      <c r="N352" s="2360"/>
      <c r="O352" s="2359"/>
      <c r="P352" s="2360"/>
      <c r="Q352" s="2359"/>
      <c r="R352" s="2360"/>
      <c r="S352" s="2361"/>
      <c r="T352" s="2338"/>
      <c r="U352" s="2363" t="s">
        <v>3</v>
      </c>
      <c r="V352" s="2192"/>
    </row>
    <row r="353" spans="2:23" s="2186" customFormat="1" x14ac:dyDescent="0.3">
      <c r="B353" s="1207"/>
      <c r="C353" s="2529"/>
      <c r="D353" s="2375" t="s">
        <v>95</v>
      </c>
      <c r="E353" s="2376" t="s">
        <v>150</v>
      </c>
      <c r="F353" s="2377"/>
      <c r="G353" s="2376" t="s">
        <v>151</v>
      </c>
      <c r="H353" s="2377"/>
      <c r="I353" s="2376" t="s">
        <v>152</v>
      </c>
      <c r="J353" s="2377"/>
      <c r="K353" s="2376" t="s">
        <v>153</v>
      </c>
      <c r="L353" s="2377"/>
      <c r="M353" s="2377" t="s">
        <v>32</v>
      </c>
      <c r="N353" s="2377"/>
      <c r="O353" s="2376" t="s">
        <v>163</v>
      </c>
      <c r="P353" s="2377"/>
      <c r="Q353" s="2681" t="s">
        <v>151</v>
      </c>
      <c r="R353" s="2377"/>
      <c r="S353" s="2380" t="s">
        <v>143</v>
      </c>
      <c r="T353" s="2362"/>
      <c r="U353" s="2363"/>
      <c r="V353" s="2192"/>
    </row>
    <row r="354" spans="2:23" s="2186" customFormat="1" x14ac:dyDescent="0.3">
      <c r="B354" s="1207"/>
      <c r="C354" s="2529"/>
      <c r="D354" s="2682" t="s">
        <v>155</v>
      </c>
      <c r="E354" s="2590">
        <v>1.82</v>
      </c>
      <c r="F354" s="2590" t="s">
        <v>185</v>
      </c>
      <c r="G354" s="2590">
        <v>0.3</v>
      </c>
      <c r="H354" s="2590" t="s">
        <v>185</v>
      </c>
      <c r="I354" s="2590">
        <f>0.18</f>
        <v>0.18</v>
      </c>
      <c r="J354" s="2590" t="s">
        <v>185</v>
      </c>
      <c r="K354" s="2590">
        <v>20</v>
      </c>
      <c r="L354" s="2590"/>
      <c r="M354" s="2590">
        <v>1</v>
      </c>
      <c r="N354" s="2590" t="s">
        <v>185</v>
      </c>
      <c r="O354" s="2590">
        <v>0.5</v>
      </c>
      <c r="P354" s="2590"/>
      <c r="Q354" s="2590"/>
      <c r="R354" s="2590" t="s">
        <v>114</v>
      </c>
      <c r="S354" s="2591">
        <f>K354*I354*G354*E354*O354*M354</f>
        <v>0.9827999999999999</v>
      </c>
      <c r="T354" s="2362"/>
      <c r="U354" s="2363"/>
      <c r="V354" s="2192"/>
    </row>
    <row r="355" spans="2:23" s="2186" customFormat="1" x14ac:dyDescent="0.3">
      <c r="B355" s="1207"/>
      <c r="C355" s="2529"/>
      <c r="D355" s="2230" t="s">
        <v>270</v>
      </c>
      <c r="E355" s="2337">
        <f>4.31+2.44</f>
        <v>6.75</v>
      </c>
      <c r="F355" s="2454" t="s">
        <v>185</v>
      </c>
      <c r="G355" s="2337">
        <v>1.82</v>
      </c>
      <c r="H355" s="2454" t="s">
        <v>185</v>
      </c>
      <c r="I355" s="2337">
        <v>0.12</v>
      </c>
      <c r="J355" s="2454"/>
      <c r="K355" s="2337"/>
      <c r="L355" s="2337"/>
      <c r="M355" s="2337">
        <f>M354</f>
        <v>1</v>
      </c>
      <c r="N355" s="2337"/>
      <c r="O355" s="2337"/>
      <c r="P355" s="2337"/>
      <c r="Q355" s="2337"/>
      <c r="R355" s="2454" t="s">
        <v>114</v>
      </c>
      <c r="S355" s="2455">
        <f>I355*G355*E355*M355</f>
        <v>1.4742000000000002</v>
      </c>
      <c r="T355" s="2362"/>
      <c r="U355" s="2363"/>
      <c r="V355" s="2192"/>
    </row>
    <row r="356" spans="2:23" s="2186" customFormat="1" x14ac:dyDescent="0.3">
      <c r="B356" s="1207"/>
      <c r="C356" s="2529"/>
      <c r="D356" s="2471" t="s">
        <v>158</v>
      </c>
      <c r="E356" s="2332">
        <v>3.8</v>
      </c>
      <c r="F356" s="2454" t="s">
        <v>185</v>
      </c>
      <c r="G356" s="2337">
        <v>3.8</v>
      </c>
      <c r="H356" s="2454" t="s">
        <v>185</v>
      </c>
      <c r="I356" s="2337">
        <f>I355</f>
        <v>0.12</v>
      </c>
      <c r="J356" s="2454"/>
      <c r="K356" s="2337"/>
      <c r="L356" s="2454"/>
      <c r="M356" s="2337">
        <f>M355</f>
        <v>1</v>
      </c>
      <c r="N356" s="2454"/>
      <c r="O356" s="2337"/>
      <c r="P356" s="2337"/>
      <c r="Q356" s="2337"/>
      <c r="R356" s="2454" t="s">
        <v>114</v>
      </c>
      <c r="S356" s="2455">
        <f>I356*G356*E356*M356</f>
        <v>1.7327999999999997</v>
      </c>
      <c r="T356" s="2362"/>
      <c r="U356" s="2363"/>
      <c r="V356" s="2192"/>
    </row>
    <row r="357" spans="2:23" s="2186" customFormat="1" x14ac:dyDescent="0.3">
      <c r="B357" s="1207"/>
      <c r="C357" s="2529"/>
      <c r="D357" s="2230" t="s">
        <v>271</v>
      </c>
      <c r="E357" s="2332">
        <f>E354</f>
        <v>1.82</v>
      </c>
      <c r="F357" s="2454" t="s">
        <v>185</v>
      </c>
      <c r="G357" s="2337">
        <v>1.6</v>
      </c>
      <c r="H357" s="2454" t="s">
        <v>185</v>
      </c>
      <c r="I357" s="2337">
        <f>I355</f>
        <v>0.12</v>
      </c>
      <c r="J357" s="2454"/>
      <c r="K357" s="2337"/>
      <c r="L357" s="2454"/>
      <c r="M357" s="2337">
        <f>M356</f>
        <v>1</v>
      </c>
      <c r="N357" s="2454"/>
      <c r="O357" s="2337"/>
      <c r="P357" s="2337"/>
      <c r="Q357" s="2337"/>
      <c r="R357" s="2454" t="s">
        <v>114</v>
      </c>
      <c r="S357" s="2455">
        <f>I357*G357*E357*M357</f>
        <v>0.34944000000000003</v>
      </c>
      <c r="T357" s="2362"/>
      <c r="U357" s="2363"/>
      <c r="V357" s="2192"/>
    </row>
    <row r="358" spans="2:23" s="2186" customFormat="1" x14ac:dyDescent="0.3">
      <c r="B358" s="1207"/>
      <c r="C358" s="2529"/>
      <c r="D358" s="2230" t="s">
        <v>244</v>
      </c>
      <c r="E358" s="2332"/>
      <c r="F358" s="2454"/>
      <c r="G358" s="2337"/>
      <c r="H358" s="2454"/>
      <c r="I358" s="2337"/>
      <c r="J358" s="2454"/>
      <c r="K358" s="2337"/>
      <c r="L358" s="2454"/>
      <c r="M358" s="2337"/>
      <c r="N358" s="2454"/>
      <c r="O358" s="2337"/>
      <c r="P358" s="2337"/>
      <c r="Q358" s="2337"/>
      <c r="R358" s="2454"/>
      <c r="S358" s="2455"/>
      <c r="T358" s="2362"/>
      <c r="U358" s="2363"/>
      <c r="V358" s="2192"/>
    </row>
    <row r="359" spans="2:23" s="2186" customFormat="1" x14ac:dyDescent="0.3">
      <c r="B359" s="1207"/>
      <c r="C359" s="2529"/>
      <c r="D359" s="2431" t="s">
        <v>255</v>
      </c>
      <c r="E359" s="2332"/>
      <c r="F359" s="2454"/>
      <c r="G359" s="2337"/>
      <c r="H359" s="2454"/>
      <c r="I359" s="2337"/>
      <c r="J359" s="2454"/>
      <c r="K359" s="2337">
        <f>S373</f>
        <v>851.4310825428571</v>
      </c>
      <c r="L359" s="2337" t="s">
        <v>253</v>
      </c>
      <c r="M359" s="2332"/>
      <c r="N359" s="2337"/>
      <c r="O359" s="2332">
        <f>O366</f>
        <v>7850</v>
      </c>
      <c r="P359" s="2337"/>
      <c r="Q359" s="2337"/>
      <c r="R359" s="2454" t="s">
        <v>149</v>
      </c>
      <c r="S359" s="2455">
        <f>K359/O359</f>
        <v>0.10846255828571429</v>
      </c>
      <c r="T359" s="2362"/>
      <c r="U359" s="2363"/>
      <c r="V359" s="2192"/>
    </row>
    <row r="360" spans="2:23" s="2186" customFormat="1" x14ac:dyDescent="0.3">
      <c r="B360" s="1207"/>
      <c r="C360" s="2529"/>
      <c r="D360" s="2683"/>
      <c r="E360" s="2434"/>
      <c r="F360" s="2434"/>
      <c r="G360" s="2434"/>
      <c r="H360" s="2434"/>
      <c r="I360" s="2434"/>
      <c r="J360" s="2434"/>
      <c r="K360" s="2434"/>
      <c r="L360" s="2434"/>
      <c r="M360" s="2434"/>
      <c r="N360" s="2434"/>
      <c r="O360" s="2434"/>
      <c r="P360" s="2434"/>
      <c r="Q360" s="2434"/>
      <c r="R360" s="2434"/>
      <c r="S360" s="2542"/>
      <c r="T360" s="2362"/>
      <c r="U360" s="2363"/>
      <c r="V360" s="2192"/>
    </row>
    <row r="361" spans="2:23" s="2186" customFormat="1" ht="17.25" thickBot="1" x14ac:dyDescent="0.35">
      <c r="B361" s="1207"/>
      <c r="C361" s="2529"/>
      <c r="D361" s="3115" t="s">
        <v>164</v>
      </c>
      <c r="E361" s="3116"/>
      <c r="F361" s="3116"/>
      <c r="G361" s="3116"/>
      <c r="H361" s="3116"/>
      <c r="I361" s="3116"/>
      <c r="J361" s="2684"/>
      <c r="K361" s="2684"/>
      <c r="L361" s="2684"/>
      <c r="M361" s="2684"/>
      <c r="N361" s="2684"/>
      <c r="O361" s="2684"/>
      <c r="P361" s="2684"/>
      <c r="Q361" s="2684"/>
      <c r="R361" s="2684"/>
      <c r="S361" s="2685">
        <f>SUM(S354:S357)-SUM(S359)</f>
        <v>4.4307774417142864</v>
      </c>
      <c r="T361" s="2362"/>
      <c r="U361" s="2363"/>
      <c r="V361" s="2192"/>
    </row>
    <row r="362" spans="2:23" x14ac:dyDescent="0.3">
      <c r="B362" s="2527"/>
      <c r="C362" s="2528"/>
      <c r="D362" s="2366"/>
      <c r="E362" s="2367"/>
      <c r="F362" s="2368"/>
      <c r="G362" s="2367"/>
      <c r="H362" s="2368"/>
      <c r="I362" s="2367"/>
      <c r="J362" s="2368"/>
      <c r="K362" s="2367"/>
      <c r="L362" s="2368"/>
      <c r="M362" s="2368"/>
      <c r="N362" s="2368"/>
      <c r="O362" s="2367"/>
      <c r="P362" s="2368"/>
      <c r="Q362" s="2367"/>
      <c r="R362" s="2368"/>
      <c r="S362" s="2369"/>
      <c r="T362" s="2686"/>
      <c r="U362" s="2371"/>
    </row>
    <row r="363" spans="2:23" s="2186" customFormat="1" ht="17.25" thickBot="1" x14ac:dyDescent="0.35">
      <c r="B363" s="1207"/>
      <c r="C363" s="2529" t="str">
        <f>'[61]RAB (2)'!D76</f>
        <v>Pembesian Ulir</v>
      </c>
      <c r="D363" s="2358"/>
      <c r="E363" s="2359"/>
      <c r="F363" s="2360"/>
      <c r="G363" s="2359"/>
      <c r="H363" s="2360"/>
      <c r="I363" s="2359"/>
      <c r="J363" s="2360"/>
      <c r="K363" s="2359"/>
      <c r="L363" s="2360"/>
      <c r="M363" s="2360"/>
      <c r="N363" s="2360"/>
      <c r="O363" s="2359"/>
      <c r="P363" s="2360"/>
      <c r="Q363" s="2359"/>
      <c r="R363" s="2360"/>
      <c r="S363" s="2361"/>
      <c r="T363" s="2338"/>
      <c r="U363" s="2363" t="s">
        <v>0</v>
      </c>
      <c r="V363" s="2192"/>
    </row>
    <row r="364" spans="2:23" s="2186" customFormat="1" x14ac:dyDescent="0.3">
      <c r="B364" s="1207"/>
      <c r="C364" s="2529"/>
      <c r="D364" s="2375" t="s">
        <v>95</v>
      </c>
      <c r="E364" s="2376" t="s">
        <v>150</v>
      </c>
      <c r="F364" s="2377"/>
      <c r="G364" s="2376" t="s">
        <v>151</v>
      </c>
      <c r="H364" s="2377"/>
      <c r="I364" s="2376" t="s">
        <v>294</v>
      </c>
      <c r="J364" s="2377"/>
      <c r="K364" s="2376" t="s">
        <v>153</v>
      </c>
      <c r="L364" s="2378"/>
      <c r="M364" s="2378" t="s">
        <v>32</v>
      </c>
      <c r="N364" s="2378"/>
      <c r="O364" s="2379" t="s">
        <v>163</v>
      </c>
      <c r="P364" s="2378"/>
      <c r="Q364" s="2379" t="s">
        <v>151</v>
      </c>
      <c r="R364" s="2378"/>
      <c r="S364" s="2380" t="s">
        <v>143</v>
      </c>
      <c r="T364" s="2362"/>
      <c r="U364" s="2363"/>
      <c r="V364" s="2192"/>
    </row>
    <row r="365" spans="2:23" s="2186" customFormat="1" x14ac:dyDescent="0.3">
      <c r="B365" s="1207"/>
      <c r="C365" s="2529"/>
      <c r="D365" s="2687" t="s">
        <v>716</v>
      </c>
      <c r="E365" s="2550"/>
      <c r="F365" s="2534"/>
      <c r="G365" s="2342"/>
      <c r="H365" s="2342"/>
      <c r="I365" s="2342"/>
      <c r="J365" s="2342"/>
      <c r="K365" s="2342"/>
      <c r="L365" s="2534"/>
      <c r="M365" s="2342"/>
      <c r="N365" s="2534"/>
      <c r="O365" s="2342"/>
      <c r="P365" s="2534"/>
      <c r="Q365" s="2342"/>
      <c r="R365" s="2534"/>
      <c r="S365" s="2536"/>
      <c r="T365" s="2362"/>
      <c r="U365" s="2363"/>
      <c r="V365" s="2192"/>
    </row>
    <row r="366" spans="2:23" s="2186" customFormat="1" x14ac:dyDescent="0.3">
      <c r="B366" s="1207"/>
      <c r="C366" s="2529"/>
      <c r="D366" s="2471" t="s">
        <v>272</v>
      </c>
      <c r="E366" s="2332">
        <v>4</v>
      </c>
      <c r="F366" s="2454" t="s">
        <v>185</v>
      </c>
      <c r="G366" s="2337"/>
      <c r="H366" s="2337"/>
      <c r="I366" s="2337">
        <f t="shared" ref="I366:I371" si="3">$M$354</f>
        <v>1</v>
      </c>
      <c r="J366" s="2337"/>
      <c r="K366" s="2337">
        <v>2</v>
      </c>
      <c r="L366" s="2454" t="s">
        <v>185</v>
      </c>
      <c r="M366" s="2337">
        <v>25</v>
      </c>
      <c r="N366" s="2454" t="s">
        <v>185</v>
      </c>
      <c r="O366" s="2337">
        <v>7850</v>
      </c>
      <c r="P366" s="2454" t="s">
        <v>185</v>
      </c>
      <c r="Q366" s="2553">
        <f>22/7*0.0065*0.0065</f>
        <v>1.3278571428571427E-4</v>
      </c>
      <c r="R366" s="2454" t="s">
        <v>114</v>
      </c>
      <c r="S366" s="2455">
        <f t="shared" ref="S366:S371" si="4">E366*K366*M366*O366*Q366*I366</f>
        <v>208.4735714285714</v>
      </c>
      <c r="T366" s="2362"/>
      <c r="U366" s="2363"/>
      <c r="V366" s="2192"/>
      <c r="W366" s="2222">
        <f>E356/0.15</f>
        <v>25.333333333333332</v>
      </c>
    </row>
    <row r="367" spans="2:23" s="2186" customFormat="1" x14ac:dyDescent="0.3">
      <c r="B367" s="1207"/>
      <c r="C367" s="2529"/>
      <c r="D367" s="2471" t="s">
        <v>273</v>
      </c>
      <c r="E367" s="2332">
        <v>4</v>
      </c>
      <c r="F367" s="2454" t="s">
        <v>185</v>
      </c>
      <c r="G367" s="2337"/>
      <c r="H367" s="2337"/>
      <c r="I367" s="2337">
        <f t="shared" si="3"/>
        <v>1</v>
      </c>
      <c r="J367" s="2337"/>
      <c r="K367" s="2337">
        <v>2</v>
      </c>
      <c r="L367" s="2454" t="s">
        <v>185</v>
      </c>
      <c r="M367" s="2337">
        <v>25</v>
      </c>
      <c r="N367" s="2454" t="s">
        <v>185</v>
      </c>
      <c r="O367" s="2337">
        <v>7850</v>
      </c>
      <c r="P367" s="2454" t="s">
        <v>185</v>
      </c>
      <c r="Q367" s="2553">
        <f>22/7*0.0065*0.0065</f>
        <v>1.3278571428571427E-4</v>
      </c>
      <c r="R367" s="2454" t="s">
        <v>114</v>
      </c>
      <c r="S367" s="2455">
        <f t="shared" si="4"/>
        <v>208.4735714285714</v>
      </c>
      <c r="T367" s="2362"/>
      <c r="U367" s="2363"/>
      <c r="V367" s="2192"/>
      <c r="W367" s="2222">
        <f>G356/0.15</f>
        <v>25.333333333333332</v>
      </c>
    </row>
    <row r="368" spans="2:23" s="2186" customFormat="1" x14ac:dyDescent="0.3">
      <c r="B368" s="1207"/>
      <c r="C368" s="2529"/>
      <c r="D368" s="2471" t="s">
        <v>274</v>
      </c>
      <c r="E368" s="2332">
        <f>E355+(40*0.013+(2*6*0.013))</f>
        <v>7.4260000000000002</v>
      </c>
      <c r="F368" s="2454" t="s">
        <v>185</v>
      </c>
      <c r="G368" s="2337"/>
      <c r="H368" s="2337"/>
      <c r="I368" s="2337">
        <f t="shared" si="3"/>
        <v>1</v>
      </c>
      <c r="J368" s="2337"/>
      <c r="K368" s="2337">
        <v>2</v>
      </c>
      <c r="L368" s="2454" t="s">
        <v>185</v>
      </c>
      <c r="M368" s="2337">
        <v>12</v>
      </c>
      <c r="N368" s="2454" t="s">
        <v>185</v>
      </c>
      <c r="O368" s="2337">
        <v>7850</v>
      </c>
      <c r="P368" s="2454" t="s">
        <v>185</v>
      </c>
      <c r="Q368" s="2553">
        <f>Q367</f>
        <v>1.3278571428571427E-4</v>
      </c>
      <c r="R368" s="2454" t="s">
        <v>114</v>
      </c>
      <c r="S368" s="2455">
        <f t="shared" si="4"/>
        <v>185.77496897142854</v>
      </c>
      <c r="T368" s="2362"/>
      <c r="U368" s="2363"/>
      <c r="V368" s="2192"/>
      <c r="W368" s="2222">
        <f>E354/0.15</f>
        <v>12.133333333333335</v>
      </c>
    </row>
    <row r="369" spans="2:23" s="2186" customFormat="1" x14ac:dyDescent="0.3">
      <c r="B369" s="1207"/>
      <c r="C369" s="2529"/>
      <c r="D369" s="2471"/>
      <c r="E369" s="2332">
        <f>E354</f>
        <v>1.82</v>
      </c>
      <c r="F369" s="2454" t="s">
        <v>185</v>
      </c>
      <c r="G369" s="2337"/>
      <c r="H369" s="2337"/>
      <c r="I369" s="2337">
        <f t="shared" si="3"/>
        <v>1</v>
      </c>
      <c r="J369" s="2337"/>
      <c r="K369" s="2337">
        <v>2</v>
      </c>
      <c r="L369" s="2454" t="s">
        <v>185</v>
      </c>
      <c r="M369" s="2337">
        <v>45</v>
      </c>
      <c r="N369" s="2454" t="s">
        <v>185</v>
      </c>
      <c r="O369" s="2337">
        <v>7850</v>
      </c>
      <c r="P369" s="2454" t="s">
        <v>185</v>
      </c>
      <c r="Q369" s="2553">
        <f>Q368</f>
        <v>1.3278571428571427E-4</v>
      </c>
      <c r="R369" s="2454" t="s">
        <v>114</v>
      </c>
      <c r="S369" s="2455">
        <f t="shared" si="4"/>
        <v>170.73985499999998</v>
      </c>
      <c r="T369" s="2362"/>
      <c r="U369" s="2363"/>
      <c r="V369" s="2192"/>
      <c r="W369" s="2222">
        <f>E355/0.15</f>
        <v>45</v>
      </c>
    </row>
    <row r="370" spans="2:23" s="2186" customFormat="1" x14ac:dyDescent="0.3">
      <c r="B370" s="1207"/>
      <c r="C370" s="2529"/>
      <c r="D370" s="2232" t="s">
        <v>275</v>
      </c>
      <c r="E370" s="2332">
        <f>E357</f>
        <v>1.82</v>
      </c>
      <c r="F370" s="2454" t="s">
        <v>185</v>
      </c>
      <c r="G370" s="2337"/>
      <c r="H370" s="2337"/>
      <c r="I370" s="2337">
        <f t="shared" si="3"/>
        <v>1</v>
      </c>
      <c r="J370" s="2337"/>
      <c r="K370" s="2337">
        <v>2</v>
      </c>
      <c r="L370" s="2454" t="s">
        <v>185</v>
      </c>
      <c r="M370" s="2337">
        <v>10</v>
      </c>
      <c r="N370" s="2454" t="s">
        <v>185</v>
      </c>
      <c r="O370" s="2337">
        <v>7850</v>
      </c>
      <c r="P370" s="2454" t="s">
        <v>185</v>
      </c>
      <c r="Q370" s="2553">
        <f>Q369</f>
        <v>1.3278571428571427E-4</v>
      </c>
      <c r="R370" s="2454" t="s">
        <v>114</v>
      </c>
      <c r="S370" s="2455">
        <f t="shared" si="4"/>
        <v>37.942189999999997</v>
      </c>
      <c r="T370" s="2362"/>
      <c r="U370" s="2363"/>
      <c r="V370" s="2192"/>
      <c r="W370" s="2222">
        <f>G357/0.15</f>
        <v>10.666666666666668</v>
      </c>
    </row>
    <row r="371" spans="2:23" s="2186" customFormat="1" x14ac:dyDescent="0.3">
      <c r="B371" s="1207"/>
      <c r="C371" s="2529"/>
      <c r="D371" s="2232"/>
      <c r="E371" s="2332">
        <f>G357</f>
        <v>1.6</v>
      </c>
      <c r="F371" s="2454" t="s">
        <v>185</v>
      </c>
      <c r="G371" s="2337"/>
      <c r="H371" s="2337"/>
      <c r="I371" s="2337">
        <f t="shared" si="3"/>
        <v>1</v>
      </c>
      <c r="J371" s="2337"/>
      <c r="K371" s="2337">
        <v>2</v>
      </c>
      <c r="L371" s="2454" t="s">
        <v>185</v>
      </c>
      <c r="M371" s="2337">
        <v>12</v>
      </c>
      <c r="N371" s="2454" t="s">
        <v>185</v>
      </c>
      <c r="O371" s="2337">
        <v>7850</v>
      </c>
      <c r="P371" s="2454" t="s">
        <v>185</v>
      </c>
      <c r="Q371" s="2553">
        <f>Q370</f>
        <v>1.3278571428571427E-4</v>
      </c>
      <c r="R371" s="2454" t="s">
        <v>114</v>
      </c>
      <c r="S371" s="2455">
        <f t="shared" si="4"/>
        <v>40.026925714285717</v>
      </c>
      <c r="T371" s="2362"/>
      <c r="U371" s="2363"/>
      <c r="V371" s="2192"/>
      <c r="W371" s="2222">
        <f>E347/0.15</f>
        <v>12</v>
      </c>
    </row>
    <row r="372" spans="2:23" s="2186" customFormat="1" ht="17.25" thickBot="1" x14ac:dyDescent="0.35">
      <c r="B372" s="1207"/>
      <c r="C372" s="2529"/>
      <c r="D372" s="2688"/>
      <c r="E372" s="2644"/>
      <c r="F372" s="2644"/>
      <c r="G372" s="2644"/>
      <c r="H372" s="2644"/>
      <c r="I372" s="2644"/>
      <c r="J372" s="2644"/>
      <c r="K372" s="2644"/>
      <c r="L372" s="2644"/>
      <c r="M372" s="2644"/>
      <c r="N372" s="2644"/>
      <c r="O372" s="2644"/>
      <c r="P372" s="2644"/>
      <c r="Q372" s="2644"/>
      <c r="R372" s="2644"/>
      <c r="S372" s="2689"/>
      <c r="T372" s="2362"/>
      <c r="U372" s="2363"/>
      <c r="V372" s="2192"/>
    </row>
    <row r="373" spans="2:23" s="2186" customFormat="1" ht="17.25" thickBot="1" x14ac:dyDescent="0.35">
      <c r="B373" s="1207"/>
      <c r="C373" s="2529"/>
      <c r="D373" s="3124" t="s">
        <v>164</v>
      </c>
      <c r="E373" s="3125"/>
      <c r="F373" s="3125"/>
      <c r="G373" s="3125"/>
      <c r="H373" s="3125"/>
      <c r="I373" s="3125"/>
      <c r="J373" s="2690"/>
      <c r="K373" s="2691"/>
      <c r="L373" s="2690"/>
      <c r="M373" s="2690"/>
      <c r="N373" s="2690"/>
      <c r="O373" s="2690"/>
      <c r="P373" s="2690"/>
      <c r="Q373" s="2690"/>
      <c r="R373" s="2690"/>
      <c r="S373" s="2692">
        <f>SUM(S365:S372)</f>
        <v>851.4310825428571</v>
      </c>
      <c r="T373" s="2362"/>
      <c r="U373" s="2363"/>
      <c r="V373" s="2192"/>
    </row>
    <row r="374" spans="2:23" x14ac:dyDescent="0.3">
      <c r="B374" s="2527"/>
      <c r="C374" s="2528"/>
      <c r="D374" s="2366"/>
      <c r="E374" s="2367"/>
      <c r="F374" s="2368"/>
      <c r="G374" s="2367"/>
      <c r="H374" s="2368"/>
      <c r="I374" s="2367"/>
      <c r="J374" s="2368"/>
      <c r="K374" s="2367"/>
      <c r="L374" s="2368"/>
      <c r="M374" s="2368"/>
      <c r="N374" s="2368"/>
      <c r="O374" s="2367"/>
      <c r="P374" s="2368"/>
      <c r="Q374" s="2367"/>
      <c r="R374" s="2368"/>
      <c r="S374" s="2369"/>
      <c r="T374" s="2686"/>
      <c r="U374" s="2371"/>
    </row>
    <row r="375" spans="2:23" s="2186" customFormat="1" ht="17.25" thickBot="1" x14ac:dyDescent="0.35">
      <c r="B375" s="1207"/>
      <c r="C375" s="2529" t="str">
        <f>'[61]RAB (2)'!D77</f>
        <v>Bekisting Tangga</v>
      </c>
      <c r="D375" s="2358"/>
      <c r="E375" s="2359"/>
      <c r="F375" s="2360"/>
      <c r="G375" s="2359"/>
      <c r="H375" s="2360"/>
      <c r="I375" s="2359"/>
      <c r="J375" s="2360"/>
      <c r="K375" s="2359"/>
      <c r="L375" s="2360"/>
      <c r="M375" s="2360"/>
      <c r="N375" s="2360"/>
      <c r="O375" s="2359"/>
      <c r="P375" s="2360"/>
      <c r="Q375" s="2359"/>
      <c r="R375" s="2360"/>
      <c r="S375" s="2361"/>
      <c r="T375" s="2338"/>
      <c r="U375" s="2363" t="s">
        <v>2</v>
      </c>
      <c r="V375" s="2192"/>
    </row>
    <row r="376" spans="2:23" s="2186" customFormat="1" x14ac:dyDescent="0.3">
      <c r="B376" s="1207"/>
      <c r="C376" s="2529"/>
      <c r="D376" s="2375" t="s">
        <v>95</v>
      </c>
      <c r="E376" s="2376" t="s">
        <v>150</v>
      </c>
      <c r="F376" s="2377"/>
      <c r="G376" s="2376" t="s">
        <v>151</v>
      </c>
      <c r="H376" s="2377"/>
      <c r="I376" s="2376" t="s">
        <v>152</v>
      </c>
      <c r="J376" s="2377"/>
      <c r="K376" s="2376" t="s">
        <v>153</v>
      </c>
      <c r="L376" s="2378"/>
      <c r="M376" s="2378" t="s">
        <v>32</v>
      </c>
      <c r="N376" s="2378"/>
      <c r="O376" s="2379" t="s">
        <v>163</v>
      </c>
      <c r="P376" s="2378"/>
      <c r="Q376" s="2379" t="s">
        <v>151</v>
      </c>
      <c r="R376" s="2378"/>
      <c r="S376" s="2380" t="s">
        <v>143</v>
      </c>
      <c r="T376" s="2362"/>
      <c r="U376" s="2363"/>
      <c r="V376" s="2192"/>
    </row>
    <row r="377" spans="2:23" s="2186" customFormat="1" x14ac:dyDescent="0.3">
      <c r="B377" s="1207"/>
      <c r="C377" s="2529"/>
      <c r="D377" s="2557" t="s">
        <v>293</v>
      </c>
      <c r="E377" s="2550">
        <f>E355</f>
        <v>6.75</v>
      </c>
      <c r="F377" s="2534" t="s">
        <v>185</v>
      </c>
      <c r="G377" s="2342">
        <f>G355</f>
        <v>1.82</v>
      </c>
      <c r="H377" s="2534" t="s">
        <v>185</v>
      </c>
      <c r="I377" s="2342"/>
      <c r="J377" s="2534"/>
      <c r="K377" s="2342">
        <v>1</v>
      </c>
      <c r="L377" s="2534" t="s">
        <v>185</v>
      </c>
      <c r="M377" s="2342">
        <f>M355</f>
        <v>1</v>
      </c>
      <c r="N377" s="2534"/>
      <c r="O377" s="2342"/>
      <c r="P377" s="2534" t="s">
        <v>114</v>
      </c>
      <c r="Q377" s="2342">
        <f>E377*G377*K377*M377</f>
        <v>12.285</v>
      </c>
      <c r="R377" s="2534"/>
      <c r="S377" s="2536"/>
      <c r="T377" s="2362"/>
      <c r="U377" s="2363"/>
      <c r="V377" s="2192"/>
    </row>
    <row r="378" spans="2:23" s="2186" customFormat="1" x14ac:dyDescent="0.3">
      <c r="B378" s="1207"/>
      <c r="C378" s="2529"/>
      <c r="D378" s="2471" t="s">
        <v>158</v>
      </c>
      <c r="E378" s="2332">
        <f>E356</f>
        <v>3.8</v>
      </c>
      <c r="F378" s="2454" t="s">
        <v>185</v>
      </c>
      <c r="G378" s="2337">
        <f>G356</f>
        <v>3.8</v>
      </c>
      <c r="H378" s="2454"/>
      <c r="I378" s="2337"/>
      <c r="J378" s="2454"/>
      <c r="K378" s="2337">
        <v>1</v>
      </c>
      <c r="L378" s="2454" t="s">
        <v>185</v>
      </c>
      <c r="M378" s="2337">
        <f>M356</f>
        <v>1</v>
      </c>
      <c r="N378" s="2454"/>
      <c r="O378" s="2337"/>
      <c r="P378" s="2454" t="s">
        <v>114</v>
      </c>
      <c r="Q378" s="2337">
        <f>G378*E378*K378*M378</f>
        <v>14.44</v>
      </c>
      <c r="R378" s="2454"/>
      <c r="S378" s="2455"/>
      <c r="T378" s="2362"/>
      <c r="U378" s="2363"/>
      <c r="V378" s="2192"/>
    </row>
    <row r="379" spans="2:23" s="2186" customFormat="1" x14ac:dyDescent="0.3">
      <c r="B379" s="1207"/>
      <c r="C379" s="2529"/>
      <c r="D379" s="2232" t="s">
        <v>276</v>
      </c>
      <c r="E379" s="2332">
        <f>E354</f>
        <v>1.82</v>
      </c>
      <c r="F379" s="2454" t="s">
        <v>185</v>
      </c>
      <c r="G379" s="2337">
        <v>0.18</v>
      </c>
      <c r="H379" s="2454"/>
      <c r="I379" s="2337"/>
      <c r="J379" s="2454"/>
      <c r="K379" s="2337">
        <f>K354</f>
        <v>20</v>
      </c>
      <c r="L379" s="2454" t="s">
        <v>185</v>
      </c>
      <c r="M379" s="2337">
        <f>M354</f>
        <v>1</v>
      </c>
      <c r="N379" s="2454"/>
      <c r="O379" s="2337"/>
      <c r="P379" s="2454" t="s">
        <v>114</v>
      </c>
      <c r="Q379" s="2337">
        <f>E379*G379*K379*M379</f>
        <v>6.5519999999999996</v>
      </c>
      <c r="R379" s="2337"/>
      <c r="S379" s="2455"/>
      <c r="T379" s="2362"/>
      <c r="U379" s="2363"/>
      <c r="V379" s="2192"/>
    </row>
    <row r="380" spans="2:23" s="2186" customFormat="1" x14ac:dyDescent="0.3">
      <c r="B380" s="1207"/>
      <c r="C380" s="2529"/>
      <c r="D380" s="2232" t="str">
        <f>D370</f>
        <v xml:space="preserve">Vertikal </v>
      </c>
      <c r="E380" s="2332"/>
      <c r="F380" s="2454" t="s">
        <v>185</v>
      </c>
      <c r="G380" s="2337">
        <f>G357</f>
        <v>1.6</v>
      </c>
      <c r="H380" s="2454" t="s">
        <v>185</v>
      </c>
      <c r="I380" s="2337">
        <f>E357</f>
        <v>1.82</v>
      </c>
      <c r="J380" s="2454"/>
      <c r="K380" s="2337">
        <v>1</v>
      </c>
      <c r="L380" s="2454" t="s">
        <v>185</v>
      </c>
      <c r="M380" s="2337">
        <f>M354</f>
        <v>1</v>
      </c>
      <c r="N380" s="2454"/>
      <c r="O380" s="2337"/>
      <c r="P380" s="2454" t="s">
        <v>114</v>
      </c>
      <c r="Q380" s="2337">
        <f>G380*I380*K380*M380</f>
        <v>2.9120000000000004</v>
      </c>
      <c r="R380" s="2337"/>
      <c r="S380" s="2455"/>
      <c r="T380" s="2362"/>
      <c r="U380" s="2363"/>
      <c r="V380" s="2192"/>
    </row>
    <row r="381" spans="2:23" s="2186" customFormat="1" x14ac:dyDescent="0.3">
      <c r="B381" s="1207"/>
      <c r="C381" s="2529"/>
      <c r="D381" s="2541"/>
      <c r="E381" s="2580"/>
      <c r="F381" s="2434"/>
      <c r="G381" s="2434"/>
      <c r="H381" s="2434"/>
      <c r="I381" s="2434"/>
      <c r="J381" s="2434"/>
      <c r="K381" s="2434"/>
      <c r="L381" s="2434"/>
      <c r="M381" s="2434"/>
      <c r="N381" s="2434"/>
      <c r="O381" s="2434"/>
      <c r="P381" s="2434"/>
      <c r="Q381" s="2434"/>
      <c r="R381" s="2434"/>
      <c r="S381" s="2542"/>
      <c r="T381" s="2362"/>
      <c r="U381" s="2363"/>
      <c r="V381" s="2192"/>
    </row>
    <row r="382" spans="2:23" s="2186" customFormat="1" ht="17.25" thickBot="1" x14ac:dyDescent="0.35">
      <c r="B382" s="1207"/>
      <c r="C382" s="2529"/>
      <c r="D382" s="3115" t="s">
        <v>164</v>
      </c>
      <c r="E382" s="3116"/>
      <c r="F382" s="3116"/>
      <c r="G382" s="3116"/>
      <c r="H382" s="3116"/>
      <c r="I382" s="3116"/>
      <c r="J382" s="2684"/>
      <c r="K382" s="2684"/>
      <c r="L382" s="2684"/>
      <c r="M382" s="2684"/>
      <c r="N382" s="2684"/>
      <c r="O382" s="2684"/>
      <c r="P382" s="2684"/>
      <c r="Q382" s="2693">
        <f>SUM(Q377:Q381)</f>
        <v>36.189</v>
      </c>
      <c r="R382" s="2684"/>
      <c r="S382" s="2685"/>
      <c r="T382" s="2362"/>
      <c r="U382" s="2363"/>
      <c r="V382" s="2192"/>
    </row>
    <row r="383" spans="2:23" x14ac:dyDescent="0.3">
      <c r="B383" s="2527"/>
      <c r="C383" s="2528"/>
      <c r="D383" s="2463"/>
      <c r="E383" s="2467"/>
      <c r="F383" s="2467"/>
      <c r="G383" s="2467"/>
      <c r="H383" s="2467"/>
      <c r="I383" s="2467"/>
      <c r="J383" s="2467"/>
      <c r="K383" s="2406"/>
      <c r="L383" s="2407"/>
      <c r="M383" s="2407"/>
      <c r="N383" s="2407"/>
      <c r="O383" s="2406"/>
      <c r="P383" s="2407"/>
      <c r="Q383" s="2694"/>
      <c r="R383" s="2407"/>
      <c r="S383" s="2464"/>
      <c r="T383" s="2370"/>
      <c r="U383" s="2371"/>
    </row>
    <row r="384" spans="2:23" s="2186" customFormat="1" x14ac:dyDescent="0.3">
      <c r="B384" s="1207">
        <f>'[61]RAB (2)'!B78</f>
        <v>12</v>
      </c>
      <c r="C384" s="2529" t="str">
        <f>'[61]RAB (2)'!C78</f>
        <v>Plat Lantai</v>
      </c>
      <c r="D384" s="2530"/>
      <c r="E384" s="2531"/>
      <c r="F384" s="2531"/>
      <c r="G384" s="2531"/>
      <c r="H384" s="2531"/>
      <c r="I384" s="2531"/>
      <c r="J384" s="2531"/>
      <c r="K384" s="2397"/>
      <c r="L384" s="2398"/>
      <c r="M384" s="2398"/>
      <c r="N384" s="2398"/>
      <c r="O384" s="2397"/>
      <c r="P384" s="2398"/>
      <c r="Q384" s="2397"/>
      <c r="R384" s="2398"/>
      <c r="S384" s="2532"/>
      <c r="T384" s="2362"/>
      <c r="U384" s="2363"/>
      <c r="V384" s="2192"/>
    </row>
    <row r="385" spans="2:23" s="2186" customFormat="1" ht="17.25" thickBot="1" x14ac:dyDescent="0.35">
      <c r="B385" s="1207"/>
      <c r="C385" s="2529" t="str">
        <f>'[61]RAB (2)'!D79</f>
        <v xml:space="preserve">Beton mutu f'c=26,4 Mpa </v>
      </c>
      <c r="D385" s="2530"/>
      <c r="E385" s="2531"/>
      <c r="F385" s="2531"/>
      <c r="G385" s="2531"/>
      <c r="H385" s="2531"/>
      <c r="I385" s="2531"/>
      <c r="J385" s="2531"/>
      <c r="K385" s="2397"/>
      <c r="L385" s="2398"/>
      <c r="M385" s="2398"/>
      <c r="N385" s="2398"/>
      <c r="O385" s="2397"/>
      <c r="P385" s="2398"/>
      <c r="Q385" s="2397"/>
      <c r="R385" s="2398"/>
      <c r="S385" s="2532"/>
      <c r="T385" s="2338"/>
      <c r="U385" s="2363" t="s">
        <v>3</v>
      </c>
      <c r="V385" s="2192"/>
    </row>
    <row r="386" spans="2:23" s="2186" customFormat="1" x14ac:dyDescent="0.3">
      <c r="B386" s="1207"/>
      <c r="C386" s="2529"/>
      <c r="D386" s="2375" t="s">
        <v>95</v>
      </c>
      <c r="E386" s="2376" t="s">
        <v>150</v>
      </c>
      <c r="F386" s="2377"/>
      <c r="G386" s="2376" t="s">
        <v>151</v>
      </c>
      <c r="H386" s="2377"/>
      <c r="I386" s="2376" t="s">
        <v>152</v>
      </c>
      <c r="J386" s="2377"/>
      <c r="K386" s="2376" t="s">
        <v>153</v>
      </c>
      <c r="L386" s="2378"/>
      <c r="M386" s="2378" t="s">
        <v>32</v>
      </c>
      <c r="N386" s="2378"/>
      <c r="O386" s="2379" t="s">
        <v>163</v>
      </c>
      <c r="P386" s="2378"/>
      <c r="Q386" s="2379" t="s">
        <v>151</v>
      </c>
      <c r="R386" s="2378"/>
      <c r="S386" s="2380" t="s">
        <v>143</v>
      </c>
      <c r="T386" s="2362"/>
      <c r="U386" s="2363"/>
      <c r="V386" s="2192"/>
    </row>
    <row r="387" spans="2:23" s="2186" customFormat="1" x14ac:dyDescent="0.3">
      <c r="B387" s="1207"/>
      <c r="C387" s="2529"/>
      <c r="D387" s="2557" t="s">
        <v>239</v>
      </c>
      <c r="E387" s="2550"/>
      <c r="F387" s="2534"/>
      <c r="G387" s="2550"/>
      <c r="H387" s="2534"/>
      <c r="I387" s="2342">
        <v>0.12</v>
      </c>
      <c r="J387" s="2534" t="s">
        <v>185</v>
      </c>
      <c r="K387" s="2342">
        <v>1</v>
      </c>
      <c r="L387" s="2534"/>
      <c r="M387" s="2342"/>
      <c r="N387" s="2534"/>
      <c r="O387" s="2342"/>
      <c r="P387" s="2534"/>
      <c r="Q387" s="2342">
        <f>9.5*16</f>
        <v>152</v>
      </c>
      <c r="R387" s="2534" t="s">
        <v>114</v>
      </c>
      <c r="S387" s="2536">
        <f>K387*I387*Q387</f>
        <v>18.239999999999998</v>
      </c>
      <c r="T387" s="2362"/>
      <c r="U387" s="2363"/>
      <c r="V387" s="2192"/>
    </row>
    <row r="388" spans="2:23" s="2186" customFormat="1" x14ac:dyDescent="0.3">
      <c r="B388" s="1207"/>
      <c r="C388" s="2529"/>
      <c r="D388" s="2230" t="s">
        <v>244</v>
      </c>
      <c r="E388" s="2337"/>
      <c r="F388" s="2337"/>
      <c r="G388" s="2337"/>
      <c r="H388" s="2337"/>
      <c r="I388" s="2337"/>
      <c r="J388" s="2337"/>
      <c r="K388" s="2337"/>
      <c r="L388" s="2337"/>
      <c r="M388" s="2337"/>
      <c r="N388" s="2337"/>
      <c r="O388" s="2337"/>
      <c r="P388" s="2337"/>
      <c r="Q388" s="2337"/>
      <c r="R388" s="2337"/>
      <c r="S388" s="2455"/>
      <c r="T388" s="2362"/>
      <c r="U388" s="2363"/>
      <c r="V388" s="2192"/>
    </row>
    <row r="389" spans="2:23" s="2186" customFormat="1" x14ac:dyDescent="0.3">
      <c r="B389" s="1207"/>
      <c r="C389" s="2529"/>
      <c r="D389" s="2471" t="s">
        <v>1358</v>
      </c>
      <c r="E389" s="2332"/>
      <c r="F389" s="2454"/>
      <c r="G389" s="2332"/>
      <c r="H389" s="2454"/>
      <c r="I389" s="2337">
        <v>0.12</v>
      </c>
      <c r="J389" s="2454" t="s">
        <v>185</v>
      </c>
      <c r="K389" s="2337">
        <v>1</v>
      </c>
      <c r="L389" s="2454"/>
      <c r="M389" s="2337"/>
      <c r="N389" s="2454"/>
      <c r="O389" s="2337">
        <v>8.2200000000000006</v>
      </c>
      <c r="P389" s="2454"/>
      <c r="Q389" s="2337"/>
      <c r="R389" s="2454" t="s">
        <v>114</v>
      </c>
      <c r="S389" s="2455">
        <f>I389*K389*O389</f>
        <v>0.98640000000000005</v>
      </c>
      <c r="T389" s="2362"/>
      <c r="U389" s="2363"/>
      <c r="V389" s="2192"/>
    </row>
    <row r="390" spans="2:23" s="2186" customFormat="1" x14ac:dyDescent="0.3">
      <c r="B390" s="1207"/>
      <c r="C390" s="2529"/>
      <c r="D390" s="2471"/>
      <c r="E390" s="2332"/>
      <c r="F390" s="2454"/>
      <c r="G390" s="2332"/>
      <c r="H390" s="2454"/>
      <c r="I390" s="2337"/>
      <c r="J390" s="2454"/>
      <c r="K390" s="2337"/>
      <c r="L390" s="2454"/>
      <c r="M390" s="2337"/>
      <c r="N390" s="2454"/>
      <c r="O390" s="2337"/>
      <c r="P390" s="2454"/>
      <c r="Q390" s="2337"/>
      <c r="R390" s="2454"/>
      <c r="S390" s="2455"/>
      <c r="T390" s="2362"/>
      <c r="U390" s="2363"/>
      <c r="V390" s="2192"/>
    </row>
    <row r="391" spans="2:23" s="2186" customFormat="1" x14ac:dyDescent="0.3">
      <c r="B391" s="1207"/>
      <c r="C391" s="2529"/>
      <c r="D391" s="2431" t="s">
        <v>735</v>
      </c>
      <c r="E391" s="2332"/>
      <c r="F391" s="2454"/>
      <c r="G391" s="2337"/>
      <c r="H391" s="2454"/>
      <c r="I391" s="2337"/>
      <c r="J391" s="2454"/>
      <c r="K391" s="2337">
        <f>S403</f>
        <v>1796.0800000000002</v>
      </c>
      <c r="L391" s="2337" t="s">
        <v>253</v>
      </c>
      <c r="M391" s="2332"/>
      <c r="N391" s="2337"/>
      <c r="O391" s="2332">
        <f>O399</f>
        <v>7850</v>
      </c>
      <c r="P391" s="2337"/>
      <c r="Q391" s="2337"/>
      <c r="R391" s="2454" t="s">
        <v>114</v>
      </c>
      <c r="S391" s="2455">
        <f>K391/O391</f>
        <v>0.22880000000000003</v>
      </c>
      <c r="T391" s="2362"/>
      <c r="U391" s="2363"/>
      <c r="V391" s="2192"/>
    </row>
    <row r="392" spans="2:23" s="2186" customFormat="1" x14ac:dyDescent="0.3">
      <c r="B392" s="1207"/>
      <c r="C392" s="2529"/>
      <c r="D392" s="2541"/>
      <c r="E392" s="2580"/>
      <c r="F392" s="2580"/>
      <c r="G392" s="2434"/>
      <c r="H392" s="2434"/>
      <c r="I392" s="2434"/>
      <c r="J392" s="2434"/>
      <c r="K392" s="2434"/>
      <c r="L392" s="2434"/>
      <c r="M392" s="2434"/>
      <c r="N392" s="2434"/>
      <c r="O392" s="2434"/>
      <c r="P392" s="2434"/>
      <c r="Q392" s="2434"/>
      <c r="R392" s="2434" t="s">
        <v>149</v>
      </c>
      <c r="S392" s="2542"/>
      <c r="T392" s="2362"/>
      <c r="U392" s="2363"/>
      <c r="V392" s="2192"/>
    </row>
    <row r="393" spans="2:23" s="2186" customFormat="1" ht="17.25" thickBot="1" x14ac:dyDescent="0.35">
      <c r="B393" s="1207"/>
      <c r="C393" s="2529"/>
      <c r="D393" s="3117" t="s">
        <v>164</v>
      </c>
      <c r="E393" s="3118"/>
      <c r="F393" s="3118"/>
      <c r="G393" s="3118"/>
      <c r="H393" s="3118"/>
      <c r="I393" s="3119"/>
      <c r="J393" s="2462"/>
      <c r="K393" s="2392"/>
      <c r="L393" s="2394"/>
      <c r="M393" s="2394"/>
      <c r="N393" s="2394"/>
      <c r="O393" s="2392"/>
      <c r="P393" s="2394"/>
      <c r="Q393" s="2392"/>
      <c r="R393" s="2394"/>
      <c r="S393" s="2336">
        <f>SUM(S387)-SUM(S389:S391)</f>
        <v>17.024799999999999</v>
      </c>
      <c r="T393" s="2362"/>
      <c r="U393" s="2363"/>
      <c r="V393" s="2192"/>
    </row>
    <row r="394" spans="2:23" s="2186" customFormat="1" x14ac:dyDescent="0.3">
      <c r="B394" s="1207"/>
      <c r="C394" s="2529"/>
      <c r="D394" s="2530"/>
      <c r="E394" s="2531"/>
      <c r="F394" s="2531"/>
      <c r="G394" s="2531"/>
      <c r="H394" s="2531"/>
      <c r="I394" s="2531"/>
      <c r="J394" s="2531"/>
      <c r="K394" s="2397"/>
      <c r="L394" s="2398"/>
      <c r="M394" s="2398"/>
      <c r="N394" s="2398"/>
      <c r="O394" s="2397"/>
      <c r="P394" s="2398"/>
      <c r="Q394" s="2397"/>
      <c r="R394" s="2398"/>
      <c r="S394" s="2532"/>
      <c r="T394" s="2362"/>
      <c r="U394" s="2363"/>
      <c r="V394" s="2192"/>
    </row>
    <row r="395" spans="2:23" ht="17.25" thickBot="1" x14ac:dyDescent="0.35">
      <c r="B395" s="2527"/>
      <c r="C395" s="2529" t="str">
        <f>'[61]RAB (2)'!D80</f>
        <v>Pembesian Polos</v>
      </c>
      <c r="D395" s="2530"/>
      <c r="E395" s="2531"/>
      <c r="F395" s="2531"/>
      <c r="G395" s="2531"/>
      <c r="H395" s="2531"/>
      <c r="I395" s="2531"/>
      <c r="J395" s="2531"/>
      <c r="K395" s="2397"/>
      <c r="L395" s="2398"/>
      <c r="M395" s="2398"/>
      <c r="N395" s="2398"/>
      <c r="O395" s="2397"/>
      <c r="P395" s="2398"/>
      <c r="Q395" s="2397"/>
      <c r="R395" s="2398"/>
      <c r="S395" s="2532"/>
      <c r="T395" s="2338"/>
      <c r="U395" s="2363" t="s">
        <v>0</v>
      </c>
      <c r="W395" s="2199">
        <v>3972.96</v>
      </c>
    </row>
    <row r="396" spans="2:23" x14ac:dyDescent="0.3">
      <c r="B396" s="2527"/>
      <c r="C396" s="2529"/>
      <c r="D396" s="2375" t="s">
        <v>95</v>
      </c>
      <c r="E396" s="2376" t="s">
        <v>150</v>
      </c>
      <c r="F396" s="2377"/>
      <c r="G396" s="2376" t="s">
        <v>151</v>
      </c>
      <c r="H396" s="2377"/>
      <c r="I396" s="2376" t="s">
        <v>152</v>
      </c>
      <c r="J396" s="2377"/>
      <c r="K396" s="2376" t="s">
        <v>153</v>
      </c>
      <c r="L396" s="2378"/>
      <c r="M396" s="2378" t="s">
        <v>32</v>
      </c>
      <c r="N396" s="2378"/>
      <c r="O396" s="2379" t="s">
        <v>163</v>
      </c>
      <c r="P396" s="2378"/>
      <c r="Q396" s="2379" t="s">
        <v>151</v>
      </c>
      <c r="R396" s="2378"/>
      <c r="S396" s="2380" t="s">
        <v>143</v>
      </c>
      <c r="T396" s="2362"/>
      <c r="U396" s="2363"/>
    </row>
    <row r="397" spans="2:23" x14ac:dyDescent="0.3">
      <c r="B397" s="2527"/>
      <c r="C397" s="2529"/>
      <c r="D397" s="2695" t="s">
        <v>1359</v>
      </c>
      <c r="E397" s="2342"/>
      <c r="F397" s="2342"/>
      <c r="G397" s="2342"/>
      <c r="H397" s="2342"/>
      <c r="I397" s="2342"/>
      <c r="J397" s="2342"/>
      <c r="K397" s="2342"/>
      <c r="L397" s="2342"/>
      <c r="M397" s="2342"/>
      <c r="N397" s="2342"/>
      <c r="O397" s="2342"/>
      <c r="P397" s="2342"/>
      <c r="Q397" s="2342"/>
      <c r="R397" s="2342"/>
      <c r="S397" s="2536"/>
      <c r="T397" s="2362"/>
      <c r="U397" s="2363"/>
    </row>
    <row r="398" spans="2:23" x14ac:dyDescent="0.3">
      <c r="B398" s="2527"/>
      <c r="C398" s="2529"/>
      <c r="D398" s="2230" t="s">
        <v>286</v>
      </c>
      <c r="E398" s="2337"/>
      <c r="F398" s="2337"/>
      <c r="G398" s="2337"/>
      <c r="H398" s="2337"/>
      <c r="I398" s="2337"/>
      <c r="J398" s="2337"/>
      <c r="K398" s="2337"/>
      <c r="L398" s="2454"/>
      <c r="M398" s="2337"/>
      <c r="N398" s="2454"/>
      <c r="O398" s="2337"/>
      <c r="P398" s="2454"/>
      <c r="Q398" s="2337"/>
      <c r="R398" s="2454"/>
      <c r="S398" s="2455"/>
      <c r="T398" s="2362"/>
      <c r="U398" s="2363"/>
    </row>
    <row r="399" spans="2:23" x14ac:dyDescent="0.3">
      <c r="B399" s="2527"/>
      <c r="C399" s="2529"/>
      <c r="D399" s="2230" t="s">
        <v>292</v>
      </c>
      <c r="E399" s="2337">
        <v>4</v>
      </c>
      <c r="F399" s="2337" t="s">
        <v>185</v>
      </c>
      <c r="G399" s="2337"/>
      <c r="H399" s="2337"/>
      <c r="I399" s="2337"/>
      <c r="J399" s="2337"/>
      <c r="K399" s="2337">
        <f>ROUNDDOWN(W399,-0.1)*2</f>
        <v>52</v>
      </c>
      <c r="L399" s="2454" t="s">
        <v>185</v>
      </c>
      <c r="M399" s="2337">
        <v>7</v>
      </c>
      <c r="N399" s="2454"/>
      <c r="O399" s="2337">
        <v>7850</v>
      </c>
      <c r="P399" s="2454" t="s">
        <v>185</v>
      </c>
      <c r="Q399" s="2553">
        <f>22/7*0.005*0.005</f>
        <v>7.857142857142858E-5</v>
      </c>
      <c r="R399" s="2454" t="s">
        <v>114</v>
      </c>
      <c r="S399" s="2455">
        <f>E399*K399*O399*Q399*M399</f>
        <v>898.04000000000008</v>
      </c>
      <c r="T399" s="2362"/>
      <c r="U399" s="2363"/>
      <c r="W399" s="2226">
        <f>4/0.15</f>
        <v>26.666666666666668</v>
      </c>
    </row>
    <row r="400" spans="2:23" x14ac:dyDescent="0.3">
      <c r="B400" s="2527"/>
      <c r="C400" s="2529"/>
      <c r="D400" s="2230" t="s">
        <v>252</v>
      </c>
      <c r="E400" s="2337"/>
      <c r="F400" s="2337"/>
      <c r="G400" s="2337"/>
      <c r="H400" s="2337"/>
      <c r="I400" s="2337"/>
      <c r="J400" s="2337"/>
      <c r="K400" s="2337"/>
      <c r="L400" s="2454"/>
      <c r="M400" s="2337"/>
      <c r="N400" s="2454"/>
      <c r="O400" s="2337"/>
      <c r="P400" s="2454"/>
      <c r="Q400" s="2553"/>
      <c r="R400" s="2454"/>
      <c r="S400" s="2455"/>
      <c r="T400" s="2362"/>
      <c r="U400" s="2363"/>
    </row>
    <row r="401" spans="2:23" x14ac:dyDescent="0.3">
      <c r="B401" s="2527"/>
      <c r="C401" s="2529"/>
      <c r="D401" s="2230" t="s">
        <v>292</v>
      </c>
      <c r="E401" s="2337">
        <v>4</v>
      </c>
      <c r="F401" s="2337" t="s">
        <v>185</v>
      </c>
      <c r="G401" s="2337"/>
      <c r="H401" s="2337"/>
      <c r="I401" s="2337"/>
      <c r="J401" s="2337"/>
      <c r="K401" s="2337">
        <f>ROUNDDOWN(W401,-0.1)*2</f>
        <v>52</v>
      </c>
      <c r="L401" s="2454" t="s">
        <v>185</v>
      </c>
      <c r="M401" s="2337">
        <f>M399</f>
        <v>7</v>
      </c>
      <c r="N401" s="2454"/>
      <c r="O401" s="2337">
        <v>7850</v>
      </c>
      <c r="P401" s="2454" t="s">
        <v>185</v>
      </c>
      <c r="Q401" s="2553">
        <f>22/7*0.005*0.005</f>
        <v>7.857142857142858E-5</v>
      </c>
      <c r="R401" s="2454" t="s">
        <v>114</v>
      </c>
      <c r="S401" s="2455">
        <f>E401*K401*O401*Q401*M401</f>
        <v>898.04000000000008</v>
      </c>
      <c r="T401" s="2362"/>
      <c r="U401" s="2363"/>
      <c r="W401" s="2226">
        <f>E399/0.15</f>
        <v>26.666666666666668</v>
      </c>
    </row>
    <row r="402" spans="2:23" x14ac:dyDescent="0.3">
      <c r="B402" s="2527"/>
      <c r="C402" s="2529"/>
      <c r="D402" s="2541"/>
      <c r="E402" s="2492"/>
      <c r="F402" s="2696"/>
      <c r="G402" s="2448"/>
      <c r="H402" s="2449"/>
      <c r="I402" s="2448"/>
      <c r="J402" s="2449"/>
      <c r="K402" s="2448"/>
      <c r="L402" s="2696"/>
      <c r="M402" s="2448"/>
      <c r="N402" s="2696"/>
      <c r="O402" s="2448"/>
      <c r="P402" s="2696"/>
      <c r="Q402" s="2448"/>
      <c r="R402" s="2696"/>
      <c r="S402" s="2461"/>
      <c r="T402" s="2362"/>
      <c r="U402" s="2363"/>
    </row>
    <row r="403" spans="2:23" ht="17.25" thickBot="1" x14ac:dyDescent="0.35">
      <c r="B403" s="2527"/>
      <c r="C403" s="2529"/>
      <c r="D403" s="3117" t="s">
        <v>164</v>
      </c>
      <c r="E403" s="3118"/>
      <c r="F403" s="3118"/>
      <c r="G403" s="3118"/>
      <c r="H403" s="3118"/>
      <c r="I403" s="3119"/>
      <c r="J403" s="2462"/>
      <c r="K403" s="2392"/>
      <c r="L403" s="2394"/>
      <c r="M403" s="2394"/>
      <c r="N403" s="2394"/>
      <c r="O403" s="2392"/>
      <c r="P403" s="2394"/>
      <c r="Q403" s="2392"/>
      <c r="R403" s="2394"/>
      <c r="S403" s="2336">
        <f>SUM(S397:S402)</f>
        <v>1796.0800000000002</v>
      </c>
      <c r="T403" s="2362"/>
      <c r="U403" s="2363"/>
    </row>
    <row r="404" spans="2:23" x14ac:dyDescent="0.3">
      <c r="B404" s="2527"/>
      <c r="C404" s="2528"/>
      <c r="D404" s="2463"/>
      <c r="E404" s="2467"/>
      <c r="F404" s="2467"/>
      <c r="G404" s="2467"/>
      <c r="H404" s="2467"/>
      <c r="I404" s="2467"/>
      <c r="J404" s="2467"/>
      <c r="K404" s="2406"/>
      <c r="L404" s="2407"/>
      <c r="M404" s="2407"/>
      <c r="N404" s="2407"/>
      <c r="O404" s="2406"/>
      <c r="P404" s="2407"/>
      <c r="Q404" s="2406"/>
      <c r="R404" s="2407"/>
      <c r="S404" s="2464"/>
      <c r="T404" s="2370"/>
      <c r="U404" s="2371"/>
    </row>
    <row r="405" spans="2:23" ht="17.25" thickBot="1" x14ac:dyDescent="0.35">
      <c r="B405" s="2527"/>
      <c r="C405" s="2529" t="str">
        <f>'[61]RAB (2)'!D81</f>
        <v>Bekisting Plat</v>
      </c>
      <c r="D405" s="2530"/>
      <c r="E405" s="2531"/>
      <c r="F405" s="2531"/>
      <c r="G405" s="2531"/>
      <c r="H405" s="2531"/>
      <c r="I405" s="2531"/>
      <c r="J405" s="2531"/>
      <c r="K405" s="2697"/>
      <c r="L405" s="2697"/>
      <c r="M405" s="2697"/>
      <c r="N405" s="2697"/>
      <c r="O405" s="2697"/>
      <c r="P405" s="2697"/>
      <c r="Q405" s="2697"/>
      <c r="R405" s="2697"/>
      <c r="S405" s="2698"/>
      <c r="T405" s="2338"/>
      <c r="U405" s="2363" t="s">
        <v>2</v>
      </c>
    </row>
    <row r="406" spans="2:23" x14ac:dyDescent="0.3">
      <c r="B406" s="2527"/>
      <c r="C406" s="2529"/>
      <c r="D406" s="2375" t="s">
        <v>95</v>
      </c>
      <c r="E406" s="2376" t="s">
        <v>150</v>
      </c>
      <c r="F406" s="2377"/>
      <c r="G406" s="2376" t="s">
        <v>151</v>
      </c>
      <c r="H406" s="2377"/>
      <c r="I406" s="2376" t="s">
        <v>152</v>
      </c>
      <c r="J406" s="2377"/>
      <c r="K406" s="2376" t="s">
        <v>153</v>
      </c>
      <c r="L406" s="2378"/>
      <c r="M406" s="2378" t="s">
        <v>32</v>
      </c>
      <c r="N406" s="2378"/>
      <c r="O406" s="2379" t="s">
        <v>163</v>
      </c>
      <c r="P406" s="2378"/>
      <c r="Q406" s="2379" t="s">
        <v>151</v>
      </c>
      <c r="R406" s="2378"/>
      <c r="S406" s="2380" t="s">
        <v>143</v>
      </c>
      <c r="T406" s="2362"/>
      <c r="U406" s="2363"/>
    </row>
    <row r="407" spans="2:23" x14ac:dyDescent="0.3">
      <c r="B407" s="2527"/>
      <c r="C407" s="2638"/>
      <c r="D407" s="2557" t="s">
        <v>239</v>
      </c>
      <c r="E407" s="2550"/>
      <c r="F407" s="2534"/>
      <c r="G407" s="2550"/>
      <c r="H407" s="2534"/>
      <c r="I407" s="2342">
        <v>1</v>
      </c>
      <c r="J407" s="2534" t="s">
        <v>185</v>
      </c>
      <c r="K407" s="2342">
        <v>1</v>
      </c>
      <c r="L407" s="2534"/>
      <c r="M407" s="2342"/>
      <c r="N407" s="2534"/>
      <c r="O407" s="2342"/>
      <c r="P407" s="2534"/>
      <c r="Q407" s="2342">
        <f>9.5*16</f>
        <v>152</v>
      </c>
      <c r="R407" s="2534" t="s">
        <v>114</v>
      </c>
      <c r="S407" s="2536">
        <f>K407*I407*Q407</f>
        <v>152</v>
      </c>
      <c r="T407" s="2362"/>
      <c r="U407" s="2363"/>
    </row>
    <row r="408" spans="2:23" x14ac:dyDescent="0.3">
      <c r="B408" s="2527"/>
      <c r="C408" s="2638"/>
      <c r="D408" s="2230" t="s">
        <v>244</v>
      </c>
      <c r="E408" s="2337"/>
      <c r="F408" s="2337"/>
      <c r="G408" s="2337"/>
      <c r="H408" s="2337"/>
      <c r="I408" s="2337"/>
      <c r="J408" s="2337"/>
      <c r="K408" s="2337"/>
      <c r="L408" s="2337"/>
      <c r="M408" s="2337"/>
      <c r="N408" s="2337"/>
      <c r="O408" s="2337"/>
      <c r="P408" s="2337"/>
      <c r="Q408" s="2337"/>
      <c r="R408" s="2337"/>
      <c r="S408" s="2455"/>
      <c r="T408" s="2362"/>
      <c r="U408" s="2363"/>
    </row>
    <row r="409" spans="2:23" x14ac:dyDescent="0.3">
      <c r="B409" s="2527"/>
      <c r="C409" s="2638"/>
      <c r="D409" s="2471" t="s">
        <v>1358</v>
      </c>
      <c r="E409" s="2332"/>
      <c r="F409" s="2454"/>
      <c r="G409" s="2332"/>
      <c r="H409" s="2454"/>
      <c r="I409" s="2337"/>
      <c r="J409" s="2454"/>
      <c r="K409" s="2337"/>
      <c r="L409" s="2454"/>
      <c r="M409" s="2337"/>
      <c r="N409" s="2454"/>
      <c r="O409" s="2337">
        <v>8.2200000000000006</v>
      </c>
      <c r="P409" s="2454"/>
      <c r="Q409" s="2337"/>
      <c r="R409" s="2454" t="s">
        <v>114</v>
      </c>
      <c r="S409" s="2455">
        <f>O409</f>
        <v>8.2200000000000006</v>
      </c>
      <c r="T409" s="2362"/>
      <c r="U409" s="2363"/>
    </row>
    <row r="410" spans="2:23" x14ac:dyDescent="0.3">
      <c r="B410" s="2527"/>
      <c r="C410" s="2638"/>
      <c r="D410" s="2471"/>
      <c r="E410" s="2332"/>
      <c r="F410" s="2454"/>
      <c r="G410" s="2332"/>
      <c r="H410" s="2454"/>
      <c r="I410" s="2337"/>
      <c r="J410" s="2454"/>
      <c r="K410" s="2337"/>
      <c r="L410" s="2454"/>
      <c r="M410" s="2337"/>
      <c r="N410" s="2454"/>
      <c r="O410" s="2337"/>
      <c r="P410" s="2454"/>
      <c r="Q410" s="2337"/>
      <c r="R410" s="2454"/>
      <c r="S410" s="2455"/>
      <c r="T410" s="2362"/>
      <c r="U410" s="2363"/>
    </row>
    <row r="411" spans="2:23" x14ac:dyDescent="0.3">
      <c r="B411" s="2527"/>
      <c r="C411" s="2638"/>
      <c r="D411" s="2541"/>
      <c r="E411" s="2580"/>
      <c r="F411" s="2580"/>
      <c r="G411" s="2434"/>
      <c r="H411" s="2434"/>
      <c r="I411" s="2434"/>
      <c r="J411" s="2434"/>
      <c r="K411" s="2434"/>
      <c r="L411" s="2434"/>
      <c r="M411" s="2434"/>
      <c r="N411" s="2434"/>
      <c r="O411" s="2434"/>
      <c r="P411" s="2434"/>
      <c r="Q411" s="2434"/>
      <c r="R411" s="2434" t="s">
        <v>149</v>
      </c>
      <c r="S411" s="2542"/>
      <c r="T411" s="2362"/>
      <c r="U411" s="2363"/>
    </row>
    <row r="412" spans="2:23" ht="17.25" thickBot="1" x14ac:dyDescent="0.35">
      <c r="B412" s="2527"/>
      <c r="C412" s="2638"/>
      <c r="D412" s="3117" t="s">
        <v>164</v>
      </c>
      <c r="E412" s="3118"/>
      <c r="F412" s="3118"/>
      <c r="G412" s="3118"/>
      <c r="H412" s="3118"/>
      <c r="I412" s="3119"/>
      <c r="J412" s="2462"/>
      <c r="K412" s="2392"/>
      <c r="L412" s="2394"/>
      <c r="M412" s="2394"/>
      <c r="N412" s="2394"/>
      <c r="O412" s="2392"/>
      <c r="P412" s="2394"/>
      <c r="Q412" s="2392"/>
      <c r="R412" s="2394"/>
      <c r="S412" s="2336">
        <f>SUM(S407)-SUM(S409:S410)</f>
        <v>143.78</v>
      </c>
      <c r="T412" s="2362"/>
      <c r="U412" s="2363"/>
    </row>
    <row r="413" spans="2:23" x14ac:dyDescent="0.3">
      <c r="B413" s="2527"/>
      <c r="C413" s="2528"/>
      <c r="D413" s="2463"/>
      <c r="E413" s="2467"/>
      <c r="F413" s="2467"/>
      <c r="G413" s="2467"/>
      <c r="H413" s="2467"/>
      <c r="I413" s="2467"/>
      <c r="J413" s="2467"/>
      <c r="K413" s="2406"/>
      <c r="L413" s="2407"/>
      <c r="M413" s="2407"/>
      <c r="N413" s="2407"/>
      <c r="O413" s="2406"/>
      <c r="P413" s="2407"/>
      <c r="Q413" s="2406"/>
      <c r="R413" s="2407"/>
      <c r="S413" s="2464"/>
      <c r="T413" s="2370"/>
      <c r="U413" s="2371"/>
    </row>
    <row r="414" spans="2:23" s="2186" customFormat="1" x14ac:dyDescent="0.3">
      <c r="B414" s="2699" t="str">
        <f>'[61]RAB (2)'!B84</f>
        <v>III</v>
      </c>
      <c r="C414" s="2699" t="str">
        <f>'[61]RAB (2)'!C84</f>
        <v>PEKERJAAN DINDING &amp; PLESTERAN</v>
      </c>
      <c r="D414" s="2362"/>
      <c r="E414" s="2359"/>
      <c r="F414" s="2360"/>
      <c r="G414" s="2359"/>
      <c r="H414" s="2360"/>
      <c r="I414" s="2359"/>
      <c r="J414" s="2360"/>
      <c r="K414" s="2359"/>
      <c r="L414" s="2360"/>
      <c r="M414" s="2360"/>
      <c r="N414" s="2360"/>
      <c r="O414" s="2359"/>
      <c r="P414" s="2360"/>
      <c r="Q414" s="2359"/>
      <c r="R414" s="2360"/>
      <c r="S414" s="2361"/>
      <c r="T414" s="2362"/>
      <c r="U414" s="2363"/>
      <c r="V414" s="2192"/>
    </row>
    <row r="415" spans="2:23" s="2186" customFormat="1" ht="17.25" thickBot="1" x14ac:dyDescent="0.35">
      <c r="B415" s="2634">
        <f>'[61]RAB (2)'!B85</f>
        <v>1</v>
      </c>
      <c r="C415" s="2635" t="str">
        <f>'[61]RAB (2)'!C85</f>
        <v xml:space="preserve">Pasangan 1/2 bata camp. 1 : 4 </v>
      </c>
      <c r="D415" s="2358"/>
      <c r="E415" s="2359"/>
      <c r="F415" s="2360"/>
      <c r="G415" s="2359"/>
      <c r="H415" s="2360"/>
      <c r="I415" s="2359"/>
      <c r="J415" s="2360"/>
      <c r="K415" s="2359"/>
      <c r="L415" s="2360"/>
      <c r="M415" s="2360"/>
      <c r="N415" s="2360"/>
      <c r="O415" s="2359"/>
      <c r="P415" s="2360"/>
      <c r="Q415" s="2359"/>
      <c r="R415" s="2360"/>
      <c r="S415" s="2361"/>
      <c r="T415" s="2338"/>
      <c r="U415" s="2363" t="s">
        <v>2</v>
      </c>
      <c r="V415" s="2192"/>
    </row>
    <row r="416" spans="2:23" s="2186" customFormat="1" x14ac:dyDescent="0.3">
      <c r="B416" s="2634"/>
      <c r="C416" s="2638"/>
      <c r="D416" s="2375" t="s">
        <v>95</v>
      </c>
      <c r="E416" s="2376" t="s">
        <v>150</v>
      </c>
      <c r="F416" s="2377"/>
      <c r="G416" s="2376" t="s">
        <v>151</v>
      </c>
      <c r="H416" s="2377"/>
      <c r="I416" s="2421" t="s">
        <v>152</v>
      </c>
      <c r="J416" s="2377"/>
      <c r="K416" s="2376" t="s">
        <v>153</v>
      </c>
      <c r="L416" s="2378"/>
      <c r="M416" s="2378" t="s">
        <v>32</v>
      </c>
      <c r="N416" s="2378"/>
      <c r="O416" s="2379" t="s">
        <v>163</v>
      </c>
      <c r="P416" s="2378"/>
      <c r="Q416" s="2379" t="s">
        <v>151</v>
      </c>
      <c r="R416" s="2378"/>
      <c r="S416" s="2380" t="s">
        <v>143</v>
      </c>
      <c r="T416" s="2362"/>
      <c r="U416" s="2363"/>
      <c r="V416" s="2192"/>
    </row>
    <row r="417" spans="2:23" s="2186" customFormat="1" x14ac:dyDescent="0.3">
      <c r="B417" s="2634"/>
      <c r="C417" s="2638"/>
      <c r="D417" s="2700" t="s">
        <v>193</v>
      </c>
      <c r="E417" s="2342"/>
      <c r="F417" s="2342"/>
      <c r="G417" s="2342"/>
      <c r="H417" s="2342"/>
      <c r="I417" s="2342"/>
      <c r="J417" s="2342"/>
      <c r="K417" s="2342"/>
      <c r="L417" s="2342"/>
      <c r="M417" s="2342"/>
      <c r="N417" s="2342"/>
      <c r="O417" s="2342"/>
      <c r="P417" s="2342"/>
      <c r="Q417" s="2342"/>
      <c r="R417" s="2342"/>
      <c r="S417" s="2536"/>
      <c r="T417" s="2362"/>
      <c r="U417" s="2363"/>
      <c r="V417" s="2192"/>
    </row>
    <row r="418" spans="2:23" s="2186" customFormat="1" x14ac:dyDescent="0.3">
      <c r="B418" s="2634"/>
      <c r="C418" s="2638"/>
      <c r="D418" s="2232" t="s">
        <v>194</v>
      </c>
      <c r="E418" s="2337">
        <v>16</v>
      </c>
      <c r="F418" s="2454" t="s">
        <v>185</v>
      </c>
      <c r="G418" s="2337"/>
      <c r="H418" s="2454"/>
      <c r="I418" s="2337">
        <v>3.6</v>
      </c>
      <c r="J418" s="2454" t="s">
        <v>185</v>
      </c>
      <c r="K418" s="2337">
        <v>2</v>
      </c>
      <c r="L418" s="2454"/>
      <c r="M418" s="2337"/>
      <c r="N418" s="2337"/>
      <c r="O418" s="2337"/>
      <c r="P418" s="2454" t="s">
        <v>114</v>
      </c>
      <c r="Q418" s="2337">
        <f>K418*I418*E418</f>
        <v>115.2</v>
      </c>
      <c r="R418" s="2454"/>
      <c r="S418" s="2455"/>
      <c r="T418" s="2362"/>
      <c r="U418" s="2363"/>
      <c r="V418" s="2192"/>
    </row>
    <row r="419" spans="2:23" s="2186" customFormat="1" x14ac:dyDescent="0.3">
      <c r="B419" s="2634"/>
      <c r="C419" s="2638"/>
      <c r="D419" s="2232" t="s">
        <v>165</v>
      </c>
      <c r="E419" s="2337">
        <v>8</v>
      </c>
      <c r="F419" s="2454" t="s">
        <v>185</v>
      </c>
      <c r="G419" s="2337"/>
      <c r="H419" s="2454"/>
      <c r="I419" s="2337">
        <v>3.6</v>
      </c>
      <c r="J419" s="2454" t="s">
        <v>185</v>
      </c>
      <c r="K419" s="2337">
        <v>2</v>
      </c>
      <c r="L419" s="2454"/>
      <c r="M419" s="2337"/>
      <c r="N419" s="2337"/>
      <c r="O419" s="2337"/>
      <c r="P419" s="2454" t="s">
        <v>114</v>
      </c>
      <c r="Q419" s="2337">
        <f>K419*I419*E419</f>
        <v>57.6</v>
      </c>
      <c r="R419" s="2454"/>
      <c r="S419" s="2455"/>
      <c r="T419" s="2680"/>
      <c r="U419" s="2363"/>
      <c r="V419" s="2192"/>
    </row>
    <row r="420" spans="2:23" s="2186" customFormat="1" x14ac:dyDescent="0.3">
      <c r="B420" s="2634"/>
      <c r="C420" s="2638"/>
      <c r="D420" s="2232" t="s">
        <v>1360</v>
      </c>
      <c r="E420" s="2337">
        <f>15.6+4</f>
        <v>19.600000000000001</v>
      </c>
      <c r="F420" s="2454" t="s">
        <v>185</v>
      </c>
      <c r="G420" s="2337"/>
      <c r="H420" s="2454"/>
      <c r="I420" s="2337">
        <v>0.5</v>
      </c>
      <c r="J420" s="2454" t="s">
        <v>185</v>
      </c>
      <c r="K420" s="2337">
        <v>1</v>
      </c>
      <c r="L420" s="2454"/>
      <c r="M420" s="2337"/>
      <c r="N420" s="2337"/>
      <c r="O420" s="2337"/>
      <c r="P420" s="2454" t="s">
        <v>114</v>
      </c>
      <c r="Q420" s="2337">
        <f>K420*I420*E420</f>
        <v>9.8000000000000007</v>
      </c>
      <c r="R420" s="2454"/>
      <c r="S420" s="2455"/>
      <c r="T420" s="2680"/>
      <c r="U420" s="2363"/>
      <c r="V420" s="2192"/>
    </row>
    <row r="421" spans="2:23" s="2186" customFormat="1" x14ac:dyDescent="0.3">
      <c r="B421" s="2634"/>
      <c r="C421" s="2638"/>
      <c r="D421" s="2232" t="s">
        <v>1361</v>
      </c>
      <c r="E421" s="2337">
        <v>4</v>
      </c>
      <c r="F421" s="2454" t="s">
        <v>185</v>
      </c>
      <c r="G421" s="2337"/>
      <c r="H421" s="2454"/>
      <c r="I421" s="2337">
        <v>3.6</v>
      </c>
      <c r="J421" s="2454" t="s">
        <v>185</v>
      </c>
      <c r="K421" s="2337">
        <v>1</v>
      </c>
      <c r="L421" s="2454"/>
      <c r="M421" s="2337"/>
      <c r="N421" s="2337"/>
      <c r="O421" s="2337"/>
      <c r="P421" s="2454" t="s">
        <v>114</v>
      </c>
      <c r="Q421" s="2337">
        <f>K421*I421*E421</f>
        <v>14.4</v>
      </c>
      <c r="R421" s="2454"/>
      <c r="S421" s="2455"/>
      <c r="T421" s="2680"/>
      <c r="U421" s="2363"/>
      <c r="V421" s="2192"/>
    </row>
    <row r="422" spans="2:23" s="2186" customFormat="1" x14ac:dyDescent="0.3">
      <c r="B422" s="2634"/>
      <c r="C422" s="2638"/>
      <c r="D422" s="2701" t="s">
        <v>154</v>
      </c>
      <c r="E422" s="2332"/>
      <c r="F422" s="2337"/>
      <c r="G422" s="2332"/>
      <c r="H422" s="2337"/>
      <c r="I422" s="2332"/>
      <c r="J422" s="2337"/>
      <c r="K422" s="2332"/>
      <c r="L422" s="2337"/>
      <c r="M422" s="2332"/>
      <c r="N422" s="2337"/>
      <c r="O422" s="2332"/>
      <c r="P422" s="2337"/>
      <c r="Q422" s="2332"/>
      <c r="R422" s="2337"/>
      <c r="S422" s="2455"/>
      <c r="T422" s="2362"/>
      <c r="U422" s="2363"/>
      <c r="V422" s="2192"/>
    </row>
    <row r="423" spans="2:23" s="2186" customFormat="1" x14ac:dyDescent="0.3">
      <c r="B423" s="2634"/>
      <c r="C423" s="2638"/>
      <c r="D423" s="2232" t="s">
        <v>585</v>
      </c>
      <c r="E423" s="2337">
        <v>3</v>
      </c>
      <c r="F423" s="2454" t="s">
        <v>185</v>
      </c>
      <c r="G423" s="2337"/>
      <c r="H423" s="2454"/>
      <c r="I423" s="2337">
        <v>1.5</v>
      </c>
      <c r="J423" s="2454" t="s">
        <v>185</v>
      </c>
      <c r="K423" s="2337">
        <v>2</v>
      </c>
      <c r="L423" s="2337"/>
      <c r="M423" s="2337"/>
      <c r="N423" s="2337"/>
      <c r="O423" s="2337"/>
      <c r="P423" s="2454" t="s">
        <v>114</v>
      </c>
      <c r="Q423" s="2337">
        <f t="shared" ref="Q423:Q428" si="5">K423*I423*E423</f>
        <v>9</v>
      </c>
      <c r="R423" s="2337"/>
      <c r="S423" s="2455"/>
      <c r="T423" s="2362"/>
      <c r="U423" s="2363"/>
      <c r="V423" s="2192"/>
    </row>
    <row r="424" spans="2:23" s="2186" customFormat="1" x14ac:dyDescent="0.3">
      <c r="B424" s="2634"/>
      <c r="C424" s="2638"/>
      <c r="D424" s="2232" t="s">
        <v>1333</v>
      </c>
      <c r="E424" s="2337">
        <v>2</v>
      </c>
      <c r="F424" s="2454" t="s">
        <v>185</v>
      </c>
      <c r="G424" s="2337"/>
      <c r="H424" s="2454"/>
      <c r="I424" s="2337">
        <v>0.7</v>
      </c>
      <c r="J424" s="2454" t="s">
        <v>185</v>
      </c>
      <c r="K424" s="2337">
        <v>2</v>
      </c>
      <c r="L424" s="2337"/>
      <c r="M424" s="2337"/>
      <c r="N424" s="2337"/>
      <c r="O424" s="2337"/>
      <c r="P424" s="2454" t="s">
        <v>114</v>
      </c>
      <c r="Q424" s="2337">
        <f t="shared" si="5"/>
        <v>2.8</v>
      </c>
      <c r="R424" s="2337"/>
      <c r="S424" s="2455"/>
      <c r="T424" s="2362"/>
      <c r="U424" s="2363"/>
      <c r="V424" s="2192"/>
    </row>
    <row r="425" spans="2:23" s="2186" customFormat="1" x14ac:dyDescent="0.3">
      <c r="B425" s="2634"/>
      <c r="C425" s="2638"/>
      <c r="D425" s="2232" t="s">
        <v>595</v>
      </c>
      <c r="E425" s="2337">
        <v>2</v>
      </c>
      <c r="F425" s="2454" t="s">
        <v>185</v>
      </c>
      <c r="G425" s="2337"/>
      <c r="H425" s="2454"/>
      <c r="I425" s="2337">
        <v>2.6</v>
      </c>
      <c r="J425" s="2454" t="s">
        <v>185</v>
      </c>
      <c r="K425" s="2337">
        <v>8</v>
      </c>
      <c r="L425" s="2337"/>
      <c r="M425" s="2337"/>
      <c r="N425" s="2337"/>
      <c r="O425" s="2337"/>
      <c r="P425" s="2454" t="s">
        <v>114</v>
      </c>
      <c r="Q425" s="2337">
        <f t="shared" si="5"/>
        <v>41.6</v>
      </c>
      <c r="R425" s="2337"/>
      <c r="S425" s="2455"/>
      <c r="T425" s="2362"/>
      <c r="U425" s="2363"/>
      <c r="V425" s="2192"/>
    </row>
    <row r="426" spans="2:23" s="2186" customFormat="1" x14ac:dyDescent="0.3">
      <c r="B426" s="2634"/>
      <c r="C426" s="2638"/>
      <c r="D426" s="2232" t="s">
        <v>713</v>
      </c>
      <c r="E426" s="2337">
        <v>0.7</v>
      </c>
      <c r="F426" s="2454" t="s">
        <v>185</v>
      </c>
      <c r="G426" s="2337"/>
      <c r="H426" s="2454"/>
      <c r="I426" s="2337">
        <v>1</v>
      </c>
      <c r="J426" s="2454" t="s">
        <v>185</v>
      </c>
      <c r="K426" s="2337">
        <v>2</v>
      </c>
      <c r="L426" s="2337"/>
      <c r="M426" s="2337"/>
      <c r="N426" s="2337"/>
      <c r="O426" s="2337"/>
      <c r="P426" s="2454" t="s">
        <v>114</v>
      </c>
      <c r="Q426" s="2337">
        <f t="shared" si="5"/>
        <v>1.4</v>
      </c>
      <c r="R426" s="2337"/>
      <c r="S426" s="2455"/>
      <c r="T426" s="2362"/>
      <c r="U426" s="2363"/>
      <c r="V426" s="2192"/>
      <c r="W426" s="2186">
        <f>I426*E426</f>
        <v>0.7</v>
      </c>
    </row>
    <row r="427" spans="2:23" s="2186" customFormat="1" x14ac:dyDescent="0.3">
      <c r="B427" s="2634"/>
      <c r="C427" s="2638"/>
      <c r="D427" s="2702" t="s">
        <v>1362</v>
      </c>
      <c r="E427" s="2337">
        <v>0.4</v>
      </c>
      <c r="F427" s="2454" t="s">
        <v>185</v>
      </c>
      <c r="G427" s="2337"/>
      <c r="H427" s="2454"/>
      <c r="I427" s="2337">
        <v>3.6</v>
      </c>
      <c r="J427" s="2454" t="s">
        <v>185</v>
      </c>
      <c r="K427" s="2337">
        <v>8</v>
      </c>
      <c r="L427" s="2337"/>
      <c r="M427" s="2337"/>
      <c r="N427" s="2337"/>
      <c r="O427" s="2337"/>
      <c r="P427" s="2454" t="s">
        <v>114</v>
      </c>
      <c r="Q427" s="2337">
        <f t="shared" si="5"/>
        <v>11.520000000000001</v>
      </c>
      <c r="R427" s="2644"/>
      <c r="S427" s="2689"/>
      <c r="T427" s="2362"/>
      <c r="U427" s="2363"/>
      <c r="V427" s="2192"/>
    </row>
    <row r="428" spans="2:23" s="2186" customFormat="1" x14ac:dyDescent="0.3">
      <c r="B428" s="2634"/>
      <c r="C428" s="2638"/>
      <c r="D428" s="2702" t="s">
        <v>1363</v>
      </c>
      <c r="E428" s="2337">
        <v>0.4</v>
      </c>
      <c r="F428" s="2454" t="s">
        <v>185</v>
      </c>
      <c r="G428" s="2337"/>
      <c r="H428" s="2454"/>
      <c r="I428" s="2337">
        <v>3.6</v>
      </c>
      <c r="J428" s="2454" t="s">
        <v>185</v>
      </c>
      <c r="K428" s="2337">
        <v>5</v>
      </c>
      <c r="L428" s="2337"/>
      <c r="M428" s="2337"/>
      <c r="N428" s="2337"/>
      <c r="O428" s="2337"/>
      <c r="P428" s="2454" t="s">
        <v>114</v>
      </c>
      <c r="Q428" s="2337">
        <f t="shared" si="5"/>
        <v>7.2</v>
      </c>
      <c r="R428" s="2644"/>
      <c r="S428" s="2689"/>
      <c r="T428" s="2362"/>
      <c r="U428" s="2363"/>
      <c r="V428" s="2192"/>
    </row>
    <row r="429" spans="2:23" s="2186" customFormat="1" x14ac:dyDescent="0.3">
      <c r="B429" s="2634"/>
      <c r="C429" s="2638"/>
      <c r="D429" s="2688"/>
      <c r="E429" s="2644"/>
      <c r="F429" s="2644"/>
      <c r="G429" s="2644"/>
      <c r="H429" s="2644"/>
      <c r="I429" s="2644"/>
      <c r="J429" s="2644"/>
      <c r="K429" s="2644"/>
      <c r="L429" s="2644"/>
      <c r="M429" s="2644"/>
      <c r="N429" s="2644"/>
      <c r="O429" s="2644"/>
      <c r="P429" s="2644"/>
      <c r="Q429" s="2644"/>
      <c r="R429" s="2644"/>
      <c r="S429" s="2689"/>
      <c r="T429" s="2362"/>
      <c r="U429" s="2363"/>
      <c r="V429" s="2192"/>
    </row>
    <row r="430" spans="2:23" s="2186" customFormat="1" ht="17.25" thickBot="1" x14ac:dyDescent="0.35">
      <c r="B430" s="2634"/>
      <c r="C430" s="2638"/>
      <c r="D430" s="3122" t="s">
        <v>164</v>
      </c>
      <c r="E430" s="3123"/>
      <c r="F430" s="3123"/>
      <c r="G430" s="3123"/>
      <c r="H430" s="3123"/>
      <c r="I430" s="3123"/>
      <c r="J430" s="2703"/>
      <c r="K430" s="2703"/>
      <c r="L430" s="2703"/>
      <c r="M430" s="2703"/>
      <c r="N430" s="2703"/>
      <c r="O430" s="2703"/>
      <c r="P430" s="2703"/>
      <c r="Q430" s="2704">
        <f>SUM(Q417:Q421)-SUM(Q423:Q429)</f>
        <v>123.48000000000002</v>
      </c>
      <c r="R430" s="2703"/>
      <c r="S430" s="2705"/>
      <c r="T430" s="2362"/>
      <c r="U430" s="2363"/>
      <c r="V430" s="2192"/>
    </row>
    <row r="431" spans="2:23" s="2186" customFormat="1" x14ac:dyDescent="0.3">
      <c r="B431" s="2634"/>
      <c r="C431" s="2638"/>
      <c r="D431" s="2706"/>
      <c r="E431" s="2706"/>
      <c r="F431" s="2706"/>
      <c r="G431" s="2706"/>
      <c r="H431" s="2706"/>
      <c r="I431" s="2706"/>
      <c r="J431" s="2707"/>
      <c r="K431" s="2707"/>
      <c r="L431" s="2707"/>
      <c r="M431" s="2707"/>
      <c r="N431" s="2707"/>
      <c r="O431" s="2707"/>
      <c r="P431" s="2707"/>
      <c r="Q431" s="2707"/>
      <c r="R431" s="2707"/>
      <c r="S431" s="2708"/>
      <c r="T431" s="2362"/>
      <c r="U431" s="2363"/>
      <c r="V431" s="2192"/>
    </row>
    <row r="432" spans="2:23" s="2186" customFormat="1" ht="13.5" customHeight="1" thickBot="1" x14ac:dyDescent="0.35">
      <c r="B432" s="2634">
        <f>'[61]RAB (2)'!B86</f>
        <v>2</v>
      </c>
      <c r="C432" s="2635" t="str">
        <f>'[61]RAB (2)'!C86</f>
        <v>Plesteran 1 PC : 4 PP, tebal 15 mm</v>
      </c>
      <c r="D432" s="2358"/>
      <c r="E432" s="2359"/>
      <c r="F432" s="2360"/>
      <c r="G432" s="2359"/>
      <c r="H432" s="2360"/>
      <c r="I432" s="2359"/>
      <c r="J432" s="2360"/>
      <c r="K432" s="2359"/>
      <c r="L432" s="2360"/>
      <c r="M432" s="2360"/>
      <c r="N432" s="2360"/>
      <c r="O432" s="2359"/>
      <c r="P432" s="2360"/>
      <c r="Q432" s="2359"/>
      <c r="R432" s="2360"/>
      <c r="S432" s="2361"/>
      <c r="T432" s="2338"/>
      <c r="U432" s="2363" t="s">
        <v>2</v>
      </c>
      <c r="V432" s="2192"/>
    </row>
    <row r="433" spans="2:22" s="2186" customFormat="1" x14ac:dyDescent="0.3">
      <c r="B433" s="2634"/>
      <c r="C433" s="2638"/>
      <c r="D433" s="2375" t="s">
        <v>95</v>
      </c>
      <c r="E433" s="2376" t="s">
        <v>150</v>
      </c>
      <c r="F433" s="2377"/>
      <c r="G433" s="2376" t="s">
        <v>151</v>
      </c>
      <c r="H433" s="2377"/>
      <c r="I433" s="2376" t="s">
        <v>152</v>
      </c>
      <c r="J433" s="2377"/>
      <c r="K433" s="2376" t="s">
        <v>153</v>
      </c>
      <c r="L433" s="2377"/>
      <c r="M433" s="2377" t="s">
        <v>32</v>
      </c>
      <c r="N433" s="2377"/>
      <c r="O433" s="2376" t="s">
        <v>163</v>
      </c>
      <c r="P433" s="2377"/>
      <c r="Q433" s="2376" t="s">
        <v>151</v>
      </c>
      <c r="R433" s="2377"/>
      <c r="S433" s="2380" t="s">
        <v>143</v>
      </c>
      <c r="T433" s="2362"/>
      <c r="U433" s="2363"/>
      <c r="V433" s="2192"/>
    </row>
    <row r="434" spans="2:22" s="2186" customFormat="1" x14ac:dyDescent="0.3">
      <c r="B434" s="2634"/>
      <c r="C434" s="2638"/>
      <c r="D434" s="2557" t="s">
        <v>240</v>
      </c>
      <c r="E434" s="2383"/>
      <c r="F434" s="2452"/>
      <c r="G434" s="2383"/>
      <c r="H434" s="2452"/>
      <c r="I434" s="2383"/>
      <c r="J434" s="2452"/>
      <c r="K434" s="2383">
        <f>Q430</f>
        <v>123.48000000000002</v>
      </c>
      <c r="L434" s="2385"/>
      <c r="M434" s="2385"/>
      <c r="N434" s="2452" t="s">
        <v>185</v>
      </c>
      <c r="O434" s="2383">
        <v>2</v>
      </c>
      <c r="P434" s="2452" t="s">
        <v>114</v>
      </c>
      <c r="Q434" s="2383">
        <f>O434*K434</f>
        <v>246.96000000000004</v>
      </c>
      <c r="R434" s="2452"/>
      <c r="S434" s="2453"/>
      <c r="T434" s="2362"/>
      <c r="U434" s="2363"/>
      <c r="V434" s="2192"/>
    </row>
    <row r="435" spans="2:22" s="2186" customFormat="1" x14ac:dyDescent="0.3">
      <c r="B435" s="2634"/>
      <c r="C435" s="2638"/>
      <c r="D435" s="2688"/>
      <c r="E435" s="2709"/>
      <c r="F435" s="2710"/>
      <c r="G435" s="2709"/>
      <c r="H435" s="2710"/>
      <c r="I435" s="2709"/>
      <c r="J435" s="2710"/>
      <c r="K435" s="2709"/>
      <c r="L435" s="2710"/>
      <c r="M435" s="2710"/>
      <c r="N435" s="2710"/>
      <c r="O435" s="2709"/>
      <c r="P435" s="2710"/>
      <c r="Q435" s="2709"/>
      <c r="R435" s="2710"/>
      <c r="S435" s="2711"/>
      <c r="T435" s="2362"/>
      <c r="U435" s="2363"/>
      <c r="V435" s="2192"/>
    </row>
    <row r="436" spans="2:22" s="2186" customFormat="1" ht="17.25" thickBot="1" x14ac:dyDescent="0.35">
      <c r="B436" s="2634"/>
      <c r="C436" s="2638"/>
      <c r="D436" s="3122" t="s">
        <v>164</v>
      </c>
      <c r="E436" s="3123"/>
      <c r="F436" s="3123"/>
      <c r="G436" s="3123"/>
      <c r="H436" s="3123"/>
      <c r="I436" s="3123"/>
      <c r="J436" s="2703"/>
      <c r="K436" s="2703"/>
      <c r="L436" s="2703"/>
      <c r="M436" s="2703"/>
      <c r="N436" s="2703"/>
      <c r="O436" s="2703"/>
      <c r="P436" s="2703"/>
      <c r="Q436" s="2703">
        <f>Q434</f>
        <v>246.96000000000004</v>
      </c>
      <c r="R436" s="2703"/>
      <c r="S436" s="2705"/>
      <c r="T436" s="2362"/>
      <c r="U436" s="2363"/>
      <c r="V436" s="2192"/>
    </row>
    <row r="437" spans="2:22" s="2186" customFormat="1" x14ac:dyDescent="0.3">
      <c r="B437" s="2634"/>
      <c r="C437" s="2638"/>
      <c r="D437" s="2706"/>
      <c r="E437" s="2706"/>
      <c r="F437" s="2706"/>
      <c r="G437" s="2706"/>
      <c r="H437" s="2706"/>
      <c r="I437" s="2706"/>
      <c r="J437" s="2707"/>
      <c r="K437" s="2707"/>
      <c r="L437" s="2707"/>
      <c r="M437" s="2707"/>
      <c r="N437" s="2707"/>
      <c r="O437" s="2707"/>
      <c r="P437" s="2707"/>
      <c r="Q437" s="2707"/>
      <c r="R437" s="2707"/>
      <c r="S437" s="2708"/>
      <c r="T437" s="2362"/>
      <c r="U437" s="2363"/>
      <c r="V437" s="2192"/>
    </row>
    <row r="438" spans="2:22" s="2186" customFormat="1" ht="17.25" thickBot="1" x14ac:dyDescent="0.35">
      <c r="B438" s="2634">
        <f>'[61]RAB (2)'!B87</f>
        <v>3</v>
      </c>
      <c r="C438" s="2634" t="str">
        <f>'[61]RAB (2)'!C87</f>
        <v>Acian</v>
      </c>
      <c r="D438" s="2706"/>
      <c r="E438" s="2706"/>
      <c r="F438" s="2706"/>
      <c r="G438" s="2706"/>
      <c r="H438" s="2706"/>
      <c r="I438" s="2706"/>
      <c r="J438" s="2707"/>
      <c r="K438" s="2707"/>
      <c r="L438" s="2707"/>
      <c r="M438" s="2707"/>
      <c r="N438" s="2707"/>
      <c r="O438" s="2707"/>
      <c r="P438" s="2707"/>
      <c r="Q438" s="2707"/>
      <c r="R438" s="2707"/>
      <c r="S438" s="2708"/>
      <c r="T438" s="2338"/>
      <c r="U438" s="2363" t="s">
        <v>2</v>
      </c>
      <c r="V438" s="2192"/>
    </row>
    <row r="439" spans="2:22" s="2186" customFormat="1" x14ac:dyDescent="0.3">
      <c r="B439" s="2634"/>
      <c r="C439" s="2638"/>
      <c r="D439" s="2375" t="s">
        <v>95</v>
      </c>
      <c r="E439" s="2376" t="s">
        <v>150</v>
      </c>
      <c r="F439" s="2377"/>
      <c r="G439" s="2376" t="s">
        <v>151</v>
      </c>
      <c r="H439" s="2377"/>
      <c r="I439" s="2376" t="s">
        <v>152</v>
      </c>
      <c r="J439" s="2377"/>
      <c r="K439" s="2376" t="s">
        <v>153</v>
      </c>
      <c r="L439" s="2377"/>
      <c r="M439" s="2377" t="s">
        <v>32</v>
      </c>
      <c r="N439" s="2377"/>
      <c r="O439" s="2376" t="s">
        <v>163</v>
      </c>
      <c r="P439" s="2377"/>
      <c r="Q439" s="2376" t="s">
        <v>151</v>
      </c>
      <c r="R439" s="2377"/>
      <c r="S439" s="2380" t="s">
        <v>143</v>
      </c>
      <c r="T439" s="2362"/>
      <c r="U439" s="2363"/>
      <c r="V439" s="2192"/>
    </row>
    <row r="440" spans="2:22" s="2186" customFormat="1" x14ac:dyDescent="0.3">
      <c r="B440" s="2634"/>
      <c r="C440" s="2638"/>
      <c r="D440" s="2712" t="s">
        <v>719</v>
      </c>
      <c r="E440" s="2713"/>
      <c r="F440" s="2713"/>
      <c r="G440" s="2713"/>
      <c r="H440" s="2713"/>
      <c r="I440" s="2713"/>
      <c r="J440" s="2713"/>
      <c r="K440" s="2713"/>
      <c r="L440" s="2713"/>
      <c r="M440" s="2713"/>
      <c r="N440" s="2713"/>
      <c r="O440" s="2713"/>
      <c r="P440" s="2713"/>
      <c r="Q440" s="2713"/>
      <c r="R440" s="2713"/>
      <c r="S440" s="2714"/>
      <c r="T440" s="2362"/>
      <c r="U440" s="2363"/>
      <c r="V440" s="2192"/>
    </row>
    <row r="441" spans="2:22" s="2186" customFormat="1" x14ac:dyDescent="0.3">
      <c r="B441" s="2634"/>
      <c r="C441" s="2638"/>
      <c r="D441" s="2444" t="s">
        <v>730</v>
      </c>
      <c r="E441" s="2337"/>
      <c r="F441" s="2454"/>
      <c r="G441" s="2337"/>
      <c r="H441" s="2454"/>
      <c r="I441" s="2337"/>
      <c r="J441" s="2454"/>
      <c r="K441" s="2337"/>
      <c r="L441" s="2337"/>
      <c r="M441" s="2337"/>
      <c r="N441" s="2454"/>
      <c r="O441" s="2337"/>
      <c r="P441" s="2454"/>
      <c r="Q441" s="2337">
        <f>Q212*0.8</f>
        <v>75.724800000000002</v>
      </c>
      <c r="R441" s="2454"/>
      <c r="S441" s="2455"/>
      <c r="T441" s="2362"/>
      <c r="U441" s="2363"/>
      <c r="V441" s="2192"/>
    </row>
    <row r="442" spans="2:22" s="2186" customFormat="1" x14ac:dyDescent="0.3">
      <c r="B442" s="1207"/>
      <c r="C442" s="2529"/>
      <c r="D442" s="2715" t="s">
        <v>742</v>
      </c>
      <c r="E442" s="2612"/>
      <c r="F442" s="2716"/>
      <c r="G442" s="2612"/>
      <c r="H442" s="2716"/>
      <c r="I442" s="2644"/>
      <c r="J442" s="2716"/>
      <c r="K442" s="2644"/>
      <c r="L442" s="2716"/>
      <c r="M442" s="2644"/>
      <c r="N442" s="2716"/>
      <c r="O442" s="2644"/>
      <c r="P442" s="2716"/>
      <c r="Q442" s="2644"/>
      <c r="R442" s="2716"/>
      <c r="S442" s="2689"/>
      <c r="T442" s="2362"/>
      <c r="U442" s="2363"/>
      <c r="V442" s="2192"/>
    </row>
    <row r="443" spans="2:22" s="2186" customFormat="1" x14ac:dyDescent="0.3">
      <c r="B443" s="1207"/>
      <c r="C443" s="2529"/>
      <c r="D443" s="2717" t="s">
        <v>1331</v>
      </c>
      <c r="E443" s="2612"/>
      <c r="F443" s="2716"/>
      <c r="G443" s="2612"/>
      <c r="H443" s="2716"/>
      <c r="I443" s="2644"/>
      <c r="J443" s="2716"/>
      <c r="K443" s="2644">
        <f>Q377+Q378</f>
        <v>26.725000000000001</v>
      </c>
      <c r="L443" s="2716"/>
      <c r="M443" s="2644"/>
      <c r="N443" s="2716"/>
      <c r="O443" s="2644"/>
      <c r="P443" s="2454" t="s">
        <v>114</v>
      </c>
      <c r="Q443" s="2644">
        <f>K443</f>
        <v>26.725000000000001</v>
      </c>
      <c r="R443" s="2716"/>
      <c r="S443" s="2689"/>
      <c r="T443" s="2362"/>
      <c r="U443" s="2363"/>
      <c r="V443" s="2192"/>
    </row>
    <row r="444" spans="2:22" s="2186" customFormat="1" x14ac:dyDescent="0.3">
      <c r="B444" s="2634"/>
      <c r="C444" s="2638"/>
      <c r="D444" s="2718"/>
      <c r="E444" s="2434"/>
      <c r="F444" s="2434"/>
      <c r="G444" s="2434"/>
      <c r="H444" s="2434"/>
      <c r="I444" s="2434"/>
      <c r="J444" s="2434"/>
      <c r="K444" s="2434"/>
      <c r="L444" s="2434"/>
      <c r="M444" s="2434"/>
      <c r="N444" s="2434"/>
      <c r="O444" s="2434"/>
      <c r="P444" s="2434"/>
      <c r="Q444" s="2434"/>
      <c r="R444" s="2434"/>
      <c r="S444" s="2542"/>
      <c r="T444" s="2362"/>
      <c r="U444" s="2363"/>
      <c r="V444" s="2192"/>
    </row>
    <row r="445" spans="2:22" s="2186" customFormat="1" ht="17.25" thickBot="1" x14ac:dyDescent="0.35">
      <c r="B445" s="2634"/>
      <c r="C445" s="2638"/>
      <c r="D445" s="3122" t="s">
        <v>164</v>
      </c>
      <c r="E445" s="3123"/>
      <c r="F445" s="3123"/>
      <c r="G445" s="3123"/>
      <c r="H445" s="3123"/>
      <c r="I445" s="3123"/>
      <c r="J445" s="2703"/>
      <c r="K445" s="2703"/>
      <c r="L445" s="2703"/>
      <c r="M445" s="2703"/>
      <c r="N445" s="2703"/>
      <c r="O445" s="2703"/>
      <c r="P445" s="2703"/>
      <c r="Q445" s="2719">
        <f>SUM(Q441:Q444)</f>
        <v>102.44980000000001</v>
      </c>
      <c r="R445" s="2703"/>
      <c r="S445" s="2705"/>
      <c r="T445" s="2362"/>
      <c r="U445" s="2363"/>
      <c r="V445" s="2192"/>
    </row>
    <row r="446" spans="2:22" s="2186" customFormat="1" x14ac:dyDescent="0.3">
      <c r="B446" s="2634"/>
      <c r="C446" s="2638"/>
      <c r="D446" s="2706"/>
      <c r="E446" s="2706"/>
      <c r="F446" s="2706"/>
      <c r="G446" s="2706"/>
      <c r="H446" s="2706"/>
      <c r="I446" s="2706"/>
      <c r="J446" s="2707"/>
      <c r="K446" s="2707"/>
      <c r="L446" s="2707"/>
      <c r="M446" s="2707"/>
      <c r="N446" s="2707"/>
      <c r="O446" s="2707"/>
      <c r="P446" s="2707"/>
      <c r="Q446" s="2707"/>
      <c r="R446" s="2707"/>
      <c r="S446" s="2708"/>
      <c r="T446" s="2362"/>
      <c r="U446" s="2363"/>
      <c r="V446" s="2192"/>
    </row>
    <row r="447" spans="2:22" s="2186" customFormat="1" ht="17.25" thickBot="1" x14ac:dyDescent="0.35">
      <c r="B447" s="2634">
        <f>'[61]RAB (2)'!B88</f>
        <v>4</v>
      </c>
      <c r="C447" s="2635" t="str">
        <f>'[61]RAB (2)'!C88</f>
        <v>Pekerjaan Benangan Lobang Kusen Alumunium</v>
      </c>
      <c r="D447" s="2358"/>
      <c r="E447" s="2359"/>
      <c r="F447" s="2360"/>
      <c r="G447" s="2359"/>
      <c r="H447" s="2360"/>
      <c r="I447" s="2359"/>
      <c r="J447" s="2360"/>
      <c r="K447" s="2359"/>
      <c r="L447" s="2360"/>
      <c r="M447" s="2360"/>
      <c r="N447" s="2360"/>
      <c r="O447" s="2359"/>
      <c r="P447" s="2360"/>
      <c r="Q447" s="2359"/>
      <c r="R447" s="2360"/>
      <c r="S447" s="2361"/>
      <c r="T447" s="2338"/>
      <c r="U447" s="2363" t="s">
        <v>27</v>
      </c>
      <c r="V447" s="2192"/>
    </row>
    <row r="448" spans="2:22" s="2186" customFormat="1" x14ac:dyDescent="0.3">
      <c r="B448" s="2634"/>
      <c r="C448" s="2638"/>
      <c r="D448" s="2375" t="s">
        <v>95</v>
      </c>
      <c r="E448" s="2376" t="s">
        <v>150</v>
      </c>
      <c r="F448" s="2377"/>
      <c r="G448" s="2376" t="s">
        <v>151</v>
      </c>
      <c r="H448" s="2377"/>
      <c r="I448" s="2376" t="s">
        <v>152</v>
      </c>
      <c r="J448" s="2377"/>
      <c r="K448" s="2376" t="s">
        <v>153</v>
      </c>
      <c r="L448" s="2377"/>
      <c r="M448" s="2377" t="s">
        <v>32</v>
      </c>
      <c r="N448" s="2377"/>
      <c r="O448" s="2376" t="s">
        <v>163</v>
      </c>
      <c r="P448" s="2377"/>
      <c r="Q448" s="2376" t="s">
        <v>151</v>
      </c>
      <c r="R448" s="2377"/>
      <c r="S448" s="2380" t="s">
        <v>143</v>
      </c>
      <c r="T448" s="2362"/>
      <c r="U448" s="2363"/>
      <c r="V448" s="2192"/>
    </row>
    <row r="449" spans="2:22" s="2186" customFormat="1" x14ac:dyDescent="0.3">
      <c r="B449" s="2634"/>
      <c r="C449" s="2638"/>
      <c r="D449" s="2471" t="str">
        <f>D425</f>
        <v>Jendela Type J.1</v>
      </c>
      <c r="E449" s="2337">
        <f>(E425+I425)*2</f>
        <v>9.1999999999999993</v>
      </c>
      <c r="F449" s="2454" t="s">
        <v>185</v>
      </c>
      <c r="G449" s="2337"/>
      <c r="H449" s="2454"/>
      <c r="I449" s="2337"/>
      <c r="J449" s="2454"/>
      <c r="K449" s="2337">
        <f>K425</f>
        <v>8</v>
      </c>
      <c r="L449" s="2337"/>
      <c r="M449" s="2337"/>
      <c r="N449" s="2454"/>
      <c r="O449" s="2337"/>
      <c r="P449" s="2454"/>
      <c r="Q449" s="2337"/>
      <c r="R449" s="2454" t="s">
        <v>114</v>
      </c>
      <c r="S449" s="2455">
        <f>K449*E449</f>
        <v>73.599999999999994</v>
      </c>
      <c r="T449" s="2362"/>
      <c r="U449" s="2363"/>
      <c r="V449" s="2192"/>
    </row>
    <row r="450" spans="2:22" s="2186" customFormat="1" x14ac:dyDescent="0.3">
      <c r="B450" s="2634"/>
      <c r="C450" s="2638"/>
      <c r="D450" s="2471" t="str">
        <f>D426</f>
        <v>Jendela Type J2</v>
      </c>
      <c r="E450" s="2337">
        <f>(E426+I426)*2</f>
        <v>3.4</v>
      </c>
      <c r="F450" s="2454" t="s">
        <v>185</v>
      </c>
      <c r="G450" s="2337"/>
      <c r="H450" s="2454"/>
      <c r="I450" s="2337"/>
      <c r="J450" s="2454"/>
      <c r="K450" s="2337">
        <f>K426</f>
        <v>2</v>
      </c>
      <c r="L450" s="2337"/>
      <c r="M450" s="2337"/>
      <c r="N450" s="2454"/>
      <c r="O450" s="2337"/>
      <c r="P450" s="2454"/>
      <c r="Q450" s="2337"/>
      <c r="R450" s="2454" t="s">
        <v>114</v>
      </c>
      <c r="S450" s="2455">
        <f>K450*E450</f>
        <v>6.8</v>
      </c>
      <c r="T450" s="2362"/>
      <c r="U450" s="2363"/>
      <c r="V450" s="2192"/>
    </row>
    <row r="451" spans="2:22" s="2186" customFormat="1" x14ac:dyDescent="0.3">
      <c r="B451" s="2634"/>
      <c r="C451" s="2638"/>
      <c r="D451" s="2683"/>
      <c r="E451" s="2434"/>
      <c r="F451" s="2434"/>
      <c r="G451" s="2434"/>
      <c r="H451" s="2434"/>
      <c r="I451" s="2434"/>
      <c r="J451" s="2434"/>
      <c r="K451" s="2434"/>
      <c r="L451" s="2434"/>
      <c r="M451" s="2434"/>
      <c r="N451" s="2434"/>
      <c r="O451" s="2434"/>
      <c r="P451" s="2434"/>
      <c r="Q451" s="2434"/>
      <c r="R451" s="2434"/>
      <c r="S451" s="2542"/>
      <c r="T451" s="2362"/>
      <c r="U451" s="2363"/>
      <c r="V451" s="2192"/>
    </row>
    <row r="452" spans="2:22" s="2186" customFormat="1" ht="17.25" thickBot="1" x14ac:dyDescent="0.35">
      <c r="B452" s="2634"/>
      <c r="C452" s="2638"/>
      <c r="D452" s="3122" t="s">
        <v>164</v>
      </c>
      <c r="E452" s="3123"/>
      <c r="F452" s="3123"/>
      <c r="G452" s="3123"/>
      <c r="H452" s="3123"/>
      <c r="I452" s="3123"/>
      <c r="J452" s="2703"/>
      <c r="K452" s="2703"/>
      <c r="L452" s="2703"/>
      <c r="M452" s="2703"/>
      <c r="N452" s="2703"/>
      <c r="O452" s="2703"/>
      <c r="P452" s="2703"/>
      <c r="Q452" s="2719"/>
      <c r="R452" s="2703"/>
      <c r="S452" s="2705">
        <f>SUM(S449:S451)</f>
        <v>80.399999999999991</v>
      </c>
      <c r="T452" s="2362"/>
      <c r="U452" s="2363"/>
      <c r="V452" s="2192"/>
    </row>
    <row r="453" spans="2:22" s="2186" customFormat="1" x14ac:dyDescent="0.3">
      <c r="B453" s="2634"/>
      <c r="C453" s="2638"/>
      <c r="D453" s="2706"/>
      <c r="E453" s="2706"/>
      <c r="F453" s="2706"/>
      <c r="G453" s="2706"/>
      <c r="H453" s="2706"/>
      <c r="I453" s="2706"/>
      <c r="J453" s="2707"/>
      <c r="K453" s="2707"/>
      <c r="L453" s="2707"/>
      <c r="M453" s="2707"/>
      <c r="N453" s="2707"/>
      <c r="O453" s="2707"/>
      <c r="P453" s="2707"/>
      <c r="Q453" s="2707"/>
      <c r="R453" s="2707"/>
      <c r="S453" s="2708"/>
      <c r="T453" s="2362"/>
      <c r="U453" s="2363"/>
      <c r="V453" s="2192"/>
    </row>
    <row r="454" spans="2:22" s="2186" customFormat="1" ht="17.25" thickBot="1" x14ac:dyDescent="0.35">
      <c r="B454" s="2634">
        <f>'[61]RAB (2)'!B89</f>
        <v>5</v>
      </c>
      <c r="C454" s="2638" t="str">
        <f>'[61]RAB (2)'!C89</f>
        <v>Railing Tangga Finsh. Cat minyak (Avian)</v>
      </c>
      <c r="D454" s="2358"/>
      <c r="E454" s="2359"/>
      <c r="F454" s="2360"/>
      <c r="G454" s="2359"/>
      <c r="H454" s="2360"/>
      <c r="I454" s="2359"/>
      <c r="J454" s="2360"/>
      <c r="K454" s="2359"/>
      <c r="L454" s="2360"/>
      <c r="M454" s="2360"/>
      <c r="N454" s="2360"/>
      <c r="O454" s="2359"/>
      <c r="P454" s="2360"/>
      <c r="Q454" s="2359"/>
      <c r="R454" s="2360"/>
      <c r="S454" s="2361"/>
      <c r="T454" s="2338"/>
      <c r="U454" s="2363" t="s">
        <v>27</v>
      </c>
      <c r="V454" s="2192"/>
    </row>
    <row r="455" spans="2:22" s="2186" customFormat="1" x14ac:dyDescent="0.3">
      <c r="B455" s="2634"/>
      <c r="C455" s="2638"/>
      <c r="D455" s="2375" t="s">
        <v>95</v>
      </c>
      <c r="E455" s="2376" t="s">
        <v>150</v>
      </c>
      <c r="F455" s="2377"/>
      <c r="G455" s="2376" t="s">
        <v>151</v>
      </c>
      <c r="H455" s="2377"/>
      <c r="I455" s="2376" t="s">
        <v>152</v>
      </c>
      <c r="J455" s="2377"/>
      <c r="K455" s="2376" t="s">
        <v>153</v>
      </c>
      <c r="L455" s="2378"/>
      <c r="M455" s="2378" t="s">
        <v>32</v>
      </c>
      <c r="N455" s="2378"/>
      <c r="O455" s="2379" t="s">
        <v>163</v>
      </c>
      <c r="P455" s="2378"/>
      <c r="Q455" s="2379" t="s">
        <v>151</v>
      </c>
      <c r="R455" s="2378"/>
      <c r="S455" s="2380" t="s">
        <v>143</v>
      </c>
      <c r="T455" s="2362"/>
      <c r="U455" s="2363"/>
      <c r="V455" s="2192"/>
    </row>
    <row r="456" spans="2:22" s="2186" customFormat="1" x14ac:dyDescent="0.3">
      <c r="B456" s="2634"/>
      <c r="C456" s="2638"/>
      <c r="D456" s="2232" t="s">
        <v>742</v>
      </c>
      <c r="E456" s="2337">
        <f>E355</f>
        <v>6.75</v>
      </c>
      <c r="F456" s="2337"/>
      <c r="G456" s="2337"/>
      <c r="H456" s="2337"/>
      <c r="I456" s="2337"/>
      <c r="J456" s="2337"/>
      <c r="K456" s="2337"/>
      <c r="L456" s="2337"/>
      <c r="M456" s="2337"/>
      <c r="N456" s="2337"/>
      <c r="O456" s="2337"/>
      <c r="P456" s="2337"/>
      <c r="Q456" s="2337"/>
      <c r="R456" s="2337" t="s">
        <v>114</v>
      </c>
      <c r="S456" s="2455">
        <f>E456</f>
        <v>6.75</v>
      </c>
      <c r="T456" s="2362"/>
      <c r="U456" s="2363"/>
      <c r="V456" s="2192"/>
    </row>
    <row r="457" spans="2:22" s="2186" customFormat="1" x14ac:dyDescent="0.3">
      <c r="B457" s="2634"/>
      <c r="C457" s="2638"/>
      <c r="D457" s="2232" t="s">
        <v>271</v>
      </c>
      <c r="E457" s="2337">
        <f>G357</f>
        <v>1.6</v>
      </c>
      <c r="F457" s="2337"/>
      <c r="G457" s="2337"/>
      <c r="H457" s="2337"/>
      <c r="I457" s="2337"/>
      <c r="J457" s="2337"/>
      <c r="K457" s="2337"/>
      <c r="L457" s="2337"/>
      <c r="M457" s="2337"/>
      <c r="N457" s="2337"/>
      <c r="O457" s="2337"/>
      <c r="P457" s="2337"/>
      <c r="Q457" s="2337"/>
      <c r="R457" s="2337" t="s">
        <v>114</v>
      </c>
      <c r="S457" s="2455">
        <f>E457</f>
        <v>1.6</v>
      </c>
      <c r="T457" s="2362"/>
      <c r="U457" s="2363"/>
      <c r="V457" s="2192"/>
    </row>
    <row r="458" spans="2:22" s="2186" customFormat="1" x14ac:dyDescent="0.3">
      <c r="B458" s="2634"/>
      <c r="C458" s="2638"/>
      <c r="D458" s="2688"/>
      <c r="E458" s="2644"/>
      <c r="F458" s="2644"/>
      <c r="G458" s="2644"/>
      <c r="H458" s="2644"/>
      <c r="I458" s="2644"/>
      <c r="J458" s="2644"/>
      <c r="K458" s="2644"/>
      <c r="L458" s="2644"/>
      <c r="M458" s="2644"/>
      <c r="N458" s="2644"/>
      <c r="O458" s="2644"/>
      <c r="P458" s="2644"/>
      <c r="Q458" s="2644"/>
      <c r="R458" s="2644"/>
      <c r="S458" s="2689"/>
      <c r="T458" s="2362"/>
      <c r="U458" s="2363"/>
      <c r="V458" s="2192"/>
    </row>
    <row r="459" spans="2:22" s="2186" customFormat="1" ht="17.25" thickBot="1" x14ac:dyDescent="0.35">
      <c r="B459" s="2634"/>
      <c r="C459" s="2638"/>
      <c r="D459" s="3122" t="s">
        <v>164</v>
      </c>
      <c r="E459" s="3123"/>
      <c r="F459" s="3123"/>
      <c r="G459" s="3123"/>
      <c r="H459" s="3123"/>
      <c r="I459" s="3123"/>
      <c r="J459" s="2703"/>
      <c r="K459" s="2703"/>
      <c r="L459" s="2703"/>
      <c r="M459" s="2703"/>
      <c r="N459" s="2703"/>
      <c r="O459" s="2703"/>
      <c r="P459" s="2703"/>
      <c r="Q459" s="2703"/>
      <c r="R459" s="2703"/>
      <c r="S459" s="2720">
        <f>SUM(S456:S458)</f>
        <v>8.35</v>
      </c>
      <c r="T459" s="2362"/>
      <c r="U459" s="2363"/>
      <c r="V459" s="2192"/>
    </row>
    <row r="460" spans="2:22" x14ac:dyDescent="0.3">
      <c r="B460" s="2642"/>
      <c r="C460" s="2643"/>
      <c r="D460" s="2650"/>
      <c r="E460" s="2651"/>
      <c r="F460" s="2651"/>
      <c r="G460" s="2651"/>
      <c r="H460" s="2651"/>
      <c r="I460" s="2651"/>
      <c r="J460" s="2651"/>
      <c r="K460" s="2406"/>
      <c r="L460" s="2407"/>
      <c r="M460" s="2407"/>
      <c r="N460" s="2407"/>
      <c r="O460" s="2406"/>
      <c r="P460" s="2407"/>
      <c r="Q460" s="2406"/>
      <c r="R460" s="2407"/>
      <c r="S460" s="2464"/>
      <c r="T460" s="2370"/>
      <c r="U460" s="2371"/>
    </row>
    <row r="461" spans="2:22" s="2225" customFormat="1" ht="14.25" x14ac:dyDescent="0.2">
      <c r="B461" s="2699" t="str">
        <f>'[61]RAB (2)'!B92</f>
        <v>IV</v>
      </c>
      <c r="C461" s="2699" t="str">
        <f>'[61]RAB (2)'!C92</f>
        <v>PEKERJAAN PINTU &amp; JENDELA</v>
      </c>
      <c r="D461" s="2680"/>
      <c r="E461" s="2721"/>
      <c r="F461" s="2721"/>
      <c r="G461" s="2721"/>
      <c r="H461" s="2721"/>
      <c r="I461" s="2721"/>
      <c r="J461" s="2721"/>
      <c r="K461" s="2721"/>
      <c r="L461" s="2721"/>
      <c r="M461" s="2721"/>
      <c r="N461" s="2721"/>
      <c r="O461" s="2721"/>
      <c r="P461" s="2721"/>
      <c r="Q461" s="2721"/>
      <c r="R461" s="2721"/>
      <c r="S461" s="2532"/>
      <c r="T461" s="2680"/>
      <c r="U461" s="2363"/>
      <c r="V461" s="2227"/>
    </row>
    <row r="462" spans="2:22" s="2186" customFormat="1" ht="17.25" thickBot="1" x14ac:dyDescent="0.35">
      <c r="B462" s="2634">
        <f>'[61]RAB (2)'!B93</f>
        <v>1</v>
      </c>
      <c r="C462" s="2635" t="str">
        <f>'[61]RAB (2)'!C93</f>
        <v>Pintu Type P2</v>
      </c>
      <c r="D462" s="2358"/>
      <c r="E462" s="2359"/>
      <c r="F462" s="2360"/>
      <c r="G462" s="2359"/>
      <c r="H462" s="2360"/>
      <c r="I462" s="2359"/>
      <c r="J462" s="2360"/>
      <c r="K462" s="2359"/>
      <c r="L462" s="2360"/>
      <c r="M462" s="2360"/>
      <c r="N462" s="2360"/>
      <c r="O462" s="2359"/>
      <c r="P462" s="2360"/>
      <c r="Q462" s="2359"/>
      <c r="R462" s="2360"/>
      <c r="S462" s="2361"/>
      <c r="T462" s="2338"/>
      <c r="U462" s="2363"/>
      <c r="V462" s="2192"/>
    </row>
    <row r="463" spans="2:22" s="2186" customFormat="1" x14ac:dyDescent="0.3">
      <c r="B463" s="2634"/>
      <c r="C463" s="2638"/>
      <c r="D463" s="2722" t="s">
        <v>95</v>
      </c>
      <c r="E463" s="2723" t="s">
        <v>150</v>
      </c>
      <c r="F463" s="2724"/>
      <c r="G463" s="2723" t="s">
        <v>151</v>
      </c>
      <c r="H463" s="2724"/>
      <c r="I463" s="2723" t="s">
        <v>152</v>
      </c>
      <c r="J463" s="2724"/>
      <c r="K463" s="2723" t="s">
        <v>153</v>
      </c>
      <c r="L463" s="2724"/>
      <c r="M463" s="2724" t="s">
        <v>32</v>
      </c>
      <c r="N463" s="2724"/>
      <c r="O463" s="2723" t="s">
        <v>163</v>
      </c>
      <c r="P463" s="2724"/>
      <c r="Q463" s="2723" t="s">
        <v>151</v>
      </c>
      <c r="R463" s="2724"/>
      <c r="S463" s="2725" t="s">
        <v>143</v>
      </c>
      <c r="T463" s="2362"/>
      <c r="U463" s="2363"/>
      <c r="V463" s="2192"/>
    </row>
    <row r="464" spans="2:22" s="2186" customFormat="1" x14ac:dyDescent="0.3">
      <c r="B464" s="2634"/>
      <c r="C464" s="2638"/>
      <c r="D464" s="2726" t="str">
        <f>'[61]RAB (2)'!D94</f>
        <v>- Kusen Kayu kelas 1</v>
      </c>
      <c r="E464" s="2342">
        <f>2*(1.5+3)</f>
        <v>9</v>
      </c>
      <c r="F464" s="2342" t="s">
        <v>185</v>
      </c>
      <c r="G464" s="2342">
        <v>0.13</v>
      </c>
      <c r="H464" s="2342" t="s">
        <v>185</v>
      </c>
      <c r="I464" s="2342">
        <v>0.05</v>
      </c>
      <c r="J464" s="2342"/>
      <c r="K464" s="2342">
        <v>1</v>
      </c>
      <c r="L464" s="2342"/>
      <c r="M464" s="2342"/>
      <c r="N464" s="2342"/>
      <c r="O464" s="2342"/>
      <c r="P464" s="2342"/>
      <c r="Q464" s="2342"/>
      <c r="R464" s="2342" t="s">
        <v>114</v>
      </c>
      <c r="S464" s="2536">
        <f>K464*E464*I464*G464</f>
        <v>5.8500000000000003E-2</v>
      </c>
      <c r="T464" s="2338"/>
      <c r="U464" s="2363" t="s">
        <v>3</v>
      </c>
      <c r="V464" s="2192"/>
    </row>
    <row r="465" spans="2:22" s="2186" customFormat="1" x14ac:dyDescent="0.3">
      <c r="B465" s="2634"/>
      <c r="C465" s="2638"/>
      <c r="D465" s="2726" t="str">
        <f>'[61]RAB (2)'!D95</f>
        <v>- Daun Pintu Kayu panel kelas II</v>
      </c>
      <c r="E465" s="2590"/>
      <c r="F465" s="2590"/>
      <c r="G465" s="2590">
        <v>1.5</v>
      </c>
      <c r="H465" s="2590" t="s">
        <v>185</v>
      </c>
      <c r="I465" s="2590">
        <v>2.1</v>
      </c>
      <c r="J465" s="2590" t="s">
        <v>185</v>
      </c>
      <c r="K465" s="2590">
        <v>2</v>
      </c>
      <c r="L465" s="2590"/>
      <c r="M465" s="2590"/>
      <c r="N465" s="2590"/>
      <c r="O465" s="2590"/>
      <c r="P465" s="2590" t="s">
        <v>114</v>
      </c>
      <c r="Q465" s="2590">
        <f>K465*I465*G465</f>
        <v>6.3000000000000007</v>
      </c>
      <c r="R465" s="2590"/>
      <c r="S465" s="2591"/>
      <c r="T465" s="2338"/>
      <c r="U465" s="2363" t="s">
        <v>2</v>
      </c>
      <c r="V465" s="2192"/>
    </row>
    <row r="466" spans="2:22" s="2186" customFormat="1" x14ac:dyDescent="0.3">
      <c r="B466" s="2634"/>
      <c r="C466" s="2638"/>
      <c r="D466" s="2726" t="str">
        <f>'[61]RAB (2)'!D96</f>
        <v>- Engsel Pintu 4 inc</v>
      </c>
      <c r="E466" s="2590"/>
      <c r="F466" s="2590"/>
      <c r="G466" s="2590"/>
      <c r="H466" s="2590"/>
      <c r="I466" s="2590"/>
      <c r="J466" s="2590"/>
      <c r="K466" s="2590">
        <v>2</v>
      </c>
      <c r="L466" s="2590" t="s">
        <v>185</v>
      </c>
      <c r="M466" s="2590">
        <v>2</v>
      </c>
      <c r="N466" s="2590" t="s">
        <v>185</v>
      </c>
      <c r="O466" s="2590">
        <v>3</v>
      </c>
      <c r="P466" s="2590"/>
      <c r="Q466" s="2590"/>
      <c r="R466" s="2590" t="s">
        <v>114</v>
      </c>
      <c r="S466" s="2591">
        <f>O466*K466*M466</f>
        <v>12</v>
      </c>
      <c r="T466" s="2338"/>
      <c r="U466" s="2363" t="s">
        <v>9</v>
      </c>
      <c r="V466" s="2192"/>
    </row>
    <row r="467" spans="2:22" s="2186" customFormat="1" x14ac:dyDescent="0.3">
      <c r="B467" s="2634"/>
      <c r="C467" s="2638"/>
      <c r="D467" s="2726" t="str">
        <f>'[61]RAB (2)'!D97</f>
        <v>- Kunci Tanam ex. Ses</v>
      </c>
      <c r="E467" s="2590"/>
      <c r="F467" s="2590"/>
      <c r="G467" s="2590"/>
      <c r="H467" s="2590"/>
      <c r="I467" s="2590"/>
      <c r="J467" s="2590"/>
      <c r="K467" s="2590">
        <v>2</v>
      </c>
      <c r="L467" s="2590"/>
      <c r="M467" s="2590"/>
      <c r="N467" s="2590"/>
      <c r="O467" s="2590"/>
      <c r="P467" s="2590"/>
      <c r="Q467" s="2590"/>
      <c r="R467" s="2590"/>
      <c r="S467" s="2591"/>
      <c r="T467" s="2338"/>
      <c r="U467" s="2363" t="s">
        <v>115</v>
      </c>
      <c r="V467" s="2192"/>
    </row>
    <row r="468" spans="2:22" s="2186" customFormat="1" x14ac:dyDescent="0.3">
      <c r="B468" s="2634"/>
      <c r="C468" s="2638"/>
      <c r="D468" s="2726" t="str">
        <f>'[61]RAB (2)'!D98</f>
        <v>- Door Stoop</v>
      </c>
      <c r="E468" s="2337"/>
      <c r="F468" s="2337"/>
      <c r="G468" s="2337"/>
      <c r="H468" s="2337"/>
      <c r="I468" s="2337"/>
      <c r="J468" s="2337"/>
      <c r="K468" s="2590">
        <v>2</v>
      </c>
      <c r="L468" s="2590"/>
      <c r="M468" s="2590"/>
      <c r="N468" s="2590"/>
      <c r="O468" s="2590"/>
      <c r="P468" s="2590"/>
      <c r="Q468" s="2590"/>
      <c r="R468" s="2590"/>
      <c r="S468" s="2591"/>
      <c r="T468" s="2338"/>
      <c r="U468" s="2363" t="s">
        <v>132</v>
      </c>
      <c r="V468" s="2192"/>
    </row>
    <row r="469" spans="2:22" s="2186" customFormat="1" x14ac:dyDescent="0.3">
      <c r="B469" s="2634"/>
      <c r="C469" s="2638"/>
      <c r="D469" s="2726" t="str">
        <f>'[61]RAB (2)'!D99</f>
        <v>- Grendel Pintu 8 Inc Stainless Stail</v>
      </c>
      <c r="E469" s="2644"/>
      <c r="F469" s="2644"/>
      <c r="G469" s="2644"/>
      <c r="H469" s="2644"/>
      <c r="I469" s="2644"/>
      <c r="J469" s="2644"/>
      <c r="K469" s="2590">
        <f>K468</f>
        <v>2</v>
      </c>
      <c r="L469" s="2727"/>
      <c r="M469" s="2727"/>
      <c r="N469" s="2727"/>
      <c r="O469" s="2727"/>
      <c r="P469" s="2727"/>
      <c r="Q469" s="2727"/>
      <c r="R469" s="2727"/>
      <c r="S469" s="2728"/>
      <c r="T469" s="2338"/>
      <c r="U469" s="2363" t="s">
        <v>132</v>
      </c>
      <c r="V469" s="2192"/>
    </row>
    <row r="470" spans="2:22" s="2186" customFormat="1" ht="17.25" thickBot="1" x14ac:dyDescent="0.35">
      <c r="B470" s="2634"/>
      <c r="C470" s="2638"/>
      <c r="D470" s="2729"/>
      <c r="E470" s="2561"/>
      <c r="F470" s="2561"/>
      <c r="G470" s="2561"/>
      <c r="H470" s="2561"/>
      <c r="I470" s="2561"/>
      <c r="J470" s="2561"/>
      <c r="K470" s="2561"/>
      <c r="L470" s="2561"/>
      <c r="M470" s="2561"/>
      <c r="N470" s="2561"/>
      <c r="O470" s="2561"/>
      <c r="P470" s="2561"/>
      <c r="Q470" s="2561"/>
      <c r="R470" s="2561"/>
      <c r="S470" s="2562"/>
      <c r="T470" s="2362"/>
      <c r="U470" s="2363"/>
      <c r="V470" s="2192"/>
    </row>
    <row r="471" spans="2:22" x14ac:dyDescent="0.3">
      <c r="B471" s="2642"/>
      <c r="C471" s="2643"/>
      <c r="D471" s="2650"/>
      <c r="E471" s="2651"/>
      <c r="F471" s="2651"/>
      <c r="G471" s="2651"/>
      <c r="H471" s="2651"/>
      <c r="I471" s="2651"/>
      <c r="J471" s="2651"/>
      <c r="K471" s="2406"/>
      <c r="L471" s="2407"/>
      <c r="M471" s="2407"/>
      <c r="N471" s="2407"/>
      <c r="O471" s="2406"/>
      <c r="P471" s="2407"/>
      <c r="Q471" s="2406"/>
      <c r="R471" s="2407"/>
      <c r="S471" s="2464"/>
      <c r="T471" s="2370"/>
      <c r="U471" s="2371"/>
    </row>
    <row r="472" spans="2:22" x14ac:dyDescent="0.3">
      <c r="B472" s="2634">
        <f>'[61]RAB (2)'!B100</f>
        <v>2</v>
      </c>
      <c r="C472" s="2638" t="str">
        <f>'[61]RAB (2)'!C100</f>
        <v>Pintu KM</v>
      </c>
      <c r="D472" s="2636"/>
      <c r="E472" s="2637"/>
      <c r="F472" s="2637"/>
      <c r="G472" s="2637"/>
      <c r="H472" s="2637"/>
      <c r="I472" s="2637"/>
      <c r="J472" s="2637"/>
      <c r="K472" s="2397"/>
      <c r="L472" s="2398"/>
      <c r="M472" s="2398"/>
      <c r="N472" s="2398"/>
      <c r="O472" s="2397"/>
      <c r="P472" s="2398"/>
      <c r="Q472" s="2397"/>
      <c r="R472" s="2398"/>
      <c r="S472" s="2532"/>
      <c r="T472" s="2730"/>
      <c r="U472" s="2363" t="s">
        <v>32</v>
      </c>
    </row>
    <row r="473" spans="2:22" x14ac:dyDescent="0.3">
      <c r="B473" s="2642"/>
      <c r="C473" s="2643"/>
      <c r="D473" s="2636"/>
      <c r="E473" s="2637"/>
      <c r="F473" s="2637"/>
      <c r="G473" s="2637"/>
      <c r="H473" s="2637"/>
      <c r="I473" s="2637"/>
      <c r="J473" s="2637"/>
      <c r="K473" s="2397"/>
      <c r="L473" s="2398"/>
      <c r="M473" s="2398"/>
      <c r="N473" s="2398"/>
      <c r="O473" s="2397"/>
      <c r="P473" s="2398"/>
      <c r="Q473" s="2397"/>
      <c r="R473" s="2398"/>
      <c r="S473" s="2532"/>
      <c r="T473" s="2370"/>
      <c r="U473" s="2371"/>
    </row>
    <row r="474" spans="2:22" s="2186" customFormat="1" ht="17.25" thickBot="1" x14ac:dyDescent="0.35">
      <c r="B474" s="2634">
        <f>'[61]RAB (2)'!B101</f>
        <v>3</v>
      </c>
      <c r="C474" s="2635" t="str">
        <f>'[61]RAB (2)'!C101</f>
        <v>Jendela Type J.1</v>
      </c>
      <c r="D474" s="2358"/>
      <c r="E474" s="2359"/>
      <c r="F474" s="2360"/>
      <c r="G474" s="2359"/>
      <c r="H474" s="2360"/>
      <c r="I474" s="2359"/>
      <c r="J474" s="2360"/>
      <c r="K474" s="2359"/>
      <c r="L474" s="2360"/>
      <c r="M474" s="2360"/>
      <c r="N474" s="2360"/>
      <c r="O474" s="2359"/>
      <c r="P474" s="2360"/>
      <c r="Q474" s="2359"/>
      <c r="R474" s="2360"/>
      <c r="S474" s="2361"/>
      <c r="T474" s="2338"/>
      <c r="U474" s="2363" t="s">
        <v>2</v>
      </c>
      <c r="V474" s="2192"/>
    </row>
    <row r="475" spans="2:22" s="2186" customFormat="1" x14ac:dyDescent="0.3">
      <c r="B475" s="2634"/>
      <c r="C475" s="2638"/>
      <c r="D475" s="2722" t="s">
        <v>95</v>
      </c>
      <c r="E475" s="2723" t="s">
        <v>150</v>
      </c>
      <c r="F475" s="2724"/>
      <c r="G475" s="2723" t="s">
        <v>151</v>
      </c>
      <c r="H475" s="2724"/>
      <c r="I475" s="2723" t="s">
        <v>152</v>
      </c>
      <c r="J475" s="2724"/>
      <c r="K475" s="2723" t="s">
        <v>153</v>
      </c>
      <c r="L475" s="2724"/>
      <c r="M475" s="2724" t="s">
        <v>32</v>
      </c>
      <c r="N475" s="2724"/>
      <c r="O475" s="2723" t="s">
        <v>163</v>
      </c>
      <c r="P475" s="2724"/>
      <c r="Q475" s="2723" t="s">
        <v>151</v>
      </c>
      <c r="R475" s="2724"/>
      <c r="S475" s="2725" t="s">
        <v>143</v>
      </c>
      <c r="T475" s="2362"/>
      <c r="U475" s="2363"/>
      <c r="V475" s="2192"/>
    </row>
    <row r="476" spans="2:22" s="2186" customFormat="1" x14ac:dyDescent="0.3">
      <c r="B476" s="2634"/>
      <c r="C476" s="2638"/>
      <c r="D476" s="2695" t="str">
        <f>C474</f>
        <v>Jendela Type J.1</v>
      </c>
      <c r="E476" s="2731"/>
      <c r="F476" s="2732"/>
      <c r="G476" s="2731"/>
      <c r="H476" s="2732"/>
      <c r="I476" s="2732"/>
      <c r="J476" s="2732"/>
      <c r="K476" s="2732"/>
      <c r="L476" s="2732"/>
      <c r="M476" s="2731">
        <f>K425</f>
        <v>8</v>
      </c>
      <c r="N476" s="2732"/>
      <c r="O476" s="2732"/>
      <c r="P476" s="2732"/>
      <c r="Q476" s="2732"/>
      <c r="R476" s="2732" t="s">
        <v>114</v>
      </c>
      <c r="S476" s="2453">
        <f>M476</f>
        <v>8</v>
      </c>
      <c r="T476" s="2362"/>
      <c r="U476" s="2363"/>
      <c r="V476" s="2192"/>
    </row>
    <row r="477" spans="2:22" s="2186" customFormat="1" x14ac:dyDescent="0.3">
      <c r="B477" s="2634"/>
      <c r="C477" s="2638"/>
      <c r="D477" s="2683"/>
      <c r="E477" s="2696"/>
      <c r="F477" s="2696"/>
      <c r="G477" s="2696"/>
      <c r="H477" s="2696"/>
      <c r="I477" s="2696"/>
      <c r="J477" s="2696"/>
      <c r="K477" s="2696"/>
      <c r="L477" s="2696"/>
      <c r="M477" s="2696"/>
      <c r="N477" s="2696"/>
      <c r="O477" s="2696"/>
      <c r="P477" s="2696"/>
      <c r="Q477" s="2696"/>
      <c r="R477" s="2696"/>
      <c r="S477" s="2461"/>
      <c r="T477" s="2362"/>
      <c r="U477" s="2363"/>
      <c r="V477" s="2192"/>
    </row>
    <row r="478" spans="2:22" s="2186" customFormat="1" ht="17.25" thickBot="1" x14ac:dyDescent="0.35">
      <c r="B478" s="2634"/>
      <c r="C478" s="2638"/>
      <c r="D478" s="3120" t="s">
        <v>164</v>
      </c>
      <c r="E478" s="3121"/>
      <c r="F478" s="3121"/>
      <c r="G478" s="3121"/>
      <c r="H478" s="3121"/>
      <c r="I478" s="3121"/>
      <c r="J478" s="2684"/>
      <c r="K478" s="2684"/>
      <c r="L478" s="2684"/>
      <c r="M478" s="2684"/>
      <c r="N478" s="2684"/>
      <c r="O478" s="2684"/>
      <c r="P478" s="2684"/>
      <c r="Q478" s="2684"/>
      <c r="R478" s="2684"/>
      <c r="S478" s="2685">
        <f>SUM(S476:S477)</f>
        <v>8</v>
      </c>
      <c r="T478" s="2362"/>
      <c r="U478" s="2363"/>
      <c r="V478" s="2192"/>
    </row>
    <row r="479" spans="2:22" s="2186" customFormat="1" x14ac:dyDescent="0.3">
      <c r="B479" s="2634"/>
      <c r="C479" s="2638"/>
      <c r="D479" s="2636"/>
      <c r="E479" s="2637"/>
      <c r="F479" s="2637"/>
      <c r="G479" s="2637"/>
      <c r="H479" s="2637"/>
      <c r="I479" s="2637"/>
      <c r="J479" s="2637"/>
      <c r="K479" s="2397"/>
      <c r="L479" s="2398"/>
      <c r="M479" s="2398"/>
      <c r="N479" s="2398"/>
      <c r="O479" s="2397"/>
      <c r="P479" s="2398"/>
      <c r="Q479" s="2397"/>
      <c r="R479" s="2398"/>
      <c r="S479" s="2532"/>
      <c r="T479" s="2362"/>
      <c r="U479" s="2363"/>
      <c r="V479" s="2192"/>
    </row>
    <row r="480" spans="2:22" s="2186" customFormat="1" ht="17.25" thickBot="1" x14ac:dyDescent="0.35">
      <c r="B480" s="2634">
        <f>'[61]RAB (2)'!B110</f>
        <v>4</v>
      </c>
      <c r="C480" s="2635" t="str">
        <f>'[61]RAB (2)'!C110</f>
        <v>Jendela Type J2</v>
      </c>
      <c r="D480" s="2358"/>
      <c r="E480" s="2359"/>
      <c r="F480" s="2360"/>
      <c r="G480" s="2359"/>
      <c r="H480" s="2360"/>
      <c r="I480" s="2359"/>
      <c r="J480" s="2360"/>
      <c r="K480" s="2359"/>
      <c r="L480" s="2360"/>
      <c r="M480" s="2360"/>
      <c r="N480" s="2360"/>
      <c r="O480" s="2359"/>
      <c r="P480" s="2360"/>
      <c r="Q480" s="2359"/>
      <c r="R480" s="2360"/>
      <c r="S480" s="2361"/>
      <c r="T480" s="2338"/>
      <c r="U480" s="2363" t="s">
        <v>32</v>
      </c>
      <c r="V480" s="2192"/>
    </row>
    <row r="481" spans="2:22" s="2186" customFormat="1" x14ac:dyDescent="0.3">
      <c r="B481" s="2634"/>
      <c r="C481" s="2638"/>
      <c r="D481" s="2722" t="s">
        <v>95</v>
      </c>
      <c r="E481" s="2723" t="s">
        <v>150</v>
      </c>
      <c r="F481" s="2724"/>
      <c r="G481" s="2723" t="s">
        <v>151</v>
      </c>
      <c r="H481" s="2724"/>
      <c r="I481" s="2723" t="s">
        <v>152</v>
      </c>
      <c r="J481" s="2724"/>
      <c r="K481" s="2723" t="s">
        <v>153</v>
      </c>
      <c r="L481" s="2724"/>
      <c r="M481" s="2724" t="s">
        <v>32</v>
      </c>
      <c r="N481" s="2724"/>
      <c r="O481" s="2723" t="s">
        <v>163</v>
      </c>
      <c r="P481" s="2724"/>
      <c r="Q481" s="2723" t="s">
        <v>151</v>
      </c>
      <c r="R481" s="2724"/>
      <c r="S481" s="2725" t="s">
        <v>143</v>
      </c>
      <c r="T481" s="2362"/>
      <c r="U481" s="2363"/>
      <c r="V481" s="2192"/>
    </row>
    <row r="482" spans="2:22" s="2186" customFormat="1" x14ac:dyDescent="0.3">
      <c r="B482" s="2634"/>
      <c r="C482" s="2638"/>
      <c r="D482" s="2733" t="str">
        <f>C480</f>
        <v>Jendela Type J2</v>
      </c>
      <c r="E482" s="2731"/>
      <c r="F482" s="2732"/>
      <c r="G482" s="2731"/>
      <c r="H482" s="2732"/>
      <c r="I482" s="2732"/>
      <c r="J482" s="2732"/>
      <c r="K482" s="2732"/>
      <c r="L482" s="2732"/>
      <c r="M482" s="2731">
        <f>K426</f>
        <v>2</v>
      </c>
      <c r="N482" s="2732"/>
      <c r="O482" s="2732"/>
      <c r="P482" s="2732"/>
      <c r="Q482" s="2732"/>
      <c r="R482" s="2732" t="s">
        <v>114</v>
      </c>
      <c r="S482" s="2453">
        <f>M482</f>
        <v>2</v>
      </c>
      <c r="T482" s="2362"/>
      <c r="U482" s="2363"/>
      <c r="V482" s="2192"/>
    </row>
    <row r="483" spans="2:22" s="2186" customFormat="1" x14ac:dyDescent="0.3">
      <c r="B483" s="2634"/>
      <c r="C483" s="2638"/>
      <c r="D483" s="2734"/>
      <c r="E483" s="2735"/>
      <c r="F483" s="2735"/>
      <c r="G483" s="2735"/>
      <c r="H483" s="2735"/>
      <c r="I483" s="2735"/>
      <c r="J483" s="2735"/>
      <c r="K483" s="2735"/>
      <c r="L483" s="2735"/>
      <c r="M483" s="2735"/>
      <c r="N483" s="2735"/>
      <c r="O483" s="2735"/>
      <c r="P483" s="2735"/>
      <c r="Q483" s="2735"/>
      <c r="R483" s="2735"/>
      <c r="S483" s="2736"/>
      <c r="T483" s="2362"/>
      <c r="U483" s="2363"/>
      <c r="V483" s="2192"/>
    </row>
    <row r="484" spans="2:22" s="2186" customFormat="1" ht="17.25" thickBot="1" x14ac:dyDescent="0.35">
      <c r="B484" s="2634"/>
      <c r="C484" s="2638"/>
      <c r="D484" s="3120" t="s">
        <v>164</v>
      </c>
      <c r="E484" s="3121"/>
      <c r="F484" s="3121"/>
      <c r="G484" s="3121"/>
      <c r="H484" s="3121"/>
      <c r="I484" s="3121"/>
      <c r="J484" s="2684"/>
      <c r="K484" s="2684"/>
      <c r="L484" s="2684"/>
      <c r="M484" s="2684"/>
      <c r="N484" s="2684"/>
      <c r="O484" s="2684"/>
      <c r="P484" s="2684"/>
      <c r="Q484" s="2684"/>
      <c r="R484" s="2684"/>
      <c r="S484" s="2685">
        <f>SUM(S482:S483)</f>
        <v>2</v>
      </c>
      <c r="T484" s="2362"/>
      <c r="U484" s="2363"/>
      <c r="V484" s="2192"/>
    </row>
    <row r="485" spans="2:22" x14ac:dyDescent="0.3">
      <c r="B485" s="2642"/>
      <c r="C485" s="2643"/>
      <c r="D485" s="2463"/>
      <c r="E485" s="2467"/>
      <c r="F485" s="2467"/>
      <c r="G485" s="2467"/>
      <c r="H485" s="2467"/>
      <c r="I485" s="2467"/>
      <c r="J485" s="2694"/>
      <c r="K485" s="2694"/>
      <c r="L485" s="2694"/>
      <c r="M485" s="2694"/>
      <c r="N485" s="2694"/>
      <c r="O485" s="2694"/>
      <c r="P485" s="2694"/>
      <c r="Q485" s="2694"/>
      <c r="R485" s="2694"/>
      <c r="S485" s="2737"/>
      <c r="T485" s="2370"/>
      <c r="U485" s="2371"/>
    </row>
    <row r="486" spans="2:22" s="2186" customFormat="1" x14ac:dyDescent="0.3">
      <c r="B486" s="2699" t="str">
        <f>'[61]RAB (2)'!B117</f>
        <v>V</v>
      </c>
      <c r="C486" s="2699" t="str">
        <f>'[61]RAB (2)'!C117</f>
        <v>PEKERJAAN PENUTUP LANTAI &amp; DINDING</v>
      </c>
      <c r="D486" s="2358"/>
      <c r="E486" s="2359"/>
      <c r="F486" s="2360"/>
      <c r="G486" s="2359"/>
      <c r="H486" s="2360"/>
      <c r="I486" s="2359"/>
      <c r="J486" s="2360"/>
      <c r="K486" s="2359"/>
      <c r="L486" s="2360"/>
      <c r="M486" s="2360"/>
      <c r="N486" s="2360"/>
      <c r="O486" s="2359"/>
      <c r="P486" s="2360"/>
      <c r="Q486" s="2359"/>
      <c r="R486" s="2360"/>
      <c r="S486" s="2361"/>
      <c r="T486" s="2362"/>
      <c r="U486" s="2363"/>
      <c r="V486" s="2192"/>
    </row>
    <row r="487" spans="2:22" s="2186" customFormat="1" x14ac:dyDescent="0.3">
      <c r="B487" s="1207">
        <f>'[61]RAB (2)'!B118</f>
        <v>1</v>
      </c>
      <c r="C487" s="2568" t="str">
        <f>'[61]RAB (2)'!C118</f>
        <v xml:space="preserve">Cor Beton bawah lantai </v>
      </c>
      <c r="D487" s="2358"/>
      <c r="E487" s="2359"/>
      <c r="F487" s="2360"/>
      <c r="G487" s="2359"/>
      <c r="H487" s="2360"/>
      <c r="I487" s="2359"/>
      <c r="J487" s="2360"/>
      <c r="K487" s="2359"/>
      <c r="L487" s="2360"/>
      <c r="M487" s="2360"/>
      <c r="N487" s="2360"/>
      <c r="O487" s="2359"/>
      <c r="P487" s="2360"/>
      <c r="Q487" s="2359"/>
      <c r="R487" s="2360"/>
      <c r="S487" s="2361"/>
      <c r="T487" s="2338"/>
      <c r="U487" s="2363" t="s">
        <v>3</v>
      </c>
      <c r="V487" s="2192"/>
    </row>
    <row r="488" spans="2:22" s="2186" customFormat="1" ht="17.25" thickBot="1" x14ac:dyDescent="0.35">
      <c r="B488" s="1207"/>
      <c r="C488" s="2529" t="str">
        <f>'[61]RAB (2)'!D119</f>
        <v>Pasir Urug</v>
      </c>
      <c r="D488" s="2358"/>
      <c r="E488" s="2359"/>
      <c r="F488" s="2360"/>
      <c r="G488" s="2359"/>
      <c r="H488" s="2360"/>
      <c r="I488" s="2359"/>
      <c r="J488" s="2360"/>
      <c r="K488" s="2359"/>
      <c r="L488" s="2360"/>
      <c r="M488" s="2360"/>
      <c r="N488" s="2360"/>
      <c r="O488" s="2359"/>
      <c r="P488" s="2360"/>
      <c r="Q488" s="2359"/>
      <c r="R488" s="2360"/>
      <c r="S488" s="2361"/>
      <c r="T488" s="2338"/>
      <c r="U488" s="2363"/>
      <c r="V488" s="2192"/>
    </row>
    <row r="489" spans="2:22" s="2186" customFormat="1" x14ac:dyDescent="0.3">
      <c r="B489" s="1586"/>
      <c r="C489" s="2529"/>
      <c r="D489" s="2375" t="s">
        <v>95</v>
      </c>
      <c r="E489" s="2376" t="s">
        <v>150</v>
      </c>
      <c r="F489" s="2377"/>
      <c r="G489" s="2376" t="s">
        <v>151</v>
      </c>
      <c r="H489" s="2377"/>
      <c r="I489" s="2376" t="s">
        <v>152</v>
      </c>
      <c r="J489" s="2377"/>
      <c r="K489" s="2376" t="s">
        <v>153</v>
      </c>
      <c r="L489" s="2378"/>
      <c r="M489" s="2378" t="s">
        <v>32</v>
      </c>
      <c r="N489" s="2378"/>
      <c r="O489" s="2379" t="s">
        <v>163</v>
      </c>
      <c r="P489" s="2378"/>
      <c r="Q489" s="2379" t="s">
        <v>151</v>
      </c>
      <c r="R489" s="2378"/>
      <c r="S489" s="2380" t="s">
        <v>143</v>
      </c>
      <c r="T489" s="2362"/>
      <c r="U489" s="2363"/>
      <c r="V489" s="2192"/>
    </row>
    <row r="490" spans="2:22" s="2186" customFormat="1" x14ac:dyDescent="0.3">
      <c r="B490" s="1586"/>
      <c r="C490" s="2529"/>
      <c r="D490" s="2695" t="s">
        <v>771</v>
      </c>
      <c r="E490" s="2732">
        <v>9.5</v>
      </c>
      <c r="F490" s="2452"/>
      <c r="G490" s="2732">
        <v>16</v>
      </c>
      <c r="H490" s="2452"/>
      <c r="I490" s="2342">
        <v>0.03</v>
      </c>
      <c r="J490" s="2534" t="s">
        <v>185</v>
      </c>
      <c r="K490" s="2342">
        <v>1</v>
      </c>
      <c r="L490" s="2342"/>
      <c r="M490" s="2342"/>
      <c r="N490" s="2342"/>
      <c r="O490" s="2342"/>
      <c r="P490" s="2534"/>
      <c r="Q490" s="2342"/>
      <c r="R490" s="2534" t="s">
        <v>114</v>
      </c>
      <c r="S490" s="2536">
        <f>E490*G490*I490*K490</f>
        <v>4.5599999999999996</v>
      </c>
      <c r="T490" s="2362"/>
      <c r="U490" s="2363"/>
      <c r="V490" s="2192"/>
    </row>
    <row r="491" spans="2:22" s="2186" customFormat="1" x14ac:dyDescent="0.3">
      <c r="B491" s="1586"/>
      <c r="C491" s="2529"/>
      <c r="D491" s="2688"/>
      <c r="E491" s="2710"/>
      <c r="F491" s="2710"/>
      <c r="G491" s="2710"/>
      <c r="H491" s="2710"/>
      <c r="I491" s="2710"/>
      <c r="J491" s="2710"/>
      <c r="K491" s="2710"/>
      <c r="L491" s="2710"/>
      <c r="M491" s="2710"/>
      <c r="N491" s="2710"/>
      <c r="O491" s="2710"/>
      <c r="P491" s="2710"/>
      <c r="Q491" s="2710"/>
      <c r="R491" s="2710"/>
      <c r="S491" s="2738"/>
      <c r="T491" s="2362"/>
      <c r="U491" s="2363"/>
      <c r="V491" s="2192"/>
    </row>
    <row r="492" spans="2:22" s="2186" customFormat="1" ht="17.25" thickBot="1" x14ac:dyDescent="0.35">
      <c r="B492" s="1586"/>
      <c r="C492" s="2529"/>
      <c r="D492" s="3122" t="s">
        <v>164</v>
      </c>
      <c r="E492" s="3123"/>
      <c r="F492" s="3123"/>
      <c r="G492" s="3123"/>
      <c r="H492" s="3123"/>
      <c r="I492" s="3123"/>
      <c r="J492" s="2703"/>
      <c r="K492" s="2703"/>
      <c r="L492" s="2703"/>
      <c r="M492" s="2703"/>
      <c r="N492" s="2703"/>
      <c r="O492" s="2703"/>
      <c r="P492" s="2703"/>
      <c r="Q492" s="2703"/>
      <c r="R492" s="2703"/>
      <c r="S492" s="2705">
        <f>SUM(S490:S491)</f>
        <v>4.5599999999999996</v>
      </c>
      <c r="T492" s="2362"/>
      <c r="U492" s="2363"/>
      <c r="V492" s="2192"/>
    </row>
    <row r="493" spans="2:22" s="2186" customFormat="1" x14ac:dyDescent="0.3">
      <c r="B493" s="2739"/>
      <c r="C493" s="2528"/>
      <c r="D493" s="2463"/>
      <c r="E493" s="2467"/>
      <c r="F493" s="2467"/>
      <c r="G493" s="2467"/>
      <c r="H493" s="2467"/>
      <c r="I493" s="2467"/>
      <c r="J493" s="2467"/>
      <c r="K493" s="2694"/>
      <c r="L493" s="2694"/>
      <c r="M493" s="2694"/>
      <c r="N493" s="2694"/>
      <c r="O493" s="2694"/>
      <c r="P493" s="2694"/>
      <c r="Q493" s="2694"/>
      <c r="R493" s="2694"/>
      <c r="S493" s="2737"/>
      <c r="T493" s="2370"/>
      <c r="U493" s="2371"/>
      <c r="V493" s="2192"/>
    </row>
    <row r="494" spans="2:22" s="2186" customFormat="1" ht="17.25" thickBot="1" x14ac:dyDescent="0.35">
      <c r="B494" s="1207"/>
      <c r="C494" s="2358" t="str">
        <f>'[61]RAB (2)'!D120</f>
        <v>Beton Lantai Kerja Mutu f'c=9.8 Mpa</v>
      </c>
      <c r="D494" s="2358"/>
      <c r="E494" s="2359"/>
      <c r="F494" s="2360"/>
      <c r="G494" s="2359"/>
      <c r="H494" s="2360"/>
      <c r="I494" s="2359"/>
      <c r="J494" s="2360"/>
      <c r="K494" s="2359"/>
      <c r="L494" s="2360"/>
      <c r="M494" s="2360"/>
      <c r="N494" s="2360"/>
      <c r="O494" s="2359"/>
      <c r="P494" s="2360"/>
      <c r="Q494" s="2359"/>
      <c r="R494" s="2360"/>
      <c r="S494" s="2361"/>
      <c r="T494" s="2338"/>
      <c r="U494" s="2363" t="s">
        <v>130</v>
      </c>
      <c r="V494" s="2192"/>
    </row>
    <row r="495" spans="2:22" s="2186" customFormat="1" x14ac:dyDescent="0.3">
      <c r="B495" s="1586"/>
      <c r="C495" s="2529"/>
      <c r="D495" s="2722" t="s">
        <v>95</v>
      </c>
      <c r="E495" s="2723" t="s">
        <v>150</v>
      </c>
      <c r="F495" s="2724"/>
      <c r="G495" s="2723" t="s">
        <v>151</v>
      </c>
      <c r="H495" s="2724"/>
      <c r="I495" s="2723" t="s">
        <v>152</v>
      </c>
      <c r="J495" s="2724"/>
      <c r="K495" s="2723" t="s">
        <v>153</v>
      </c>
      <c r="L495" s="2724"/>
      <c r="M495" s="2724" t="s">
        <v>32</v>
      </c>
      <c r="N495" s="2724"/>
      <c r="O495" s="2723" t="s">
        <v>163</v>
      </c>
      <c r="P495" s="2724"/>
      <c r="Q495" s="2723" t="s">
        <v>151</v>
      </c>
      <c r="R495" s="2724"/>
      <c r="S495" s="2725" t="s">
        <v>143</v>
      </c>
      <c r="T495" s="2362"/>
      <c r="U495" s="2363"/>
      <c r="V495" s="2192"/>
    </row>
    <row r="496" spans="2:22" s="2186" customFormat="1" x14ac:dyDescent="0.3">
      <c r="B496" s="1586"/>
      <c r="C496" s="2529"/>
      <c r="D496" s="2695" t="str">
        <f>D490</f>
        <v>Bawah Lantai</v>
      </c>
      <c r="E496" s="2732">
        <v>9.5</v>
      </c>
      <c r="F496" s="2452"/>
      <c r="G496" s="2732">
        <v>16</v>
      </c>
      <c r="H496" s="2452"/>
      <c r="I496" s="2342">
        <v>0.03</v>
      </c>
      <c r="J496" s="2534" t="s">
        <v>185</v>
      </c>
      <c r="K496" s="2342">
        <v>1</v>
      </c>
      <c r="L496" s="2342"/>
      <c r="M496" s="2342"/>
      <c r="N496" s="2342"/>
      <c r="O496" s="2342"/>
      <c r="P496" s="2534"/>
      <c r="Q496" s="2342"/>
      <c r="R496" s="2534" t="s">
        <v>114</v>
      </c>
      <c r="S496" s="2536">
        <f>E496*G496*I496*K496</f>
        <v>4.5599999999999996</v>
      </c>
      <c r="T496" s="2362"/>
      <c r="U496" s="2363"/>
      <c r="V496" s="2192"/>
    </row>
    <row r="497" spans="2:22" s="2186" customFormat="1" x14ac:dyDescent="0.3">
      <c r="B497" s="1586"/>
      <c r="C497" s="2529"/>
      <c r="D497" s="2683"/>
      <c r="E497" s="2696"/>
      <c r="F497" s="2696"/>
      <c r="G497" s="2696"/>
      <c r="H497" s="2696"/>
      <c r="I497" s="2434"/>
      <c r="J497" s="2434"/>
      <c r="K497" s="2434"/>
      <c r="L497" s="2434"/>
      <c r="M497" s="2434"/>
      <c r="N497" s="2434"/>
      <c r="O497" s="2434"/>
      <c r="P497" s="2434"/>
      <c r="Q497" s="2434"/>
      <c r="R497" s="2434"/>
      <c r="S497" s="2542"/>
      <c r="T497" s="2362"/>
      <c r="U497" s="2363"/>
      <c r="V497" s="2192"/>
    </row>
    <row r="498" spans="2:22" s="2186" customFormat="1" ht="17.25" thickBot="1" x14ac:dyDescent="0.35">
      <c r="B498" s="1586"/>
      <c r="C498" s="2529"/>
      <c r="D498" s="3115" t="s">
        <v>164</v>
      </c>
      <c r="E498" s="3116"/>
      <c r="F498" s="3116"/>
      <c r="G498" s="3116"/>
      <c r="H498" s="3116"/>
      <c r="I498" s="3116"/>
      <c r="J498" s="2684"/>
      <c r="K498" s="2684"/>
      <c r="L498" s="2684"/>
      <c r="M498" s="2684"/>
      <c r="N498" s="2684"/>
      <c r="O498" s="2684"/>
      <c r="P498" s="2684"/>
      <c r="Q498" s="2740">
        <f>SUM(Q496:Q496)</f>
        <v>0</v>
      </c>
      <c r="R498" s="2740"/>
      <c r="S498" s="2741">
        <f>SUM(S496:S497)</f>
        <v>4.5599999999999996</v>
      </c>
      <c r="T498" s="2362"/>
      <c r="U498" s="2363"/>
      <c r="V498" s="2192"/>
    </row>
    <row r="499" spans="2:22" s="2186" customFormat="1" x14ac:dyDescent="0.3">
      <c r="B499" s="2739"/>
      <c r="C499" s="2528"/>
      <c r="D499" s="2463"/>
      <c r="E499" s="2467"/>
      <c r="F499" s="2467"/>
      <c r="G499" s="2467"/>
      <c r="H499" s="2467"/>
      <c r="I499" s="2467"/>
      <c r="J499" s="2467"/>
      <c r="K499" s="2694"/>
      <c r="L499" s="2694"/>
      <c r="M499" s="2694"/>
      <c r="N499" s="2694"/>
      <c r="O499" s="2694"/>
      <c r="P499" s="2694"/>
      <c r="Q499" s="2694"/>
      <c r="R499" s="2694"/>
      <c r="S499" s="2737"/>
      <c r="T499" s="2370"/>
      <c r="U499" s="2371"/>
      <c r="V499" s="2192"/>
    </row>
    <row r="500" spans="2:22" s="2186" customFormat="1" ht="17.25" thickBot="1" x14ac:dyDescent="0.35">
      <c r="B500" s="2634"/>
      <c r="C500" s="2638" t="str">
        <f>'[61]RAB (2)'!D121</f>
        <v>Pembesian Whiremas M-6</v>
      </c>
      <c r="D500" s="2636"/>
      <c r="E500" s="2636"/>
      <c r="F500" s="2636"/>
      <c r="G500" s="2636"/>
      <c r="H500" s="2636"/>
      <c r="I500" s="2636"/>
      <c r="J500" s="2636"/>
      <c r="K500" s="2742"/>
      <c r="L500" s="2743"/>
      <c r="M500" s="2744"/>
      <c r="N500" s="2744"/>
      <c r="O500" s="2745"/>
      <c r="P500" s="2744"/>
      <c r="Q500" s="2746"/>
      <c r="R500" s="2744"/>
      <c r="S500" s="2747"/>
      <c r="T500" s="2338"/>
      <c r="U500" s="2363" t="s">
        <v>0</v>
      </c>
      <c r="V500" s="2192"/>
    </row>
    <row r="501" spans="2:22" s="2186" customFormat="1" x14ac:dyDescent="0.3">
      <c r="B501" s="2634"/>
      <c r="C501" s="2638"/>
      <c r="D501" s="2375" t="s">
        <v>95</v>
      </c>
      <c r="E501" s="2748" t="s">
        <v>150</v>
      </c>
      <c r="F501" s="2749"/>
      <c r="G501" s="2748" t="s">
        <v>151</v>
      </c>
      <c r="H501" s="2749"/>
      <c r="I501" s="2748" t="s">
        <v>152</v>
      </c>
      <c r="J501" s="2749"/>
      <c r="K501" s="2748" t="s">
        <v>153</v>
      </c>
      <c r="L501" s="2750"/>
      <c r="M501" s="2750" t="s">
        <v>32</v>
      </c>
      <c r="N501" s="2750"/>
      <c r="O501" s="2751" t="s">
        <v>163</v>
      </c>
      <c r="P501" s="2750"/>
      <c r="Q501" s="2752" t="s">
        <v>151</v>
      </c>
      <c r="R501" s="2750"/>
      <c r="S501" s="2753" t="s">
        <v>143</v>
      </c>
      <c r="T501" s="2362"/>
      <c r="U501" s="2363"/>
      <c r="V501" s="2192"/>
    </row>
    <row r="502" spans="2:22" s="2186" customFormat="1" x14ac:dyDescent="0.3">
      <c r="B502" s="2372"/>
      <c r="C502" s="2358"/>
      <c r="D502" s="2754" t="s">
        <v>717</v>
      </c>
      <c r="E502" s="2732">
        <v>9.5</v>
      </c>
      <c r="F502" s="2452"/>
      <c r="G502" s="2732">
        <v>16</v>
      </c>
      <c r="H502" s="2452"/>
      <c r="I502" s="2342"/>
      <c r="J502" s="2534"/>
      <c r="K502" s="2755">
        <v>1</v>
      </c>
      <c r="L502" s="2756"/>
      <c r="M502" s="2756"/>
      <c r="N502" s="2756"/>
      <c r="O502" s="2756">
        <v>3.07</v>
      </c>
      <c r="P502" s="2756"/>
      <c r="Q502" s="2756"/>
      <c r="R502" s="2663"/>
      <c r="S502" s="2757">
        <f>E502*G502*K502*O502</f>
        <v>466.64</v>
      </c>
      <c r="T502" s="2381"/>
      <c r="U502" s="2363"/>
      <c r="V502" s="2192"/>
    </row>
    <row r="503" spans="2:22" s="2186" customFormat="1" x14ac:dyDescent="0.3">
      <c r="B503" s="2634"/>
      <c r="C503" s="2638"/>
      <c r="D503" s="2758"/>
      <c r="E503" s="2759"/>
      <c r="F503" s="2760"/>
      <c r="G503" s="2759"/>
      <c r="H503" s="2760"/>
      <c r="I503" s="2759"/>
      <c r="J503" s="2760"/>
      <c r="K503" s="2759"/>
      <c r="L503" s="2761"/>
      <c r="M503" s="2761"/>
      <c r="N503" s="2761"/>
      <c r="O503" s="2759"/>
      <c r="P503" s="2761"/>
      <c r="Q503" s="2762"/>
      <c r="R503" s="2760"/>
      <c r="S503" s="2763"/>
      <c r="T503" s="2362"/>
      <c r="U503" s="2363"/>
      <c r="V503" s="2192"/>
    </row>
    <row r="504" spans="2:22" s="2186" customFormat="1" ht="17.25" thickBot="1" x14ac:dyDescent="0.35">
      <c r="B504" s="2634"/>
      <c r="C504" s="2638"/>
      <c r="D504" s="3117" t="s">
        <v>164</v>
      </c>
      <c r="E504" s="3118"/>
      <c r="F504" s="3118"/>
      <c r="G504" s="3118"/>
      <c r="H504" s="3118"/>
      <c r="I504" s="3119"/>
      <c r="J504" s="2764"/>
      <c r="K504" s="2765"/>
      <c r="L504" s="2766"/>
      <c r="M504" s="2767"/>
      <c r="N504" s="2767"/>
      <c r="O504" s="2768"/>
      <c r="P504" s="2767"/>
      <c r="Q504" s="2769"/>
      <c r="R504" s="2767"/>
      <c r="S504" s="2770">
        <f>SUM(S502:S503)</f>
        <v>466.64</v>
      </c>
      <c r="T504" s="2362"/>
      <c r="U504" s="2363"/>
      <c r="V504" s="2192"/>
    </row>
    <row r="505" spans="2:22" s="2186" customFormat="1" x14ac:dyDescent="0.3">
      <c r="B505" s="2699"/>
      <c r="C505" s="2680"/>
      <c r="D505" s="2358"/>
      <c r="E505" s="2359"/>
      <c r="F505" s="2360"/>
      <c r="G505" s="2359"/>
      <c r="H505" s="2360"/>
      <c r="I505" s="2359"/>
      <c r="J505" s="2360"/>
      <c r="K505" s="2359"/>
      <c r="L505" s="2360"/>
      <c r="M505" s="2360"/>
      <c r="N505" s="2360"/>
      <c r="O505" s="2359"/>
      <c r="P505" s="2360"/>
      <c r="Q505" s="2359"/>
      <c r="R505" s="2360"/>
      <c r="S505" s="2361"/>
      <c r="T505" s="2362"/>
      <c r="U505" s="2363"/>
      <c r="V505" s="2192"/>
    </row>
    <row r="506" spans="2:22" s="2186" customFormat="1" ht="17.25" thickBot="1" x14ac:dyDescent="0.35">
      <c r="B506" s="1586">
        <f>'[61]RAB (2)'!B122</f>
        <v>2</v>
      </c>
      <c r="C506" s="1586" t="str">
        <f>'[61]RAB (2)'!C122</f>
        <v xml:space="preserve">Lantai Keramik Polish Uk. (60 x 60) Cm </v>
      </c>
      <c r="D506" s="2530"/>
      <c r="E506" s="2531"/>
      <c r="F506" s="2531"/>
      <c r="G506" s="2531"/>
      <c r="H506" s="2531"/>
      <c r="I506" s="2531"/>
      <c r="J506" s="2531"/>
      <c r="K506" s="2697"/>
      <c r="L506" s="2697"/>
      <c r="M506" s="2697"/>
      <c r="N506" s="2697"/>
      <c r="O506" s="2697"/>
      <c r="P506" s="2697"/>
      <c r="Q506" s="2697"/>
      <c r="R506" s="2697"/>
      <c r="S506" s="2698"/>
      <c r="T506" s="2338"/>
      <c r="U506" s="2363" t="s">
        <v>2</v>
      </c>
      <c r="V506" s="2192"/>
    </row>
    <row r="507" spans="2:22" s="2186" customFormat="1" x14ac:dyDescent="0.3">
      <c r="B507" s="1586"/>
      <c r="C507" s="2529"/>
      <c r="D507" s="2722" t="s">
        <v>95</v>
      </c>
      <c r="E507" s="2723" t="s">
        <v>150</v>
      </c>
      <c r="F507" s="2724"/>
      <c r="G507" s="2723" t="s">
        <v>151</v>
      </c>
      <c r="H507" s="2724"/>
      <c r="I507" s="2723" t="s">
        <v>152</v>
      </c>
      <c r="J507" s="2724"/>
      <c r="K507" s="2723" t="s">
        <v>153</v>
      </c>
      <c r="L507" s="2724"/>
      <c r="M507" s="2724" t="s">
        <v>32</v>
      </c>
      <c r="N507" s="2724"/>
      <c r="O507" s="2723" t="s">
        <v>163</v>
      </c>
      <c r="P507" s="2724"/>
      <c r="Q507" s="2723" t="s">
        <v>151</v>
      </c>
      <c r="R507" s="2724"/>
      <c r="S507" s="2725" t="s">
        <v>143</v>
      </c>
      <c r="T507" s="2362"/>
      <c r="U507" s="2363"/>
      <c r="V507" s="2192"/>
    </row>
    <row r="508" spans="2:22" s="2186" customFormat="1" x14ac:dyDescent="0.3">
      <c r="B508" s="1586"/>
      <c r="C508" s="2638"/>
      <c r="D508" s="2726" t="s">
        <v>1336</v>
      </c>
      <c r="E508" s="2342"/>
      <c r="F508" s="2534"/>
      <c r="G508" s="2342">
        <v>92.66</v>
      </c>
      <c r="H508" s="2534"/>
      <c r="I508" s="2342"/>
      <c r="J508" s="2534"/>
      <c r="K508" s="2342">
        <v>1</v>
      </c>
      <c r="L508" s="2342" t="s">
        <v>1364</v>
      </c>
      <c r="M508" s="2342">
        <f>0.4*0.4*2</f>
        <v>0.32000000000000006</v>
      </c>
      <c r="N508" s="2342"/>
      <c r="O508" s="2342"/>
      <c r="P508" s="2534"/>
      <c r="Q508" s="2342">
        <f>(G508*K508)-M508</f>
        <v>92.34</v>
      </c>
      <c r="R508" s="2534"/>
      <c r="S508" s="2536"/>
      <c r="T508" s="2362"/>
      <c r="U508" s="2363"/>
      <c r="V508" s="2192"/>
    </row>
    <row r="509" spans="2:22" s="2186" customFormat="1" x14ac:dyDescent="0.3">
      <c r="B509" s="1586"/>
      <c r="C509" s="2638"/>
      <c r="D509" s="2771" t="s">
        <v>1365</v>
      </c>
      <c r="E509" s="2590"/>
      <c r="F509" s="2589"/>
      <c r="G509" s="2337">
        <v>30.6</v>
      </c>
      <c r="H509" s="2454"/>
      <c r="I509" s="2337"/>
      <c r="J509" s="2454"/>
      <c r="K509" s="2337">
        <v>1</v>
      </c>
      <c r="L509" s="2337"/>
      <c r="M509" s="2337"/>
      <c r="N509" s="2337"/>
      <c r="O509" s="2337"/>
      <c r="P509" s="2454"/>
      <c r="Q509" s="2337">
        <f>G509*K509</f>
        <v>30.6</v>
      </c>
      <c r="R509" s="2589"/>
      <c r="S509" s="2591"/>
      <c r="T509" s="2362"/>
      <c r="U509" s="2363"/>
      <c r="V509" s="2192"/>
    </row>
    <row r="510" spans="2:22" s="2186" customFormat="1" x14ac:dyDescent="0.3">
      <c r="B510" s="1586"/>
      <c r="C510" s="2638"/>
      <c r="D510" s="2771"/>
      <c r="E510" s="2590"/>
      <c r="F510" s="2589"/>
      <c r="G510" s="2337"/>
      <c r="H510" s="2454"/>
      <c r="I510" s="2337"/>
      <c r="J510" s="2454"/>
      <c r="K510" s="2337"/>
      <c r="L510" s="2337"/>
      <c r="M510" s="2337"/>
      <c r="N510" s="2337"/>
      <c r="O510" s="2337"/>
      <c r="P510" s="2454"/>
      <c r="Q510" s="2337"/>
      <c r="R510" s="2589"/>
      <c r="S510" s="2591"/>
      <c r="T510" s="2362"/>
      <c r="U510" s="2363"/>
      <c r="V510" s="2192"/>
    </row>
    <row r="511" spans="2:22" s="2186" customFormat="1" x14ac:dyDescent="0.3">
      <c r="B511" s="1586"/>
      <c r="C511" s="2638"/>
      <c r="D511" s="2701" t="s">
        <v>1331</v>
      </c>
      <c r="E511" s="2337"/>
      <c r="F511" s="2454"/>
      <c r="G511" s="2337"/>
      <c r="H511" s="2454"/>
      <c r="I511" s="2337"/>
      <c r="J511" s="2454"/>
      <c r="K511" s="2337"/>
      <c r="L511" s="2337"/>
      <c r="M511" s="2337"/>
      <c r="N511" s="2337"/>
      <c r="O511" s="2337"/>
      <c r="P511" s="2454"/>
      <c r="Q511" s="2337"/>
      <c r="R511" s="2454"/>
      <c r="S511" s="2455"/>
      <c r="T511" s="2362"/>
      <c r="U511" s="2363"/>
      <c r="V511" s="2192"/>
    </row>
    <row r="512" spans="2:22" s="2186" customFormat="1" x14ac:dyDescent="0.3">
      <c r="B512" s="1586"/>
      <c r="C512" s="2638"/>
      <c r="D512" s="2232" t="s">
        <v>155</v>
      </c>
      <c r="E512" s="2337">
        <v>1.82</v>
      </c>
      <c r="F512" s="2454" t="s">
        <v>185</v>
      </c>
      <c r="G512" s="2337">
        <v>0.48</v>
      </c>
      <c r="H512" s="2454" t="s">
        <v>185</v>
      </c>
      <c r="I512" s="2337"/>
      <c r="J512" s="2454"/>
      <c r="K512" s="2337">
        <v>20</v>
      </c>
      <c r="L512" s="2337"/>
      <c r="M512" s="2337">
        <v>1</v>
      </c>
      <c r="N512" s="2337"/>
      <c r="O512" s="2337"/>
      <c r="P512" s="2454" t="s">
        <v>114</v>
      </c>
      <c r="Q512" s="2337">
        <f>K512*G512*E512*M512</f>
        <v>17.472000000000001</v>
      </c>
      <c r="R512" s="2454"/>
      <c r="S512" s="2455"/>
      <c r="T512" s="2362"/>
      <c r="U512" s="2363"/>
      <c r="V512" s="2192"/>
    </row>
    <row r="513" spans="2:22" s="2186" customFormat="1" x14ac:dyDescent="0.3">
      <c r="B513" s="1586"/>
      <c r="C513" s="2638"/>
      <c r="D513" s="2232" t="s">
        <v>158</v>
      </c>
      <c r="E513" s="2337">
        <v>3.8</v>
      </c>
      <c r="F513" s="2454" t="s">
        <v>185</v>
      </c>
      <c r="G513" s="2337">
        <v>2</v>
      </c>
      <c r="H513" s="2454" t="s">
        <v>185</v>
      </c>
      <c r="I513" s="2337"/>
      <c r="J513" s="2454"/>
      <c r="K513" s="2337">
        <v>1</v>
      </c>
      <c r="L513" s="2337"/>
      <c r="M513" s="2337"/>
      <c r="N513" s="2337"/>
      <c r="O513" s="2337"/>
      <c r="P513" s="2454" t="s">
        <v>114</v>
      </c>
      <c r="Q513" s="2337">
        <f>K513*G513*E513</f>
        <v>7.6</v>
      </c>
      <c r="R513" s="2454"/>
      <c r="S513" s="2455"/>
      <c r="T513" s="2362"/>
      <c r="U513" s="2363"/>
      <c r="V513" s="2192"/>
    </row>
    <row r="514" spans="2:22" s="2186" customFormat="1" x14ac:dyDescent="0.3">
      <c r="B514" s="1586"/>
      <c r="C514" s="2638"/>
      <c r="D514" s="2702" t="s">
        <v>271</v>
      </c>
      <c r="E514" s="2337">
        <v>1.82</v>
      </c>
      <c r="F514" s="2454" t="s">
        <v>185</v>
      </c>
      <c r="G514" s="2337">
        <v>1.62</v>
      </c>
      <c r="H514" s="2454" t="s">
        <v>185</v>
      </c>
      <c r="I514" s="2337"/>
      <c r="J514" s="2454"/>
      <c r="K514" s="2337">
        <v>1</v>
      </c>
      <c r="L514" s="2337"/>
      <c r="M514" s="2337"/>
      <c r="N514" s="2337"/>
      <c r="O514" s="2337"/>
      <c r="P514" s="2454" t="s">
        <v>114</v>
      </c>
      <c r="Q514" s="2337">
        <f>K514*G514*E514</f>
        <v>2.9484000000000004</v>
      </c>
      <c r="R514" s="2716"/>
      <c r="S514" s="2689"/>
      <c r="T514" s="2362"/>
      <c r="U514" s="2363"/>
      <c r="V514" s="2192"/>
    </row>
    <row r="515" spans="2:22" s="2186" customFormat="1" x14ac:dyDescent="0.3">
      <c r="B515" s="1586"/>
      <c r="C515" s="2529"/>
      <c r="D515" s="2683"/>
      <c r="E515" s="2434"/>
      <c r="F515" s="2434"/>
      <c r="G515" s="2434"/>
      <c r="H515" s="2434"/>
      <c r="I515" s="2434"/>
      <c r="J515" s="2434"/>
      <c r="K515" s="2434"/>
      <c r="L515" s="2434"/>
      <c r="M515" s="2434"/>
      <c r="N515" s="2434"/>
      <c r="O515" s="2434"/>
      <c r="P515" s="2434"/>
      <c r="Q515" s="2434"/>
      <c r="R515" s="2434"/>
      <c r="S515" s="2542"/>
      <c r="T515" s="2362"/>
      <c r="U515" s="2363"/>
      <c r="V515" s="2192"/>
    </row>
    <row r="516" spans="2:22" s="2186" customFormat="1" ht="17.25" thickBot="1" x14ac:dyDescent="0.35">
      <c r="B516" s="1586"/>
      <c r="C516" s="2529"/>
      <c r="D516" s="3115" t="s">
        <v>164</v>
      </c>
      <c r="E516" s="3116"/>
      <c r="F516" s="3116"/>
      <c r="G516" s="3116"/>
      <c r="H516" s="3116"/>
      <c r="I516" s="3116"/>
      <c r="J516" s="2684"/>
      <c r="K516" s="2684"/>
      <c r="L516" s="2684"/>
      <c r="M516" s="2684"/>
      <c r="N516" s="2684"/>
      <c r="O516" s="2684"/>
      <c r="P516" s="2684"/>
      <c r="Q516" s="2740">
        <f>SUM(Q508:Q515)</f>
        <v>150.96039999999999</v>
      </c>
      <c r="R516" s="2684"/>
      <c r="S516" s="2685"/>
      <c r="T516" s="2362"/>
      <c r="U516" s="2363"/>
      <c r="V516" s="2192"/>
    </row>
    <row r="517" spans="2:22" x14ac:dyDescent="0.3">
      <c r="B517" s="2739"/>
      <c r="C517" s="2528"/>
      <c r="D517" s="2463"/>
      <c r="E517" s="2467"/>
      <c r="F517" s="2467"/>
      <c r="G517" s="2467"/>
      <c r="H517" s="2467"/>
      <c r="I517" s="2467"/>
      <c r="J517" s="2467"/>
      <c r="K517" s="2694"/>
      <c r="L517" s="2694"/>
      <c r="M517" s="2694"/>
      <c r="N517" s="2694"/>
      <c r="O517" s="2694"/>
      <c r="P517" s="2694"/>
      <c r="Q517" s="2694"/>
      <c r="R517" s="2694"/>
      <c r="S517" s="2737"/>
      <c r="T517" s="2370"/>
      <c r="U517" s="2371"/>
    </row>
    <row r="518" spans="2:22" s="2186" customFormat="1" ht="17.25" thickBot="1" x14ac:dyDescent="0.35">
      <c r="B518" s="1586"/>
      <c r="C518" s="2529" t="str">
        <f>'[61]RAB (2)'!C122</f>
        <v xml:space="preserve">Lantai Keramik Polish Uk. (60 x 60) Cm </v>
      </c>
      <c r="D518" s="2530"/>
      <c r="E518" s="2531"/>
      <c r="F518" s="2531"/>
      <c r="G518" s="2531"/>
      <c r="H518" s="2531"/>
      <c r="I518" s="2531"/>
      <c r="J518" s="2531"/>
      <c r="K518" s="2697"/>
      <c r="L518" s="2697"/>
      <c r="M518" s="2697"/>
      <c r="N518" s="2697"/>
      <c r="O518" s="2697"/>
      <c r="P518" s="2697"/>
      <c r="Q518" s="2697"/>
      <c r="R518" s="2697"/>
      <c r="S518" s="2698"/>
      <c r="T518" s="2338"/>
      <c r="U518" s="2363" t="s">
        <v>2</v>
      </c>
      <c r="V518" s="2192"/>
    </row>
    <row r="519" spans="2:22" s="2186" customFormat="1" x14ac:dyDescent="0.3">
      <c r="B519" s="1586"/>
      <c r="C519" s="2529"/>
      <c r="D519" s="2375" t="s">
        <v>95</v>
      </c>
      <c r="E519" s="2376" t="s">
        <v>150</v>
      </c>
      <c r="F519" s="2377"/>
      <c r="G519" s="2376" t="s">
        <v>151</v>
      </c>
      <c r="H519" s="2377"/>
      <c r="I519" s="2376" t="s">
        <v>152</v>
      </c>
      <c r="J519" s="2377"/>
      <c r="K519" s="2376" t="s">
        <v>153</v>
      </c>
      <c r="L519" s="2378"/>
      <c r="M519" s="2378" t="s">
        <v>32</v>
      </c>
      <c r="N519" s="2378"/>
      <c r="O519" s="2379" t="s">
        <v>163</v>
      </c>
      <c r="P519" s="2378"/>
      <c r="Q519" s="2379" t="s">
        <v>151</v>
      </c>
      <c r="R519" s="2378"/>
      <c r="S519" s="2380" t="s">
        <v>143</v>
      </c>
      <c r="T519" s="2362"/>
      <c r="U519" s="2363"/>
      <c r="V519" s="2192"/>
    </row>
    <row r="520" spans="2:22" s="2186" customFormat="1" x14ac:dyDescent="0.3">
      <c r="B520" s="1586"/>
      <c r="C520" s="2529"/>
      <c r="D520" s="2726" t="s">
        <v>1366</v>
      </c>
      <c r="E520" s="2590"/>
      <c r="F520" s="2589"/>
      <c r="G520" s="2337">
        <v>31.04</v>
      </c>
      <c r="H520" s="2454"/>
      <c r="I520" s="2337"/>
      <c r="J520" s="2454"/>
      <c r="K520" s="2337">
        <v>1</v>
      </c>
      <c r="L520" s="2337"/>
      <c r="M520" s="2337"/>
      <c r="N520" s="2337"/>
      <c r="O520" s="2337"/>
      <c r="P520" s="2454"/>
      <c r="Q520" s="2337">
        <f>G520*K520</f>
        <v>31.04</v>
      </c>
      <c r="R520" s="2534"/>
      <c r="S520" s="2536"/>
      <c r="T520" s="2362"/>
      <c r="U520" s="2363"/>
      <c r="V520" s="2192"/>
    </row>
    <row r="521" spans="2:22" s="2186" customFormat="1" x14ac:dyDescent="0.3">
      <c r="B521" s="1586"/>
      <c r="C521" s="2529"/>
      <c r="D521" s="2683"/>
      <c r="E521" s="2434"/>
      <c r="F521" s="2434"/>
      <c r="G521" s="2434"/>
      <c r="H521" s="2434"/>
      <c r="I521" s="2434"/>
      <c r="J521" s="2434"/>
      <c r="K521" s="2434"/>
      <c r="L521" s="2434"/>
      <c r="M521" s="2434"/>
      <c r="N521" s="2434"/>
      <c r="O521" s="2434"/>
      <c r="P521" s="2434"/>
      <c r="Q521" s="2434"/>
      <c r="R521" s="2434"/>
      <c r="S521" s="2542"/>
      <c r="T521" s="2362"/>
      <c r="U521" s="2363"/>
      <c r="V521" s="2192"/>
    </row>
    <row r="522" spans="2:22" s="2186" customFormat="1" ht="17.25" thickBot="1" x14ac:dyDescent="0.35">
      <c r="B522" s="1586"/>
      <c r="C522" s="2529"/>
      <c r="D522" s="3115" t="s">
        <v>164</v>
      </c>
      <c r="E522" s="3116"/>
      <c r="F522" s="3116"/>
      <c r="G522" s="3116"/>
      <c r="H522" s="3116"/>
      <c r="I522" s="3116"/>
      <c r="J522" s="2684"/>
      <c r="K522" s="2684"/>
      <c r="L522" s="2684"/>
      <c r="M522" s="2684"/>
      <c r="N522" s="2684"/>
      <c r="O522" s="2684"/>
      <c r="P522" s="2684"/>
      <c r="Q522" s="2772">
        <f>SUM(Q520:Q521)</f>
        <v>31.04</v>
      </c>
      <c r="R522" s="2684"/>
      <c r="S522" s="2685"/>
      <c r="T522" s="2362"/>
      <c r="U522" s="2363"/>
      <c r="V522" s="2192"/>
    </row>
    <row r="523" spans="2:22" x14ac:dyDescent="0.3">
      <c r="B523" s="2739"/>
      <c r="C523" s="2528"/>
      <c r="D523" s="2463"/>
      <c r="E523" s="2467"/>
      <c r="F523" s="2467"/>
      <c r="G523" s="2467"/>
      <c r="H523" s="2467"/>
      <c r="I523" s="2467"/>
      <c r="J523" s="2467"/>
      <c r="K523" s="2694"/>
      <c r="L523" s="2694"/>
      <c r="M523" s="2694"/>
      <c r="N523" s="2694"/>
      <c r="O523" s="2694"/>
      <c r="P523" s="2694"/>
      <c r="Q523" s="2694"/>
      <c r="R523" s="2694"/>
      <c r="S523" s="2737"/>
      <c r="T523" s="2370"/>
      <c r="U523" s="2371"/>
    </row>
    <row r="524" spans="2:22" s="2186" customFormat="1" ht="17.25" thickBot="1" x14ac:dyDescent="0.35">
      <c r="B524" s="1586">
        <f>'[61]RAB (2)'!B123</f>
        <v>3</v>
      </c>
      <c r="C524" s="1586" t="str">
        <f>'[61]RAB (2)'!C123</f>
        <v xml:space="preserve">Dinding Kramik Uk. (40 x 40) Cm polished </v>
      </c>
      <c r="D524" s="2530"/>
      <c r="E524" s="2531"/>
      <c r="F524" s="2531"/>
      <c r="G524" s="2531"/>
      <c r="H524" s="2531"/>
      <c r="I524" s="2531"/>
      <c r="J524" s="2531"/>
      <c r="K524" s="2697"/>
      <c r="L524" s="2697"/>
      <c r="M524" s="2697"/>
      <c r="N524" s="2697"/>
      <c r="O524" s="2697"/>
      <c r="P524" s="2697"/>
      <c r="Q524" s="2697"/>
      <c r="R524" s="2697"/>
      <c r="S524" s="2698"/>
      <c r="T524" s="2338"/>
      <c r="U524" s="2363" t="s">
        <v>2</v>
      </c>
      <c r="V524" s="2192"/>
    </row>
    <row r="525" spans="2:22" s="2186" customFormat="1" x14ac:dyDescent="0.3">
      <c r="B525" s="1586"/>
      <c r="C525" s="2529"/>
      <c r="D525" s="2375" t="s">
        <v>95</v>
      </c>
      <c r="E525" s="2376" t="s">
        <v>150</v>
      </c>
      <c r="F525" s="2377"/>
      <c r="G525" s="2376" t="s">
        <v>151</v>
      </c>
      <c r="H525" s="2377"/>
      <c r="I525" s="2376" t="s">
        <v>152</v>
      </c>
      <c r="J525" s="2377"/>
      <c r="K525" s="2376" t="s">
        <v>153</v>
      </c>
      <c r="L525" s="2378"/>
      <c r="M525" s="2378" t="s">
        <v>32</v>
      </c>
      <c r="N525" s="2378"/>
      <c r="O525" s="2379" t="s">
        <v>163</v>
      </c>
      <c r="P525" s="2378"/>
      <c r="Q525" s="2379" t="s">
        <v>151</v>
      </c>
      <c r="R525" s="2378"/>
      <c r="S525" s="2380" t="s">
        <v>143</v>
      </c>
      <c r="T525" s="2362"/>
      <c r="U525" s="2363"/>
      <c r="V525" s="2192"/>
    </row>
    <row r="526" spans="2:22" s="2186" customFormat="1" x14ac:dyDescent="0.3">
      <c r="B526" s="1586"/>
      <c r="C526" s="2529"/>
      <c r="D526" s="2726" t="s">
        <v>1340</v>
      </c>
      <c r="E526" s="2342">
        <f>7.4-0.7</f>
        <v>6.7</v>
      </c>
      <c r="F526" s="2534" t="s">
        <v>185</v>
      </c>
      <c r="G526" s="2342"/>
      <c r="H526" s="2534"/>
      <c r="I526" s="2342">
        <v>2</v>
      </c>
      <c r="J526" s="2534"/>
      <c r="K526" s="2342">
        <v>2</v>
      </c>
      <c r="L526" s="2342"/>
      <c r="M526" s="2342"/>
      <c r="N526" s="2342"/>
      <c r="O526" s="2342"/>
      <c r="P526" s="2534" t="s">
        <v>114</v>
      </c>
      <c r="Q526" s="2342">
        <f>I526*E526*K526</f>
        <v>26.8</v>
      </c>
      <c r="R526" s="2534"/>
      <c r="S526" s="2536"/>
      <c r="T526" s="2362"/>
      <c r="U526" s="2363"/>
      <c r="V526" s="2192"/>
    </row>
    <row r="527" spans="2:22" s="2186" customFormat="1" x14ac:dyDescent="0.3">
      <c r="B527" s="1586"/>
      <c r="C527" s="2529"/>
      <c r="D527" s="2683"/>
      <c r="E527" s="2434"/>
      <c r="F527" s="2434"/>
      <c r="G527" s="2434"/>
      <c r="H527" s="2434"/>
      <c r="I527" s="2434"/>
      <c r="J527" s="2434"/>
      <c r="K527" s="2434"/>
      <c r="L527" s="2434"/>
      <c r="M527" s="2434"/>
      <c r="N527" s="2434"/>
      <c r="O527" s="2434"/>
      <c r="P527" s="2434"/>
      <c r="Q527" s="2434"/>
      <c r="R527" s="2434"/>
      <c r="S527" s="2542"/>
      <c r="T527" s="2362"/>
      <c r="U527" s="2363"/>
      <c r="V527" s="2192"/>
    </row>
    <row r="528" spans="2:22" s="2186" customFormat="1" ht="17.25" thickBot="1" x14ac:dyDescent="0.35">
      <c r="B528" s="1586"/>
      <c r="C528" s="2529"/>
      <c r="D528" s="3115" t="s">
        <v>164</v>
      </c>
      <c r="E528" s="3116"/>
      <c r="F528" s="3116"/>
      <c r="G528" s="3116"/>
      <c r="H528" s="3116"/>
      <c r="I528" s="3116"/>
      <c r="J528" s="2684"/>
      <c r="K528" s="2684"/>
      <c r="L528" s="2684"/>
      <c r="M528" s="2684"/>
      <c r="N528" s="2684"/>
      <c r="O528" s="2684"/>
      <c r="P528" s="2684"/>
      <c r="Q528" s="2740">
        <f>SUM(Q526:Q527)</f>
        <v>26.8</v>
      </c>
      <c r="R528" s="2684"/>
      <c r="S528" s="2685"/>
      <c r="T528" s="2362"/>
      <c r="U528" s="2363"/>
      <c r="V528" s="2192"/>
    </row>
    <row r="529" spans="2:22" s="2186" customFormat="1" x14ac:dyDescent="0.3">
      <c r="B529" s="1586"/>
      <c r="C529" s="2529"/>
      <c r="D529" s="2706"/>
      <c r="E529" s="2706"/>
      <c r="F529" s="2706"/>
      <c r="G529" s="2706"/>
      <c r="H529" s="2706"/>
      <c r="I529" s="2706"/>
      <c r="J529" s="2707"/>
      <c r="K529" s="2707"/>
      <c r="L529" s="2707"/>
      <c r="M529" s="2707"/>
      <c r="N529" s="2707"/>
      <c r="O529" s="2707"/>
      <c r="P529" s="2707"/>
      <c r="Q529" s="2707"/>
      <c r="R529" s="2707"/>
      <c r="S529" s="2708"/>
      <c r="T529" s="2362"/>
      <c r="U529" s="2363"/>
      <c r="V529" s="2192"/>
    </row>
    <row r="530" spans="2:22" s="2186" customFormat="1" ht="17.25" thickBot="1" x14ac:dyDescent="0.35">
      <c r="B530" s="1586">
        <f>'[61]RAB (2)'!B124</f>
        <v>4</v>
      </c>
      <c r="C530" s="1586" t="str">
        <f>'[61]RAB (2)'!C124</f>
        <v xml:space="preserve">Lantai Kramik Uk. (40 x 40) Cm unpolished </v>
      </c>
      <c r="D530" s="2530"/>
      <c r="E530" s="2531"/>
      <c r="F530" s="2531"/>
      <c r="G530" s="2531"/>
      <c r="H530" s="2531"/>
      <c r="I530" s="2531"/>
      <c r="J530" s="2531"/>
      <c r="K530" s="2697"/>
      <c r="L530" s="2697"/>
      <c r="M530" s="2697"/>
      <c r="N530" s="2697"/>
      <c r="O530" s="2697"/>
      <c r="P530" s="2697"/>
      <c r="Q530" s="2697"/>
      <c r="R530" s="2697"/>
      <c r="S530" s="2698"/>
      <c r="T530" s="2338"/>
      <c r="U530" s="2363" t="s">
        <v>2</v>
      </c>
      <c r="V530" s="2192"/>
    </row>
    <row r="531" spans="2:22" s="2186" customFormat="1" x14ac:dyDescent="0.3">
      <c r="B531" s="1586"/>
      <c r="C531" s="2529"/>
      <c r="D531" s="2375" t="s">
        <v>95</v>
      </c>
      <c r="E531" s="2376" t="s">
        <v>150</v>
      </c>
      <c r="F531" s="2377"/>
      <c r="G531" s="2376" t="s">
        <v>151</v>
      </c>
      <c r="H531" s="2377"/>
      <c r="I531" s="2376" t="s">
        <v>152</v>
      </c>
      <c r="J531" s="2377"/>
      <c r="K531" s="2376" t="s">
        <v>153</v>
      </c>
      <c r="L531" s="2378"/>
      <c r="M531" s="2378" t="s">
        <v>32</v>
      </c>
      <c r="N531" s="2378"/>
      <c r="O531" s="2379" t="s">
        <v>163</v>
      </c>
      <c r="P531" s="2378"/>
      <c r="Q531" s="2379" t="s">
        <v>151</v>
      </c>
      <c r="R531" s="2378"/>
      <c r="S531" s="2380" t="s">
        <v>143</v>
      </c>
      <c r="T531" s="2362"/>
      <c r="U531" s="2363"/>
      <c r="V531" s="2192"/>
    </row>
    <row r="532" spans="2:22" s="2186" customFormat="1" x14ac:dyDescent="0.3">
      <c r="B532" s="1586"/>
      <c r="C532" s="2529"/>
      <c r="D532" s="2726" t="s">
        <v>1340</v>
      </c>
      <c r="E532" s="2342">
        <v>3.39</v>
      </c>
      <c r="F532" s="2534" t="s">
        <v>185</v>
      </c>
      <c r="G532" s="2342"/>
      <c r="H532" s="2534"/>
      <c r="I532" s="2342"/>
      <c r="J532" s="2534"/>
      <c r="K532" s="2342">
        <v>1</v>
      </c>
      <c r="L532" s="2342"/>
      <c r="M532" s="2342">
        <v>2</v>
      </c>
      <c r="N532" s="2342"/>
      <c r="O532" s="2342"/>
      <c r="P532" s="2534" t="s">
        <v>114</v>
      </c>
      <c r="Q532" s="2342">
        <f>E532*K532*M532</f>
        <v>6.78</v>
      </c>
      <c r="R532" s="2534"/>
      <c r="S532" s="2536"/>
      <c r="T532" s="2362"/>
      <c r="U532" s="2363"/>
      <c r="V532" s="2192"/>
    </row>
    <row r="533" spans="2:22" s="2186" customFormat="1" x14ac:dyDescent="0.3">
      <c r="B533" s="1586"/>
      <c r="C533" s="2529"/>
      <c r="D533" s="2683"/>
      <c r="E533" s="2434"/>
      <c r="F533" s="2434"/>
      <c r="G533" s="2434"/>
      <c r="H533" s="2434"/>
      <c r="I533" s="2434"/>
      <c r="J533" s="2434"/>
      <c r="K533" s="2434"/>
      <c r="L533" s="2434"/>
      <c r="M533" s="2434"/>
      <c r="N533" s="2434"/>
      <c r="O533" s="2434"/>
      <c r="P533" s="2434"/>
      <c r="Q533" s="2434"/>
      <c r="R533" s="2434"/>
      <c r="S533" s="2542"/>
      <c r="T533" s="2362"/>
      <c r="U533" s="2363"/>
      <c r="V533" s="2192"/>
    </row>
    <row r="534" spans="2:22" s="2186" customFormat="1" ht="17.25" thickBot="1" x14ac:dyDescent="0.35">
      <c r="B534" s="1586"/>
      <c r="C534" s="2529"/>
      <c r="D534" s="3115" t="s">
        <v>164</v>
      </c>
      <c r="E534" s="3116"/>
      <c r="F534" s="3116"/>
      <c r="G534" s="3116"/>
      <c r="H534" s="3116"/>
      <c r="I534" s="3116"/>
      <c r="J534" s="2684"/>
      <c r="K534" s="2684"/>
      <c r="L534" s="2684"/>
      <c r="M534" s="2684"/>
      <c r="N534" s="2684"/>
      <c r="O534" s="2684"/>
      <c r="P534" s="2684"/>
      <c r="Q534" s="2740">
        <f>SUM(Q532:Q533)</f>
        <v>6.78</v>
      </c>
      <c r="R534" s="2684"/>
      <c r="S534" s="2685"/>
      <c r="T534" s="2362"/>
      <c r="U534" s="2363"/>
      <c r="V534" s="2192"/>
    </row>
    <row r="535" spans="2:22" x14ac:dyDescent="0.3">
      <c r="B535" s="2739"/>
      <c r="C535" s="2528"/>
      <c r="D535" s="2463"/>
      <c r="E535" s="2467"/>
      <c r="F535" s="2467"/>
      <c r="G535" s="2467"/>
      <c r="H535" s="2467"/>
      <c r="I535" s="2467"/>
      <c r="J535" s="2467"/>
      <c r="K535" s="2694"/>
      <c r="L535" s="2694"/>
      <c r="M535" s="2694"/>
      <c r="N535" s="2694"/>
      <c r="O535" s="2694"/>
      <c r="P535" s="2694"/>
      <c r="Q535" s="2694"/>
      <c r="R535" s="2694"/>
      <c r="S535" s="2737"/>
      <c r="T535" s="2370"/>
      <c r="U535" s="2371"/>
    </row>
    <row r="536" spans="2:22" s="2186" customFormat="1" ht="17.25" thickBot="1" x14ac:dyDescent="0.35">
      <c r="B536" s="1586">
        <f>'[61]RAB (2)'!B125</f>
        <v>5</v>
      </c>
      <c r="C536" s="1586" t="str">
        <f>'[61]RAB (2)'!C125</f>
        <v>Anti Slip Lantai Uk. 7,5 x 60 cm</v>
      </c>
      <c r="D536" s="2530"/>
      <c r="E536" s="2531"/>
      <c r="F536" s="2531"/>
      <c r="G536" s="2531"/>
      <c r="H536" s="2531"/>
      <c r="I536" s="2531"/>
      <c r="J536" s="2531"/>
      <c r="K536" s="2697"/>
      <c r="L536" s="2697"/>
      <c r="M536" s="2697"/>
      <c r="N536" s="2697"/>
      <c r="O536" s="2697"/>
      <c r="P536" s="2697"/>
      <c r="Q536" s="2697"/>
      <c r="R536" s="2697"/>
      <c r="S536" s="2698"/>
      <c r="T536" s="2338"/>
      <c r="U536" s="2363" t="s">
        <v>27</v>
      </c>
      <c r="V536" s="2192"/>
    </row>
    <row r="537" spans="2:22" s="2186" customFormat="1" x14ac:dyDescent="0.3">
      <c r="B537" s="1586"/>
      <c r="C537" s="2529"/>
      <c r="D537" s="2375" t="s">
        <v>95</v>
      </c>
      <c r="E537" s="2376" t="s">
        <v>150</v>
      </c>
      <c r="F537" s="2377"/>
      <c r="G537" s="2376" t="s">
        <v>151</v>
      </c>
      <c r="H537" s="2377"/>
      <c r="I537" s="2376" t="s">
        <v>152</v>
      </c>
      <c r="J537" s="2377"/>
      <c r="K537" s="2376" t="s">
        <v>153</v>
      </c>
      <c r="L537" s="2378"/>
      <c r="M537" s="2378" t="s">
        <v>32</v>
      </c>
      <c r="N537" s="2378"/>
      <c r="O537" s="2379" t="s">
        <v>163</v>
      </c>
      <c r="P537" s="2378"/>
      <c r="Q537" s="2379" t="s">
        <v>151</v>
      </c>
      <c r="R537" s="2378"/>
      <c r="S537" s="2380" t="s">
        <v>143</v>
      </c>
      <c r="T537" s="2362"/>
      <c r="U537" s="2363"/>
      <c r="V537" s="2192"/>
    </row>
    <row r="538" spans="2:22" s="2186" customFormat="1" x14ac:dyDescent="0.3">
      <c r="B538" s="1586"/>
      <c r="C538" s="2529"/>
      <c r="D538" s="2230" t="str">
        <f>C351</f>
        <v xml:space="preserve">Tangga </v>
      </c>
      <c r="E538" s="2337"/>
      <c r="F538" s="2337"/>
      <c r="G538" s="2337"/>
      <c r="H538" s="2337"/>
      <c r="I538" s="2337"/>
      <c r="J538" s="2337"/>
      <c r="K538" s="2337"/>
      <c r="L538" s="2337"/>
      <c r="M538" s="2337"/>
      <c r="N538" s="2337"/>
      <c r="O538" s="2337"/>
      <c r="P538" s="2337"/>
      <c r="Q538" s="2337"/>
      <c r="R538" s="2337"/>
      <c r="S538" s="2455"/>
      <c r="T538" s="2362"/>
      <c r="U538" s="2363"/>
      <c r="V538" s="2192"/>
    </row>
    <row r="539" spans="2:22" s="2186" customFormat="1" x14ac:dyDescent="0.3">
      <c r="B539" s="1586"/>
      <c r="C539" s="2529"/>
      <c r="D539" s="2431" t="s">
        <v>317</v>
      </c>
      <c r="E539" s="2337">
        <f>E354</f>
        <v>1.82</v>
      </c>
      <c r="F539" s="2454" t="s">
        <v>185</v>
      </c>
      <c r="G539" s="2337"/>
      <c r="H539" s="2454"/>
      <c r="I539" s="2337"/>
      <c r="J539" s="2454"/>
      <c r="K539" s="2337">
        <f>K354</f>
        <v>20</v>
      </c>
      <c r="L539" s="2454" t="s">
        <v>185</v>
      </c>
      <c r="M539" s="2337">
        <v>1</v>
      </c>
      <c r="N539" s="2337"/>
      <c r="O539" s="2337"/>
      <c r="P539" s="2454" t="s">
        <v>114</v>
      </c>
      <c r="Q539" s="2337">
        <f>E539*K539*M539</f>
        <v>36.4</v>
      </c>
      <c r="R539" s="2337"/>
      <c r="S539" s="2455"/>
      <c r="T539" s="2362"/>
      <c r="U539" s="2363"/>
      <c r="V539" s="2192"/>
    </row>
    <row r="540" spans="2:22" s="2186" customFormat="1" x14ac:dyDescent="0.3">
      <c r="B540" s="1586"/>
      <c r="C540" s="2529"/>
      <c r="D540" s="2683"/>
      <c r="E540" s="2434"/>
      <c r="F540" s="2434"/>
      <c r="G540" s="2434"/>
      <c r="H540" s="2434"/>
      <c r="I540" s="2434"/>
      <c r="J540" s="2434"/>
      <c r="K540" s="2434"/>
      <c r="L540" s="2434"/>
      <c r="M540" s="2434"/>
      <c r="N540" s="2434"/>
      <c r="O540" s="2434"/>
      <c r="P540" s="2434"/>
      <c r="Q540" s="2434"/>
      <c r="R540" s="2434"/>
      <c r="S540" s="2542"/>
      <c r="T540" s="2362"/>
      <c r="U540" s="2363"/>
      <c r="V540" s="2192"/>
    </row>
    <row r="541" spans="2:22" s="2186" customFormat="1" ht="17.25" thickBot="1" x14ac:dyDescent="0.35">
      <c r="B541" s="1586"/>
      <c r="C541" s="2529"/>
      <c r="D541" s="2773" t="s">
        <v>164</v>
      </c>
      <c r="E541" s="2684"/>
      <c r="F541" s="2684"/>
      <c r="G541" s="2684"/>
      <c r="H541" s="2684"/>
      <c r="I541" s="2684"/>
      <c r="J541" s="2684"/>
      <c r="K541" s="2684"/>
      <c r="L541" s="2684"/>
      <c r="M541" s="2684"/>
      <c r="N541" s="2684"/>
      <c r="O541" s="2684"/>
      <c r="P541" s="2684"/>
      <c r="Q541" s="2740">
        <f>SUM(Q538:Q539)</f>
        <v>36.4</v>
      </c>
      <c r="R541" s="2684"/>
      <c r="S541" s="2685"/>
      <c r="T541" s="2362"/>
      <c r="U541" s="2363"/>
      <c r="V541" s="2192"/>
    </row>
    <row r="542" spans="2:22" x14ac:dyDescent="0.3">
      <c r="B542" s="2739"/>
      <c r="C542" s="2528"/>
      <c r="D542" s="2463"/>
      <c r="E542" s="2467"/>
      <c r="F542" s="2467"/>
      <c r="G542" s="2467"/>
      <c r="H542" s="2467"/>
      <c r="I542" s="2467"/>
      <c r="J542" s="2467"/>
      <c r="K542" s="2694"/>
      <c r="L542" s="2694"/>
      <c r="M542" s="2694"/>
      <c r="N542" s="2694"/>
      <c r="O542" s="2694"/>
      <c r="P542" s="2694"/>
      <c r="Q542" s="2694"/>
      <c r="R542" s="2694"/>
      <c r="S542" s="2737"/>
      <c r="T542" s="2686"/>
      <c r="U542" s="2371"/>
    </row>
    <row r="543" spans="2:22" s="2186" customFormat="1" x14ac:dyDescent="0.3">
      <c r="B543" s="2699" t="str">
        <f>'[61]RAB (2)'!B128</f>
        <v>VI</v>
      </c>
      <c r="C543" s="2699" t="str">
        <f>'[61]RAB (2)'!C128</f>
        <v>PEKERJAAN PLAFON</v>
      </c>
      <c r="D543" s="2358"/>
      <c r="E543" s="2359"/>
      <c r="F543" s="2360"/>
      <c r="G543" s="2359"/>
      <c r="H543" s="2360"/>
      <c r="I543" s="2359"/>
      <c r="J543" s="2360"/>
      <c r="K543" s="2359"/>
      <c r="L543" s="2360"/>
      <c r="M543" s="2360"/>
      <c r="N543" s="2360"/>
      <c r="O543" s="2359"/>
      <c r="P543" s="2360"/>
      <c r="Q543" s="2359"/>
      <c r="R543" s="2360"/>
      <c r="S543" s="2361"/>
      <c r="T543" s="2680"/>
      <c r="U543" s="2363"/>
      <c r="V543" s="2192"/>
    </row>
    <row r="544" spans="2:22" s="2186" customFormat="1" ht="17.25" thickBot="1" x14ac:dyDescent="0.35">
      <c r="B544" s="1207">
        <f>'[61]RAB (2)'!B129</f>
        <v>1</v>
      </c>
      <c r="C544" s="2568" t="str">
        <f>'[61]RAB (2)'!C129</f>
        <v xml:space="preserve">Pemasangan Rangka Furing Plafond </v>
      </c>
      <c r="D544" s="2358"/>
      <c r="E544" s="2359"/>
      <c r="F544" s="2360"/>
      <c r="G544" s="2359"/>
      <c r="H544" s="2360"/>
      <c r="I544" s="2359"/>
      <c r="J544" s="2360"/>
      <c r="K544" s="2359"/>
      <c r="L544" s="2360"/>
      <c r="M544" s="2360"/>
      <c r="N544" s="2360"/>
      <c r="O544" s="2359"/>
      <c r="P544" s="2360"/>
      <c r="Q544" s="2359"/>
      <c r="R544" s="2360"/>
      <c r="S544" s="2361"/>
      <c r="T544" s="2338"/>
      <c r="U544" s="2363" t="s">
        <v>2</v>
      </c>
      <c r="V544" s="2192"/>
    </row>
    <row r="545" spans="2:22" s="2186" customFormat="1" x14ac:dyDescent="0.3">
      <c r="B545" s="1586"/>
      <c r="C545" s="2774"/>
      <c r="D545" s="2375" t="s">
        <v>95</v>
      </c>
      <c r="E545" s="2376" t="s">
        <v>150</v>
      </c>
      <c r="F545" s="2377"/>
      <c r="G545" s="2376" t="s">
        <v>151</v>
      </c>
      <c r="H545" s="2377"/>
      <c r="I545" s="2376" t="s">
        <v>152</v>
      </c>
      <c r="J545" s="2377"/>
      <c r="K545" s="2376" t="s">
        <v>153</v>
      </c>
      <c r="L545" s="2378"/>
      <c r="M545" s="2378" t="s">
        <v>32</v>
      </c>
      <c r="N545" s="2378"/>
      <c r="O545" s="2379" t="s">
        <v>163</v>
      </c>
      <c r="P545" s="2378"/>
      <c r="Q545" s="2379" t="s">
        <v>151</v>
      </c>
      <c r="R545" s="2378"/>
      <c r="S545" s="2380" t="s">
        <v>143</v>
      </c>
      <c r="T545" s="2362"/>
      <c r="U545" s="2363"/>
      <c r="V545" s="2192"/>
    </row>
    <row r="546" spans="2:22" s="2186" customFormat="1" x14ac:dyDescent="0.3">
      <c r="B546" s="1586"/>
      <c r="C546" s="2638"/>
      <c r="D546" s="2726" t="s">
        <v>1367</v>
      </c>
      <c r="E546" s="2342"/>
      <c r="F546" s="2534"/>
      <c r="G546" s="2342">
        <v>92.96</v>
      </c>
      <c r="H546" s="2534"/>
      <c r="I546" s="2342"/>
      <c r="J546" s="2534"/>
      <c r="K546" s="2342">
        <v>1</v>
      </c>
      <c r="L546" s="2342"/>
      <c r="M546" s="2342">
        <v>1</v>
      </c>
      <c r="N546" s="2342"/>
      <c r="O546" s="2342"/>
      <c r="P546" s="2534"/>
      <c r="Q546" s="2342">
        <f>G546*K546*M546</f>
        <v>92.96</v>
      </c>
      <c r="R546" s="2534"/>
      <c r="S546" s="2536"/>
      <c r="T546" s="2362"/>
      <c r="U546" s="2363"/>
      <c r="V546" s="2192"/>
    </row>
    <row r="547" spans="2:22" s="2186" customFormat="1" x14ac:dyDescent="0.3">
      <c r="B547" s="1586"/>
      <c r="C547" s="2638"/>
      <c r="D547" s="2771" t="s">
        <v>1337</v>
      </c>
      <c r="E547" s="2590"/>
      <c r="F547" s="2589"/>
      <c r="G547" s="2337">
        <v>1.35</v>
      </c>
      <c r="H547" s="2454"/>
      <c r="I547" s="2337"/>
      <c r="J547" s="2454"/>
      <c r="K547" s="2337">
        <v>15.85</v>
      </c>
      <c r="L547" s="2337"/>
      <c r="M547" s="2337">
        <v>1</v>
      </c>
      <c r="N547" s="2337"/>
      <c r="O547" s="2337"/>
      <c r="P547" s="2454"/>
      <c r="Q547" s="2337">
        <f>G547*K547*M547</f>
        <v>21.397500000000001</v>
      </c>
      <c r="R547" s="2589"/>
      <c r="S547" s="2591"/>
      <c r="T547" s="2362"/>
      <c r="U547" s="2363"/>
      <c r="V547" s="2192"/>
    </row>
    <row r="548" spans="2:22" s="2186" customFormat="1" x14ac:dyDescent="0.3">
      <c r="B548" s="1586"/>
      <c r="C548" s="2638"/>
      <c r="D548" s="2771"/>
      <c r="E548" s="2590"/>
      <c r="F548" s="2589"/>
      <c r="G548" s="2337"/>
      <c r="H548" s="2454"/>
      <c r="I548" s="2337"/>
      <c r="J548" s="2454"/>
      <c r="K548" s="2337"/>
      <c r="L548" s="2337"/>
      <c r="M548" s="2337"/>
      <c r="N548" s="2337"/>
      <c r="O548" s="2337"/>
      <c r="P548" s="2454"/>
      <c r="Q548" s="2590"/>
      <c r="R548" s="2589"/>
      <c r="S548" s="2591"/>
      <c r="T548" s="2362"/>
      <c r="U548" s="2363"/>
      <c r="V548" s="2192"/>
    </row>
    <row r="549" spans="2:22" s="2186" customFormat="1" x14ac:dyDescent="0.3">
      <c r="B549" s="1586"/>
      <c r="C549" s="2638"/>
      <c r="D549" s="2775" t="s">
        <v>244</v>
      </c>
      <c r="E549" s="2644"/>
      <c r="F549" s="2716"/>
      <c r="G549" s="2644"/>
      <c r="H549" s="2716"/>
      <c r="I549" s="2644"/>
      <c r="J549" s="2716"/>
      <c r="K549" s="2644"/>
      <c r="L549" s="2644"/>
      <c r="M549" s="2644"/>
      <c r="N549" s="2644"/>
      <c r="O549" s="2644"/>
      <c r="P549" s="2716"/>
      <c r="Q549" s="2644"/>
      <c r="R549" s="2716"/>
      <c r="S549" s="2689"/>
      <c r="T549" s="2362"/>
      <c r="U549" s="2363"/>
      <c r="V549" s="2192"/>
    </row>
    <row r="550" spans="2:22" s="2186" customFormat="1" x14ac:dyDescent="0.3">
      <c r="B550" s="1586"/>
      <c r="C550" s="2638"/>
      <c r="D550" s="2702" t="s">
        <v>730</v>
      </c>
      <c r="E550" s="2332">
        <v>0.4</v>
      </c>
      <c r="F550" s="2454" t="s">
        <v>185</v>
      </c>
      <c r="G550" s="2332">
        <v>0.4</v>
      </c>
      <c r="H550" s="2454" t="s">
        <v>185</v>
      </c>
      <c r="I550" s="2337"/>
      <c r="J550" s="2454"/>
      <c r="K550" s="2337">
        <v>2</v>
      </c>
      <c r="L550" s="2454"/>
      <c r="M550" s="2337"/>
      <c r="N550" s="2454"/>
      <c r="O550" s="2337"/>
      <c r="P550" s="2454" t="s">
        <v>114</v>
      </c>
      <c r="Q550" s="2337">
        <f>K550*G550*E550</f>
        <v>0.32000000000000006</v>
      </c>
      <c r="R550" s="2716"/>
      <c r="S550" s="2689"/>
      <c r="T550" s="2362"/>
      <c r="U550" s="2363"/>
      <c r="V550" s="2192"/>
    </row>
    <row r="551" spans="2:22" s="2186" customFormat="1" x14ac:dyDescent="0.3">
      <c r="B551" s="1586"/>
      <c r="C551" s="2774"/>
      <c r="D551" s="2683"/>
      <c r="E551" s="2696"/>
      <c r="F551" s="2696"/>
      <c r="G551" s="2696"/>
      <c r="H551" s="2696"/>
      <c r="I551" s="2696"/>
      <c r="J551" s="2696"/>
      <c r="K551" s="2696"/>
      <c r="L551" s="2696"/>
      <c r="M551" s="2696"/>
      <c r="N551" s="2696"/>
      <c r="O551" s="2696"/>
      <c r="P551" s="2696"/>
      <c r="Q551" s="2696"/>
      <c r="R551" s="2696"/>
      <c r="S551" s="2776"/>
      <c r="T551" s="2362"/>
      <c r="U551" s="2363"/>
      <c r="V551" s="2192"/>
    </row>
    <row r="552" spans="2:22" s="2186" customFormat="1" ht="17.25" thickBot="1" x14ac:dyDescent="0.35">
      <c r="B552" s="1586"/>
      <c r="C552" s="2774"/>
      <c r="D552" s="3117" t="s">
        <v>164</v>
      </c>
      <c r="E552" s="3118"/>
      <c r="F552" s="3118"/>
      <c r="G552" s="3118"/>
      <c r="H552" s="3118"/>
      <c r="I552" s="3119"/>
      <c r="J552" s="2703"/>
      <c r="K552" s="2703"/>
      <c r="L552" s="2703"/>
      <c r="M552" s="2703"/>
      <c r="N552" s="2703"/>
      <c r="O552" s="2703"/>
      <c r="P552" s="2703"/>
      <c r="Q552" s="2579">
        <f>SUM(Q546:Q548)-Q550</f>
        <v>114.03749999999999</v>
      </c>
      <c r="R552" s="2703"/>
      <c r="S552" s="2705"/>
      <c r="T552" s="2362"/>
      <c r="U552" s="2363"/>
      <c r="V552" s="2192"/>
    </row>
    <row r="553" spans="2:22" x14ac:dyDescent="0.3">
      <c r="B553" s="2527"/>
      <c r="C553" s="2777"/>
      <c r="D553" s="2366"/>
      <c r="E553" s="2367"/>
      <c r="F553" s="2368"/>
      <c r="G553" s="2367"/>
      <c r="H553" s="2368"/>
      <c r="I553" s="2367"/>
      <c r="J553" s="2368"/>
      <c r="K553" s="2367"/>
      <c r="L553" s="2368"/>
      <c r="M553" s="2368"/>
      <c r="N553" s="2368"/>
      <c r="O553" s="2367"/>
      <c r="P553" s="2368"/>
      <c r="Q553" s="2367"/>
      <c r="R553" s="2368"/>
      <c r="S553" s="2369"/>
      <c r="T553" s="2370"/>
      <c r="U553" s="2371"/>
    </row>
    <row r="554" spans="2:22" s="2186" customFormat="1" ht="17.25" thickBot="1" x14ac:dyDescent="0.35">
      <c r="B554" s="1207">
        <f>'[61]RAB (2)'!B130</f>
        <v>2</v>
      </c>
      <c r="C554" s="2568" t="str">
        <f>'[61]RAB (2)'!C130</f>
        <v>Pemasangan Plafond Gybsum board tbl. 9 mm</v>
      </c>
      <c r="D554" s="2358"/>
      <c r="E554" s="2359"/>
      <c r="F554" s="2360"/>
      <c r="G554" s="2359"/>
      <c r="H554" s="2360"/>
      <c r="I554" s="2359"/>
      <c r="J554" s="2360"/>
      <c r="K554" s="2359"/>
      <c r="L554" s="2360"/>
      <c r="M554" s="2360"/>
      <c r="N554" s="2360"/>
      <c r="O554" s="2359"/>
      <c r="P554" s="2360"/>
      <c r="Q554" s="2359"/>
      <c r="R554" s="2360"/>
      <c r="S554" s="2361"/>
      <c r="T554" s="2338"/>
      <c r="U554" s="2363" t="s">
        <v>2</v>
      </c>
      <c r="V554" s="2192"/>
    </row>
    <row r="555" spans="2:22" s="2186" customFormat="1" x14ac:dyDescent="0.3">
      <c r="B555" s="1586"/>
      <c r="C555" s="2529"/>
      <c r="D555" s="2722" t="s">
        <v>95</v>
      </c>
      <c r="E555" s="2723" t="s">
        <v>150</v>
      </c>
      <c r="F555" s="2724"/>
      <c r="G555" s="2723" t="s">
        <v>151</v>
      </c>
      <c r="H555" s="2724"/>
      <c r="I555" s="2723" t="s">
        <v>152</v>
      </c>
      <c r="J555" s="2724"/>
      <c r="K555" s="2723" t="s">
        <v>153</v>
      </c>
      <c r="L555" s="2724"/>
      <c r="M555" s="2724" t="s">
        <v>32</v>
      </c>
      <c r="N555" s="2724"/>
      <c r="O555" s="2723" t="s">
        <v>163</v>
      </c>
      <c r="P555" s="2724"/>
      <c r="Q555" s="2723" t="s">
        <v>151</v>
      </c>
      <c r="R555" s="2724"/>
      <c r="S555" s="2725" t="s">
        <v>143</v>
      </c>
      <c r="T555" s="2362"/>
      <c r="U555" s="2363"/>
      <c r="V555" s="2192"/>
    </row>
    <row r="556" spans="2:22" s="2186" customFormat="1" x14ac:dyDescent="0.3">
      <c r="B556" s="1586"/>
      <c r="C556" s="2529"/>
      <c r="D556" s="2695" t="str">
        <f>C544</f>
        <v xml:space="preserve">Pemasangan Rangka Furing Plafond </v>
      </c>
      <c r="E556" s="2732"/>
      <c r="F556" s="2452"/>
      <c r="G556" s="2732"/>
      <c r="H556" s="2452"/>
      <c r="I556" s="2732"/>
      <c r="J556" s="2452"/>
      <c r="K556" s="2732"/>
      <c r="L556" s="2732"/>
      <c r="M556" s="2732"/>
      <c r="N556" s="2732"/>
      <c r="O556" s="2732"/>
      <c r="P556" s="2452"/>
      <c r="Q556" s="2731">
        <f>Q552</f>
        <v>114.03749999999999</v>
      </c>
      <c r="R556" s="2452"/>
      <c r="S556" s="2778"/>
      <c r="T556" s="2362"/>
      <c r="U556" s="2363"/>
      <c r="V556" s="2192"/>
    </row>
    <row r="557" spans="2:22" s="2186" customFormat="1" x14ac:dyDescent="0.3">
      <c r="B557" s="1586"/>
      <c r="C557" s="2529"/>
      <c r="D557" s="2683"/>
      <c r="E557" s="2696"/>
      <c r="F557" s="2696"/>
      <c r="G557" s="2696"/>
      <c r="H557" s="2696"/>
      <c r="I557" s="2696"/>
      <c r="J557" s="2696"/>
      <c r="K557" s="2696"/>
      <c r="L557" s="2696"/>
      <c r="M557" s="2696"/>
      <c r="N557" s="2696"/>
      <c r="O557" s="2696"/>
      <c r="P557" s="2696"/>
      <c r="Q557" s="2696"/>
      <c r="R557" s="2696"/>
      <c r="S557" s="2776"/>
      <c r="T557" s="2362"/>
      <c r="U557" s="2363"/>
      <c r="V557" s="2192"/>
    </row>
    <row r="558" spans="2:22" s="2186" customFormat="1" ht="17.25" thickBot="1" x14ac:dyDescent="0.35">
      <c r="B558" s="1586"/>
      <c r="C558" s="2529"/>
      <c r="D558" s="3120" t="s">
        <v>164</v>
      </c>
      <c r="E558" s="3121"/>
      <c r="F558" s="3121"/>
      <c r="G558" s="3121"/>
      <c r="H558" s="3121"/>
      <c r="I558" s="3121"/>
      <c r="J558" s="2684"/>
      <c r="K558" s="2684"/>
      <c r="L558" s="2684"/>
      <c r="M558" s="2684"/>
      <c r="N558" s="2684"/>
      <c r="O558" s="2684"/>
      <c r="P558" s="2684"/>
      <c r="Q558" s="2684">
        <f>SUM(Q556:Q557)</f>
        <v>114.03749999999999</v>
      </c>
      <c r="R558" s="2684"/>
      <c r="S558" s="2685"/>
      <c r="T558" s="2362"/>
      <c r="U558" s="2363"/>
      <c r="V558" s="2192"/>
    </row>
    <row r="559" spans="2:22" x14ac:dyDescent="0.3">
      <c r="B559" s="2739"/>
      <c r="C559" s="2528"/>
      <c r="D559" s="2463"/>
      <c r="E559" s="2467"/>
      <c r="F559" s="2467"/>
      <c r="G559" s="2467"/>
      <c r="H559" s="2467"/>
      <c r="I559" s="2467"/>
      <c r="J559" s="2467"/>
      <c r="K559" s="2694"/>
      <c r="L559" s="2694"/>
      <c r="M559" s="2694"/>
      <c r="N559" s="2694"/>
      <c r="O559" s="2694"/>
      <c r="P559" s="2694"/>
      <c r="Q559" s="2694"/>
      <c r="R559" s="2694"/>
      <c r="S559" s="2737"/>
      <c r="T559" s="2370"/>
      <c r="U559" s="2371"/>
    </row>
    <row r="560" spans="2:22" s="2190" customFormat="1" ht="14.25" x14ac:dyDescent="0.2">
      <c r="B560" s="2699" t="str">
        <f>'[61]RAB (2)'!B133</f>
        <v>VII</v>
      </c>
      <c r="C560" s="2699" t="str">
        <f>'[61]RAB (2)'!C133</f>
        <v>PEKERJAAN PENGECATAN</v>
      </c>
      <c r="D560" s="2779"/>
      <c r="E560" s="2721"/>
      <c r="F560" s="2721"/>
      <c r="G560" s="2721"/>
      <c r="H560" s="2721"/>
      <c r="I560" s="2721"/>
      <c r="J560" s="2721"/>
      <c r="K560" s="2721"/>
      <c r="L560" s="2721"/>
      <c r="M560" s="2721"/>
      <c r="N560" s="2721"/>
      <c r="O560" s="2721"/>
      <c r="P560" s="2721"/>
      <c r="Q560" s="2721"/>
      <c r="R560" s="2721"/>
      <c r="S560" s="2780"/>
      <c r="T560" s="2362"/>
      <c r="U560" s="2363"/>
      <c r="V560" s="2227"/>
    </row>
    <row r="561" spans="2:22" s="2186" customFormat="1" ht="17.25" thickBot="1" x14ac:dyDescent="0.35">
      <c r="B561" s="1207">
        <f>'[61]RAB (2)'!B134</f>
        <v>1</v>
      </c>
      <c r="C561" s="2568" t="str">
        <f>'[61]RAB (2)'!C134</f>
        <v>Pengecatan bidang tembok eksterior (Jotun weathershield)</v>
      </c>
      <c r="D561" s="2358"/>
      <c r="E561" s="2359"/>
      <c r="F561" s="2360"/>
      <c r="G561" s="2359"/>
      <c r="H561" s="2360"/>
      <c r="I561" s="2359"/>
      <c r="J561" s="2360"/>
      <c r="K561" s="2359"/>
      <c r="L561" s="2360"/>
      <c r="M561" s="2360"/>
      <c r="N561" s="2360"/>
      <c r="O561" s="2359"/>
      <c r="P561" s="2360"/>
      <c r="Q561" s="2359"/>
      <c r="R561" s="2360"/>
      <c r="S561" s="2361"/>
      <c r="T561" s="2338"/>
      <c r="U561" s="2363" t="s">
        <v>2</v>
      </c>
      <c r="V561" s="2192"/>
    </row>
    <row r="562" spans="2:22" s="2186" customFormat="1" x14ac:dyDescent="0.3">
      <c r="B562" s="1586"/>
      <c r="C562" s="2529"/>
      <c r="D562" s="2375" t="s">
        <v>95</v>
      </c>
      <c r="E562" s="2376" t="s">
        <v>150</v>
      </c>
      <c r="F562" s="2377"/>
      <c r="G562" s="2376" t="s">
        <v>151</v>
      </c>
      <c r="H562" s="2377"/>
      <c r="I562" s="2376" t="s">
        <v>152</v>
      </c>
      <c r="J562" s="2377"/>
      <c r="K562" s="2376" t="s">
        <v>153</v>
      </c>
      <c r="L562" s="2378"/>
      <c r="M562" s="2378" t="s">
        <v>32</v>
      </c>
      <c r="N562" s="2378"/>
      <c r="O562" s="2379" t="s">
        <v>163</v>
      </c>
      <c r="P562" s="2378"/>
      <c r="Q562" s="2379" t="s">
        <v>151</v>
      </c>
      <c r="R562" s="2378"/>
      <c r="S562" s="2380" t="s">
        <v>143</v>
      </c>
      <c r="T562" s="2362"/>
      <c r="U562" s="2363"/>
      <c r="V562" s="2192"/>
    </row>
    <row r="563" spans="2:22" s="2186" customFormat="1" x14ac:dyDescent="0.3">
      <c r="B563" s="1586"/>
      <c r="C563" s="2529"/>
      <c r="D563" s="2230"/>
      <c r="E563" s="2337">
        <v>16</v>
      </c>
      <c r="F563" s="2337" t="s">
        <v>185</v>
      </c>
      <c r="G563" s="2337"/>
      <c r="H563" s="2337"/>
      <c r="I563" s="2337">
        <v>4</v>
      </c>
      <c r="J563" s="2337" t="s">
        <v>185</v>
      </c>
      <c r="K563" s="2337">
        <v>2</v>
      </c>
      <c r="L563" s="2337"/>
      <c r="M563" s="2337"/>
      <c r="N563" s="2337"/>
      <c r="O563" s="2337"/>
      <c r="P563" s="2337" t="s">
        <v>114</v>
      </c>
      <c r="Q563" s="2337">
        <f>E563*I563*K563</f>
        <v>128</v>
      </c>
      <c r="R563" s="2337"/>
      <c r="S563" s="2455"/>
      <c r="T563" s="2362"/>
      <c r="U563" s="2363"/>
      <c r="V563" s="2192"/>
    </row>
    <row r="564" spans="2:22" s="2186" customFormat="1" x14ac:dyDescent="0.3">
      <c r="B564" s="1586"/>
      <c r="C564" s="2529"/>
      <c r="D564" s="2230"/>
      <c r="E564" s="2337">
        <v>8</v>
      </c>
      <c r="F564" s="2337" t="s">
        <v>185</v>
      </c>
      <c r="G564" s="2337"/>
      <c r="H564" s="2337"/>
      <c r="I564" s="2337">
        <f>I563</f>
        <v>4</v>
      </c>
      <c r="J564" s="2337" t="s">
        <v>185</v>
      </c>
      <c r="K564" s="2337">
        <v>2</v>
      </c>
      <c r="L564" s="2337"/>
      <c r="M564" s="2337"/>
      <c r="N564" s="2337"/>
      <c r="O564" s="2337"/>
      <c r="P564" s="2337" t="s">
        <v>114</v>
      </c>
      <c r="Q564" s="2337">
        <f>E564*I564*K564</f>
        <v>64</v>
      </c>
      <c r="R564" s="2337"/>
      <c r="S564" s="2455"/>
      <c r="T564" s="2362"/>
      <c r="U564" s="2363"/>
      <c r="V564" s="2192"/>
    </row>
    <row r="565" spans="2:22" s="2186" customFormat="1" x14ac:dyDescent="0.3">
      <c r="B565" s="1586"/>
      <c r="C565" s="2529"/>
      <c r="D565" s="2230" t="s">
        <v>154</v>
      </c>
      <c r="E565" s="2337"/>
      <c r="F565" s="2337"/>
      <c r="G565" s="2337"/>
      <c r="H565" s="2337"/>
      <c r="I565" s="2337"/>
      <c r="J565" s="2337"/>
      <c r="K565" s="2337"/>
      <c r="L565" s="2337"/>
      <c r="M565" s="2337"/>
      <c r="N565" s="2337"/>
      <c r="O565" s="2337"/>
      <c r="P565" s="2337"/>
      <c r="Q565" s="2337"/>
      <c r="R565" s="2781"/>
      <c r="S565" s="2782"/>
      <c r="T565" s="2362"/>
      <c r="U565" s="2363"/>
      <c r="V565" s="2192"/>
    </row>
    <row r="566" spans="2:22" x14ac:dyDescent="0.3">
      <c r="B566" s="2739"/>
      <c r="C566" s="2528"/>
      <c r="D566" s="2232" t="str">
        <f>D423</f>
        <v>Pintu Type P2</v>
      </c>
      <c r="E566" s="2337">
        <v>3</v>
      </c>
      <c r="F566" s="2454" t="s">
        <v>185</v>
      </c>
      <c r="G566" s="2337"/>
      <c r="H566" s="2454"/>
      <c r="I566" s="2337">
        <v>1.5</v>
      </c>
      <c r="J566" s="2454" t="s">
        <v>185</v>
      </c>
      <c r="K566" s="2337">
        <f>K423</f>
        <v>2</v>
      </c>
      <c r="L566" s="2337"/>
      <c r="M566" s="2337"/>
      <c r="N566" s="2337"/>
      <c r="O566" s="2337"/>
      <c r="P566" s="2454" t="s">
        <v>114</v>
      </c>
      <c r="Q566" s="2337">
        <f>K566*I566*E566</f>
        <v>9</v>
      </c>
      <c r="R566" s="2783"/>
      <c r="S566" s="2784"/>
      <c r="T566" s="2370"/>
      <c r="U566" s="2371"/>
    </row>
    <row r="567" spans="2:22" x14ac:dyDescent="0.3">
      <c r="B567" s="2739"/>
      <c r="C567" s="2528"/>
      <c r="D567" s="2232" t="s">
        <v>1368</v>
      </c>
      <c r="E567" s="2337">
        <v>2</v>
      </c>
      <c r="F567" s="2454" t="s">
        <v>185</v>
      </c>
      <c r="G567" s="2337"/>
      <c r="H567" s="2454"/>
      <c r="I567" s="2337">
        <v>0.7</v>
      </c>
      <c r="J567" s="2454" t="s">
        <v>185</v>
      </c>
      <c r="K567" s="2337">
        <v>2</v>
      </c>
      <c r="L567" s="2337"/>
      <c r="M567" s="2337"/>
      <c r="N567" s="2337"/>
      <c r="O567" s="2337"/>
      <c r="P567" s="2454" t="s">
        <v>114</v>
      </c>
      <c r="Q567" s="2337">
        <f>K567*I567*E567</f>
        <v>2.8</v>
      </c>
      <c r="R567" s="2783"/>
      <c r="S567" s="2784"/>
      <c r="T567" s="2370"/>
      <c r="U567" s="2371"/>
    </row>
    <row r="568" spans="2:22" x14ac:dyDescent="0.3">
      <c r="B568" s="2739"/>
      <c r="C568" s="2528"/>
      <c r="D568" s="2232" t="str">
        <f>D425</f>
        <v>Jendela Type J.1</v>
      </c>
      <c r="E568" s="2337">
        <v>2</v>
      </c>
      <c r="F568" s="2454" t="s">
        <v>185</v>
      </c>
      <c r="G568" s="2337"/>
      <c r="H568" s="2454"/>
      <c r="I568" s="2337">
        <v>2.6</v>
      </c>
      <c r="J568" s="2454" t="s">
        <v>185</v>
      </c>
      <c r="K568" s="2337">
        <v>8</v>
      </c>
      <c r="L568" s="2337"/>
      <c r="M568" s="2337"/>
      <c r="N568" s="2337"/>
      <c r="O568" s="2337"/>
      <c r="P568" s="2454" t="s">
        <v>114</v>
      </c>
      <c r="Q568" s="2337">
        <f>K568*I568*E568</f>
        <v>41.6</v>
      </c>
      <c r="R568" s="2783"/>
      <c r="S568" s="2784"/>
      <c r="T568" s="2370"/>
      <c r="U568" s="2371"/>
    </row>
    <row r="569" spans="2:22" x14ac:dyDescent="0.3">
      <c r="B569" s="2739"/>
      <c r="C569" s="2528"/>
      <c r="D569" s="2232" t="str">
        <f>D426</f>
        <v>Jendela Type J2</v>
      </c>
      <c r="E569" s="2337">
        <f>E426</f>
        <v>0.7</v>
      </c>
      <c r="F569" s="2454" t="s">
        <v>185</v>
      </c>
      <c r="G569" s="2337"/>
      <c r="H569" s="2454"/>
      <c r="I569" s="2337">
        <f>I426</f>
        <v>1</v>
      </c>
      <c r="J569" s="2454" t="s">
        <v>185</v>
      </c>
      <c r="K569" s="2337">
        <v>2</v>
      </c>
      <c r="L569" s="2337"/>
      <c r="M569" s="2337"/>
      <c r="N569" s="2337"/>
      <c r="O569" s="2337"/>
      <c r="P569" s="2454" t="s">
        <v>114</v>
      </c>
      <c r="Q569" s="2337">
        <f>K569*I569*E569</f>
        <v>1.4</v>
      </c>
      <c r="R569" s="2783"/>
      <c r="S569" s="2784"/>
      <c r="T569" s="2370"/>
      <c r="U569" s="2371"/>
    </row>
    <row r="570" spans="2:22" x14ac:dyDescent="0.3">
      <c r="B570" s="2739"/>
      <c r="C570" s="2528"/>
      <c r="D570" s="2785"/>
      <c r="E570" s="2786"/>
      <c r="F570" s="2786"/>
      <c r="G570" s="2786"/>
      <c r="H570" s="2786"/>
      <c r="I570" s="2786"/>
      <c r="J570" s="2786"/>
      <c r="K570" s="2786"/>
      <c r="L570" s="2786"/>
      <c r="M570" s="2786"/>
      <c r="N570" s="2786"/>
      <c r="O570" s="2786"/>
      <c r="P570" s="2786"/>
      <c r="Q570" s="2786"/>
      <c r="R570" s="2787"/>
      <c r="S570" s="2788"/>
      <c r="T570" s="2370"/>
      <c r="U570" s="2371"/>
    </row>
    <row r="571" spans="2:22" s="2186" customFormat="1" ht="17.25" thickBot="1" x14ac:dyDescent="0.35">
      <c r="B571" s="1586"/>
      <c r="C571" s="2529"/>
      <c r="D571" s="3111" t="s">
        <v>164</v>
      </c>
      <c r="E571" s="3112"/>
      <c r="F571" s="3112"/>
      <c r="G571" s="3112"/>
      <c r="H571" s="3112"/>
      <c r="I571" s="3112"/>
      <c r="J571" s="2703"/>
      <c r="K571" s="2703"/>
      <c r="L571" s="2703"/>
      <c r="M571" s="2703"/>
      <c r="N571" s="2703"/>
      <c r="O571" s="2703"/>
      <c r="P571" s="2703"/>
      <c r="Q571" s="2789">
        <f>SUM(Q563:Q564)-SUM(Q566:Q570)</f>
        <v>137.19999999999999</v>
      </c>
      <c r="R571" s="2703"/>
      <c r="S571" s="2705"/>
      <c r="T571" s="2362"/>
      <c r="U571" s="2363"/>
      <c r="V571" s="2192"/>
    </row>
    <row r="572" spans="2:22" x14ac:dyDescent="0.3">
      <c r="B572" s="2527"/>
      <c r="C572" s="2528"/>
      <c r="D572" s="2463"/>
      <c r="E572" s="2694"/>
      <c r="F572" s="2467"/>
      <c r="G572" s="2694"/>
      <c r="H572" s="2467"/>
      <c r="I572" s="2694"/>
      <c r="J572" s="2467"/>
      <c r="K572" s="2406"/>
      <c r="L572" s="2407"/>
      <c r="M572" s="2407"/>
      <c r="N572" s="2407"/>
      <c r="O572" s="2406"/>
      <c r="P572" s="2407"/>
      <c r="Q572" s="2694"/>
      <c r="R572" s="2694"/>
      <c r="S572" s="2464"/>
      <c r="T572" s="2370"/>
      <c r="U572" s="2371"/>
    </row>
    <row r="573" spans="2:22" s="2186" customFormat="1" ht="17.25" thickBot="1" x14ac:dyDescent="0.35">
      <c r="B573" s="1207">
        <f>'[61]RAB (2)'!B135</f>
        <v>2</v>
      </c>
      <c r="C573" s="2568" t="str">
        <f>'[61]RAB (2)'!C135</f>
        <v>Pengecatan bidang tembok interior (Jotun Jotaplast)</v>
      </c>
      <c r="D573" s="2358"/>
      <c r="E573" s="2359"/>
      <c r="F573" s="2360"/>
      <c r="G573" s="2359"/>
      <c r="H573" s="2360"/>
      <c r="I573" s="2359"/>
      <c r="J573" s="2360"/>
      <c r="K573" s="2359"/>
      <c r="L573" s="2360"/>
      <c r="M573" s="2360"/>
      <c r="N573" s="2360"/>
      <c r="O573" s="2359"/>
      <c r="P573" s="2360"/>
      <c r="Q573" s="2359"/>
      <c r="R573" s="2360"/>
      <c r="S573" s="2361"/>
      <c r="T573" s="2338"/>
      <c r="U573" s="2363" t="s">
        <v>2</v>
      </c>
      <c r="V573" s="2192"/>
    </row>
    <row r="574" spans="2:22" s="2186" customFormat="1" x14ac:dyDescent="0.3">
      <c r="B574" s="1586"/>
      <c r="C574" s="2529"/>
      <c r="D574" s="2375" t="s">
        <v>95</v>
      </c>
      <c r="E574" s="2376" t="s">
        <v>150</v>
      </c>
      <c r="F574" s="2377"/>
      <c r="G574" s="2376" t="s">
        <v>151</v>
      </c>
      <c r="H574" s="2377"/>
      <c r="I574" s="2376" t="s">
        <v>152</v>
      </c>
      <c r="J574" s="2377"/>
      <c r="K574" s="2376" t="s">
        <v>153</v>
      </c>
      <c r="L574" s="2378"/>
      <c r="M574" s="2378" t="s">
        <v>32</v>
      </c>
      <c r="N574" s="2378"/>
      <c r="O574" s="2379" t="s">
        <v>163</v>
      </c>
      <c r="P574" s="2378"/>
      <c r="Q574" s="2379" t="s">
        <v>151</v>
      </c>
      <c r="R574" s="2378"/>
      <c r="S574" s="2380" t="s">
        <v>143</v>
      </c>
      <c r="T574" s="2362"/>
      <c r="U574" s="2363"/>
      <c r="V574" s="2192"/>
    </row>
    <row r="575" spans="2:22" s="2186" customFormat="1" x14ac:dyDescent="0.3">
      <c r="B575" s="1586"/>
      <c r="C575" s="2529"/>
      <c r="D575" s="2230"/>
      <c r="E575" s="2337">
        <f>16-0.15</f>
        <v>15.85</v>
      </c>
      <c r="F575" s="2337" t="s">
        <v>185</v>
      </c>
      <c r="G575" s="2337"/>
      <c r="H575" s="2337"/>
      <c r="I575" s="2337">
        <v>3.5</v>
      </c>
      <c r="J575" s="2337" t="s">
        <v>185</v>
      </c>
      <c r="K575" s="2337">
        <v>2</v>
      </c>
      <c r="L575" s="2337"/>
      <c r="M575" s="2337"/>
      <c r="N575" s="2337"/>
      <c r="O575" s="2337"/>
      <c r="P575" s="2337" t="s">
        <v>114</v>
      </c>
      <c r="Q575" s="2337">
        <f>E575*I575*K575</f>
        <v>110.95</v>
      </c>
      <c r="R575" s="2452"/>
      <c r="S575" s="2778"/>
      <c r="T575" s="2362"/>
      <c r="U575" s="2363"/>
      <c r="V575" s="2192">
        <f>T573+T561</f>
        <v>0</v>
      </c>
    </row>
    <row r="576" spans="2:22" s="2186" customFormat="1" x14ac:dyDescent="0.3">
      <c r="B576" s="1586"/>
      <c r="C576" s="2529"/>
      <c r="D576" s="2230"/>
      <c r="E576" s="2337">
        <f>8-0.15</f>
        <v>7.85</v>
      </c>
      <c r="F576" s="2337" t="s">
        <v>185</v>
      </c>
      <c r="G576" s="2337"/>
      <c r="H576" s="2337"/>
      <c r="I576" s="2337">
        <f>I575</f>
        <v>3.5</v>
      </c>
      <c r="J576" s="2337" t="s">
        <v>185</v>
      </c>
      <c r="K576" s="2337">
        <v>2</v>
      </c>
      <c r="L576" s="2337"/>
      <c r="M576" s="2337"/>
      <c r="N576" s="2337"/>
      <c r="O576" s="2337"/>
      <c r="P576" s="2337" t="s">
        <v>114</v>
      </c>
      <c r="Q576" s="2337">
        <f>E576*I576*K576</f>
        <v>54.949999999999996</v>
      </c>
      <c r="R576" s="2442"/>
      <c r="S576" s="2782"/>
      <c r="T576" s="2362"/>
      <c r="U576" s="2363"/>
      <c r="V576" s="2192"/>
    </row>
    <row r="577" spans="2:22" s="2186" customFormat="1" x14ac:dyDescent="0.3">
      <c r="B577" s="1586"/>
      <c r="C577" s="2529"/>
      <c r="D577" s="2230" t="s">
        <v>154</v>
      </c>
      <c r="E577" s="2337"/>
      <c r="F577" s="2337"/>
      <c r="G577" s="2337"/>
      <c r="H577" s="2337"/>
      <c r="I577" s="2337"/>
      <c r="J577" s="2337"/>
      <c r="K577" s="2337"/>
      <c r="L577" s="2337"/>
      <c r="M577" s="2337"/>
      <c r="N577" s="2337"/>
      <c r="O577" s="2337"/>
      <c r="P577" s="2337"/>
      <c r="Q577" s="2337"/>
      <c r="R577" s="2442"/>
      <c r="S577" s="2782"/>
      <c r="T577" s="2362"/>
      <c r="U577" s="2363"/>
      <c r="V577" s="2192"/>
    </row>
    <row r="578" spans="2:22" s="2186" customFormat="1" x14ac:dyDescent="0.3">
      <c r="B578" s="1586"/>
      <c r="C578" s="2529"/>
      <c r="D578" s="2232" t="str">
        <f>D566</f>
        <v>Pintu Type P2</v>
      </c>
      <c r="E578" s="2337">
        <v>3</v>
      </c>
      <c r="F578" s="2454" t="s">
        <v>185</v>
      </c>
      <c r="G578" s="2337"/>
      <c r="H578" s="2454"/>
      <c r="I578" s="2337">
        <v>1.5</v>
      </c>
      <c r="J578" s="2454" t="s">
        <v>185</v>
      </c>
      <c r="K578" s="2337">
        <v>2</v>
      </c>
      <c r="L578" s="2337"/>
      <c r="M578" s="2337"/>
      <c r="N578" s="2337"/>
      <c r="O578" s="2337"/>
      <c r="P578" s="2454" t="s">
        <v>114</v>
      </c>
      <c r="Q578" s="2337">
        <f>K578*I578*E578</f>
        <v>9</v>
      </c>
      <c r="R578" s="2442"/>
      <c r="S578" s="2782"/>
      <c r="T578" s="2362"/>
      <c r="U578" s="2363"/>
      <c r="V578" s="2192"/>
    </row>
    <row r="579" spans="2:22" s="2186" customFormat="1" x14ac:dyDescent="0.3">
      <c r="B579" s="1586"/>
      <c r="C579" s="2529"/>
      <c r="D579" s="2232" t="str">
        <f>D567</f>
        <v>Pintu KM</v>
      </c>
      <c r="E579" s="2337">
        <v>2</v>
      </c>
      <c r="F579" s="2454" t="s">
        <v>185</v>
      </c>
      <c r="G579" s="2337"/>
      <c r="H579" s="2454"/>
      <c r="I579" s="2337">
        <v>0.7</v>
      </c>
      <c r="J579" s="2454" t="s">
        <v>185</v>
      </c>
      <c r="K579" s="2337">
        <v>2</v>
      </c>
      <c r="L579" s="2337"/>
      <c r="M579" s="2337"/>
      <c r="N579" s="2337"/>
      <c r="O579" s="2337"/>
      <c r="P579" s="2454" t="s">
        <v>114</v>
      </c>
      <c r="Q579" s="2337">
        <f>K579*I579*E579</f>
        <v>2.8</v>
      </c>
      <c r="R579" s="2442"/>
      <c r="S579" s="2782"/>
      <c r="T579" s="2362"/>
      <c r="U579" s="2363"/>
      <c r="V579" s="2192"/>
    </row>
    <row r="580" spans="2:22" s="2186" customFormat="1" x14ac:dyDescent="0.3">
      <c r="B580" s="1586"/>
      <c r="C580" s="2529"/>
      <c r="D580" s="2232" t="str">
        <f>D568</f>
        <v>Jendela Type J.1</v>
      </c>
      <c r="E580" s="2337">
        <v>2</v>
      </c>
      <c r="F580" s="2454" t="s">
        <v>185</v>
      </c>
      <c r="G580" s="2337"/>
      <c r="H580" s="2454"/>
      <c r="I580" s="2337">
        <v>2.6</v>
      </c>
      <c r="J580" s="2454" t="s">
        <v>185</v>
      </c>
      <c r="K580" s="2337">
        <v>8</v>
      </c>
      <c r="L580" s="2337"/>
      <c r="M580" s="2337"/>
      <c r="N580" s="2337"/>
      <c r="O580" s="2337"/>
      <c r="P580" s="2454" t="s">
        <v>114</v>
      </c>
      <c r="Q580" s="2337">
        <f>K580*I580*E580</f>
        <v>41.6</v>
      </c>
      <c r="R580" s="2442"/>
      <c r="S580" s="2782"/>
      <c r="T580" s="2362"/>
      <c r="U580" s="2363"/>
      <c r="V580" s="2192"/>
    </row>
    <row r="581" spans="2:22" s="2186" customFormat="1" x14ac:dyDescent="0.3">
      <c r="B581" s="1586"/>
      <c r="C581" s="2529"/>
      <c r="D581" s="2232" t="str">
        <f>D569</f>
        <v>Jendela Type J2</v>
      </c>
      <c r="E581" s="2337">
        <f>E569</f>
        <v>0.7</v>
      </c>
      <c r="F581" s="2454" t="s">
        <v>185</v>
      </c>
      <c r="G581" s="2337"/>
      <c r="H581" s="2454"/>
      <c r="I581" s="2337">
        <f>I569</f>
        <v>1</v>
      </c>
      <c r="J581" s="2454" t="s">
        <v>185</v>
      </c>
      <c r="K581" s="2337">
        <v>2</v>
      </c>
      <c r="L581" s="2337"/>
      <c r="M581" s="2337"/>
      <c r="N581" s="2337"/>
      <c r="O581" s="2337"/>
      <c r="P581" s="2454" t="s">
        <v>114</v>
      </c>
      <c r="Q581" s="2337">
        <f>K581*I581*E581</f>
        <v>1.4</v>
      </c>
      <c r="R581" s="2442"/>
      <c r="S581" s="2782"/>
      <c r="T581" s="2362"/>
      <c r="U581" s="2363"/>
      <c r="V581" s="2192"/>
    </row>
    <row r="582" spans="2:22" s="2186" customFormat="1" x14ac:dyDescent="0.3">
      <c r="B582" s="1586"/>
      <c r="C582" s="2529"/>
      <c r="D582" s="2688"/>
      <c r="E582" s="2710"/>
      <c r="F582" s="2710"/>
      <c r="G582" s="2710"/>
      <c r="H582" s="2710"/>
      <c r="I582" s="2710"/>
      <c r="J582" s="2710"/>
      <c r="K582" s="2710"/>
      <c r="L582" s="2710"/>
      <c r="M582" s="2710"/>
      <c r="N582" s="2710"/>
      <c r="O582" s="2710"/>
      <c r="P582" s="2710"/>
      <c r="Q582" s="2790"/>
      <c r="R582" s="2710"/>
      <c r="S582" s="2738"/>
      <c r="T582" s="2362"/>
      <c r="U582" s="2363"/>
      <c r="V582" s="2192"/>
    </row>
    <row r="583" spans="2:22" s="2186" customFormat="1" ht="17.25" thickBot="1" x14ac:dyDescent="0.35">
      <c r="B583" s="1586"/>
      <c r="C583" s="2529"/>
      <c r="D583" s="3111" t="s">
        <v>164</v>
      </c>
      <c r="E583" s="3112"/>
      <c r="F583" s="3112"/>
      <c r="G583" s="3112"/>
      <c r="H583" s="3112"/>
      <c r="I583" s="3112"/>
      <c r="J583" s="2703"/>
      <c r="K583" s="2703"/>
      <c r="L583" s="2703"/>
      <c r="M583" s="2703"/>
      <c r="N583" s="2703"/>
      <c r="O583" s="2703"/>
      <c r="P583" s="2703"/>
      <c r="Q583" s="2789">
        <f>SUM(Q575:Q576)-SUM(Q578:Q582)</f>
        <v>111.1</v>
      </c>
      <c r="R583" s="2703"/>
      <c r="S583" s="2705"/>
      <c r="T583" s="2362"/>
      <c r="U583" s="2363"/>
      <c r="V583" s="2192"/>
    </row>
    <row r="584" spans="2:22" x14ac:dyDescent="0.3">
      <c r="B584" s="2739"/>
      <c r="C584" s="2528"/>
      <c r="D584" s="2463"/>
      <c r="E584" s="2467"/>
      <c r="F584" s="2467"/>
      <c r="G584" s="2467"/>
      <c r="H584" s="2467"/>
      <c r="I584" s="2467"/>
      <c r="J584" s="2467"/>
      <c r="K584" s="2694"/>
      <c r="L584" s="2694"/>
      <c r="M584" s="2694"/>
      <c r="N584" s="2694"/>
      <c r="O584" s="2694"/>
      <c r="P584" s="2694"/>
      <c r="Q584" s="2694"/>
      <c r="R584" s="2694"/>
      <c r="S584" s="2464"/>
      <c r="T584" s="2370"/>
      <c r="U584" s="2371"/>
    </row>
    <row r="585" spans="2:22" s="2186" customFormat="1" ht="17.25" thickBot="1" x14ac:dyDescent="0.35">
      <c r="B585" s="1207">
        <f>'[61]RAB (2)'!B136</f>
        <v>3</v>
      </c>
      <c r="C585" s="2568" t="str">
        <f>'[61]RAB (2)'!C136</f>
        <v>Pengecatan langit-langit (Jotun Jotaplast)</v>
      </c>
      <c r="D585" s="2530"/>
      <c r="E585" s="2697"/>
      <c r="F585" s="2531"/>
      <c r="G585" s="2697"/>
      <c r="H585" s="2531"/>
      <c r="I585" s="2697"/>
      <c r="J585" s="2531"/>
      <c r="K585" s="2397"/>
      <c r="L585" s="2398"/>
      <c r="M585" s="2398"/>
      <c r="N585" s="2398"/>
      <c r="O585" s="2397"/>
      <c r="P585" s="2398"/>
      <c r="Q585" s="2697"/>
      <c r="R585" s="2697"/>
      <c r="S585" s="2532"/>
      <c r="T585" s="2338"/>
      <c r="U585" s="2363" t="s">
        <v>2</v>
      </c>
      <c r="V585" s="2192"/>
    </row>
    <row r="586" spans="2:22" s="2186" customFormat="1" x14ac:dyDescent="0.3">
      <c r="B586" s="1586"/>
      <c r="C586" s="2529"/>
      <c r="D586" s="2375" t="s">
        <v>95</v>
      </c>
      <c r="E586" s="2376" t="s">
        <v>150</v>
      </c>
      <c r="F586" s="2377"/>
      <c r="G586" s="2376" t="s">
        <v>151</v>
      </c>
      <c r="H586" s="2377"/>
      <c r="I586" s="2376" t="s">
        <v>152</v>
      </c>
      <c r="J586" s="2377"/>
      <c r="K586" s="2376" t="s">
        <v>153</v>
      </c>
      <c r="L586" s="2378"/>
      <c r="M586" s="2378" t="s">
        <v>32</v>
      </c>
      <c r="N586" s="2378"/>
      <c r="O586" s="2379" t="s">
        <v>163</v>
      </c>
      <c r="P586" s="2378"/>
      <c r="Q586" s="2379" t="s">
        <v>151</v>
      </c>
      <c r="R586" s="2378"/>
      <c r="S586" s="2380" t="s">
        <v>143</v>
      </c>
      <c r="T586" s="2362"/>
      <c r="U586" s="2363"/>
      <c r="V586" s="2192"/>
    </row>
    <row r="587" spans="2:22" s="2186" customFormat="1" x14ac:dyDescent="0.3">
      <c r="B587" s="1586"/>
      <c r="C587" s="2529"/>
      <c r="D587" s="2726" t="s">
        <v>743</v>
      </c>
      <c r="E587" s="2732"/>
      <c r="F587" s="2732"/>
      <c r="G587" s="2732"/>
      <c r="H587" s="2732"/>
      <c r="I587" s="2732"/>
      <c r="J587" s="2732"/>
      <c r="K587" s="2732"/>
      <c r="L587" s="2732"/>
      <c r="M587" s="2732"/>
      <c r="N587" s="2732"/>
      <c r="O587" s="2732"/>
      <c r="P587" s="2732"/>
      <c r="Q587" s="2731">
        <f>Q552</f>
        <v>114.03749999999999</v>
      </c>
      <c r="R587" s="2732"/>
      <c r="S587" s="2778"/>
      <c r="T587" s="2362"/>
      <c r="U587" s="2363"/>
      <c r="V587" s="2192"/>
    </row>
    <row r="588" spans="2:22" s="2186" customFormat="1" x14ac:dyDescent="0.3">
      <c r="B588" s="1586"/>
      <c r="C588" s="2529"/>
      <c r="D588" s="2232" t="s">
        <v>744</v>
      </c>
      <c r="E588" s="2781"/>
      <c r="F588" s="2781"/>
      <c r="G588" s="2781"/>
      <c r="H588" s="2781"/>
      <c r="I588" s="2781"/>
      <c r="J588" s="2781"/>
      <c r="K588" s="2781"/>
      <c r="L588" s="2781"/>
      <c r="M588" s="2781"/>
      <c r="N588" s="2781"/>
      <c r="O588" s="2781"/>
      <c r="P588" s="2781"/>
      <c r="Q588" s="2791">
        <f>Q443</f>
        <v>26.725000000000001</v>
      </c>
      <c r="R588" s="2781"/>
      <c r="S588" s="2782"/>
      <c r="T588" s="2362"/>
      <c r="U588" s="2363"/>
      <c r="V588" s="2192"/>
    </row>
    <row r="589" spans="2:22" s="2186" customFormat="1" x14ac:dyDescent="0.3">
      <c r="B589" s="1586"/>
      <c r="C589" s="2529"/>
      <c r="D589" s="2688"/>
      <c r="E589" s="2710"/>
      <c r="F589" s="2710"/>
      <c r="G589" s="2710"/>
      <c r="H589" s="2710"/>
      <c r="I589" s="2710"/>
      <c r="J589" s="2710"/>
      <c r="K589" s="2710"/>
      <c r="L589" s="2710"/>
      <c r="M589" s="2710"/>
      <c r="N589" s="2710"/>
      <c r="O589" s="2710"/>
      <c r="P589" s="2710"/>
      <c r="Q589" s="2710"/>
      <c r="R589" s="2710"/>
      <c r="S589" s="2738"/>
      <c r="T589" s="2362"/>
      <c r="U589" s="2363"/>
      <c r="V589" s="2192"/>
    </row>
    <row r="590" spans="2:22" s="2186" customFormat="1" ht="17.25" thickBot="1" x14ac:dyDescent="0.35">
      <c r="B590" s="1586"/>
      <c r="C590" s="2529"/>
      <c r="D590" s="3111" t="s">
        <v>164</v>
      </c>
      <c r="E590" s="3112"/>
      <c r="F590" s="3112"/>
      <c r="G590" s="3112"/>
      <c r="H590" s="3112"/>
      <c r="I590" s="3112"/>
      <c r="J590" s="2703"/>
      <c r="K590" s="2703"/>
      <c r="L590" s="2703"/>
      <c r="M590" s="2703"/>
      <c r="N590" s="2703"/>
      <c r="O590" s="2703"/>
      <c r="P590" s="2703"/>
      <c r="Q590" s="2703">
        <f>SUM(Q587:Q589)</f>
        <v>140.76249999999999</v>
      </c>
      <c r="R590" s="2703"/>
      <c r="S590" s="2705"/>
      <c r="T590" s="2362"/>
      <c r="U590" s="2363"/>
      <c r="V590" s="2192"/>
    </row>
    <row r="591" spans="2:22" x14ac:dyDescent="0.3">
      <c r="B591" s="2527"/>
      <c r="C591" s="2528"/>
      <c r="D591" s="2463"/>
      <c r="E591" s="2694"/>
      <c r="F591" s="2467"/>
      <c r="G591" s="2694"/>
      <c r="H591" s="2467"/>
      <c r="I591" s="2694"/>
      <c r="J591" s="2467"/>
      <c r="K591" s="2406"/>
      <c r="L591" s="2407"/>
      <c r="M591" s="2407"/>
      <c r="N591" s="2407"/>
      <c r="O591" s="2406"/>
      <c r="P591" s="2407"/>
      <c r="Q591" s="2694"/>
      <c r="R591" s="2694"/>
      <c r="S591" s="2464"/>
      <c r="T591" s="2370"/>
      <c r="U591" s="2371"/>
    </row>
    <row r="592" spans="2:22" s="2186" customFormat="1" ht="17.25" thickBot="1" x14ac:dyDescent="0.35">
      <c r="B592" s="1207">
        <f>'[61]RAB (2)'!B137</f>
        <v>4</v>
      </c>
      <c r="C592" s="2568" t="str">
        <f>'[61]RAB (2)'!C137</f>
        <v>Pengecatan Minyak bidang besi dan Kayu (Avian)</v>
      </c>
      <c r="D592" s="2530"/>
      <c r="E592" s="2697"/>
      <c r="F592" s="2531"/>
      <c r="G592" s="2697"/>
      <c r="H592" s="2531"/>
      <c r="I592" s="2697"/>
      <c r="J592" s="2531"/>
      <c r="K592" s="2397"/>
      <c r="L592" s="2398"/>
      <c r="M592" s="2398"/>
      <c r="N592" s="2398"/>
      <c r="O592" s="2397"/>
      <c r="P592" s="2398"/>
      <c r="Q592" s="2697"/>
      <c r="R592" s="2697"/>
      <c r="S592" s="2532"/>
      <c r="T592" s="2338"/>
      <c r="U592" s="2363" t="s">
        <v>2</v>
      </c>
      <c r="V592" s="2192"/>
    </row>
    <row r="593" spans="2:24" s="2186" customFormat="1" x14ac:dyDescent="0.3">
      <c r="B593" s="1586"/>
      <c r="C593" s="2529"/>
      <c r="D593" s="2375" t="s">
        <v>95</v>
      </c>
      <c r="E593" s="2376" t="s">
        <v>150</v>
      </c>
      <c r="F593" s="2377"/>
      <c r="G593" s="2376" t="s">
        <v>151</v>
      </c>
      <c r="H593" s="2377"/>
      <c r="I593" s="2376" t="s">
        <v>152</v>
      </c>
      <c r="J593" s="2377"/>
      <c r="K593" s="2376" t="s">
        <v>153</v>
      </c>
      <c r="L593" s="2378"/>
      <c r="M593" s="2378" t="s">
        <v>32</v>
      </c>
      <c r="N593" s="2378"/>
      <c r="O593" s="2379" t="s">
        <v>163</v>
      </c>
      <c r="P593" s="2378"/>
      <c r="Q593" s="2379" t="s">
        <v>151</v>
      </c>
      <c r="R593" s="2378"/>
      <c r="S593" s="2380" t="s">
        <v>143</v>
      </c>
      <c r="T593" s="2362"/>
      <c r="U593" s="2363"/>
      <c r="V593" s="2192"/>
    </row>
    <row r="594" spans="2:24" s="2186" customFormat="1" x14ac:dyDescent="0.3">
      <c r="B594" s="1586"/>
      <c r="C594" s="2529"/>
      <c r="D594" s="2726" t="s">
        <v>745</v>
      </c>
      <c r="E594" s="2342">
        <f>E456</f>
        <v>6.75</v>
      </c>
      <c r="F594" s="2342" t="s">
        <v>185</v>
      </c>
      <c r="G594" s="2342"/>
      <c r="H594" s="2342"/>
      <c r="I594" s="2342">
        <v>1.1000000000000001</v>
      </c>
      <c r="J594" s="2342"/>
      <c r="K594" s="2342">
        <v>1</v>
      </c>
      <c r="L594" s="2342"/>
      <c r="M594" s="2342"/>
      <c r="N594" s="2342"/>
      <c r="O594" s="2342"/>
      <c r="P594" s="2342" t="s">
        <v>114</v>
      </c>
      <c r="Q594" s="2342">
        <f>I594*E594*K594</f>
        <v>7.4250000000000007</v>
      </c>
      <c r="R594" s="2342"/>
      <c r="S594" s="2536"/>
      <c r="T594" s="2362"/>
      <c r="U594" s="2363"/>
      <c r="V594" s="2192"/>
    </row>
    <row r="595" spans="2:24" s="2185" customFormat="1" x14ac:dyDescent="0.3">
      <c r="B595" s="1586"/>
      <c r="C595" s="2546"/>
      <c r="D595" s="2792" t="s">
        <v>747</v>
      </c>
      <c r="E595" s="2612"/>
      <c r="F595" s="2612"/>
      <c r="G595" s="2612"/>
      <c r="H595" s="2612"/>
      <c r="I595" s="2612"/>
      <c r="J595" s="2612"/>
      <c r="K595" s="2612"/>
      <c r="L595" s="2612"/>
      <c r="M595" s="2612"/>
      <c r="N595" s="2612"/>
      <c r="O595" s="2612"/>
      <c r="P595" s="2612"/>
      <c r="Q595" s="2612"/>
      <c r="R595" s="2612"/>
      <c r="S595" s="2793"/>
      <c r="T595" s="2356"/>
      <c r="U595" s="2410"/>
      <c r="V595" s="2209"/>
    </row>
    <row r="596" spans="2:24" s="2185" customFormat="1" x14ac:dyDescent="0.3">
      <c r="B596" s="1586"/>
      <c r="C596" s="2546"/>
      <c r="D596" s="2794" t="s">
        <v>1369</v>
      </c>
      <c r="E596" s="2612">
        <f>2+2+1.5+1.5</f>
        <v>7</v>
      </c>
      <c r="F596" s="2612" t="s">
        <v>185</v>
      </c>
      <c r="G596" s="2612">
        <v>0.25</v>
      </c>
      <c r="H596" s="2612" t="s">
        <v>185</v>
      </c>
      <c r="I596" s="2612"/>
      <c r="J596" s="2612"/>
      <c r="K596" s="2612">
        <v>2</v>
      </c>
      <c r="L596" s="2612"/>
      <c r="M596" s="2612"/>
      <c r="N596" s="2612"/>
      <c r="O596" s="2612"/>
      <c r="P596" s="2612" t="s">
        <v>114</v>
      </c>
      <c r="Q596" s="2612">
        <f>K596*G596*E596</f>
        <v>3.5</v>
      </c>
      <c r="R596" s="2612"/>
      <c r="S596" s="2793"/>
      <c r="T596" s="2356"/>
      <c r="U596" s="2410"/>
      <c r="V596" s="2209"/>
    </row>
    <row r="597" spans="2:24" s="2185" customFormat="1" x14ac:dyDescent="0.3">
      <c r="B597" s="1586"/>
      <c r="C597" s="2546"/>
      <c r="D597" s="2794" t="s">
        <v>1370</v>
      </c>
      <c r="E597" s="2612">
        <f>1.5</f>
        <v>1.5</v>
      </c>
      <c r="F597" s="2612" t="s">
        <v>185</v>
      </c>
      <c r="G597" s="2612">
        <v>2</v>
      </c>
      <c r="H597" s="2612" t="s">
        <v>185</v>
      </c>
      <c r="I597" s="2612"/>
      <c r="J597" s="2612"/>
      <c r="K597" s="2612">
        <v>2</v>
      </c>
      <c r="L597" s="2612"/>
      <c r="M597" s="2612"/>
      <c r="N597" s="2612"/>
      <c r="O597" s="2612"/>
      <c r="P597" s="2612" t="s">
        <v>114</v>
      </c>
      <c r="Q597" s="2612">
        <f>K597*G597*E597</f>
        <v>6</v>
      </c>
      <c r="R597" s="2612"/>
      <c r="S597" s="2793"/>
      <c r="T597" s="2356"/>
      <c r="U597" s="2410"/>
      <c r="V597" s="2209"/>
    </row>
    <row r="598" spans="2:24" s="2185" customFormat="1" x14ac:dyDescent="0.3">
      <c r="B598" s="1586"/>
      <c r="C598" s="2546"/>
      <c r="D598" s="2795"/>
      <c r="E598" s="2580"/>
      <c r="F598" s="2580"/>
      <c r="G598" s="2580"/>
      <c r="H598" s="2580"/>
      <c r="I598" s="2580"/>
      <c r="J598" s="2580"/>
      <c r="K598" s="2580"/>
      <c r="L598" s="2580"/>
      <c r="M598" s="2580"/>
      <c r="N598" s="2580"/>
      <c r="O598" s="2580"/>
      <c r="P598" s="2580"/>
      <c r="Q598" s="2580"/>
      <c r="R598" s="2580"/>
      <c r="S598" s="2615"/>
      <c r="T598" s="2356"/>
      <c r="U598" s="2410"/>
      <c r="V598" s="2209"/>
    </row>
    <row r="599" spans="2:24" s="2185" customFormat="1" ht="17.25" thickBot="1" x14ac:dyDescent="0.35">
      <c r="B599" s="1586"/>
      <c r="C599" s="2546"/>
      <c r="D599" s="3113" t="s">
        <v>164</v>
      </c>
      <c r="E599" s="3114"/>
      <c r="F599" s="3114"/>
      <c r="G599" s="3114"/>
      <c r="H599" s="3114"/>
      <c r="I599" s="3114"/>
      <c r="J599" s="2796"/>
      <c r="K599" s="2796"/>
      <c r="L599" s="2796"/>
      <c r="M599" s="2796"/>
      <c r="N599" s="2796"/>
      <c r="O599" s="2796"/>
      <c r="P599" s="2796"/>
      <c r="Q599" s="2797">
        <f>SUM(Q594:Q598)</f>
        <v>16.925000000000001</v>
      </c>
      <c r="R599" s="2796"/>
      <c r="S599" s="2798"/>
      <c r="T599" s="2356"/>
      <c r="U599" s="2410"/>
      <c r="V599" s="2209"/>
    </row>
    <row r="600" spans="2:24" s="2186" customFormat="1" x14ac:dyDescent="0.3">
      <c r="B600" s="1586"/>
      <c r="C600" s="2529"/>
      <c r="D600" s="2530"/>
      <c r="E600" s="2531"/>
      <c r="F600" s="2531"/>
      <c r="G600" s="2531"/>
      <c r="H600" s="2531"/>
      <c r="I600" s="2531"/>
      <c r="J600" s="2531"/>
      <c r="K600" s="2697"/>
      <c r="L600" s="2697"/>
      <c r="M600" s="2697"/>
      <c r="N600" s="2697"/>
      <c r="O600" s="2697"/>
      <c r="P600" s="2697"/>
      <c r="Q600" s="2697"/>
      <c r="R600" s="2697"/>
      <c r="S600" s="2698"/>
      <c r="T600" s="2362"/>
      <c r="U600" s="2363"/>
      <c r="V600" s="2192"/>
    </row>
    <row r="601" spans="2:24" ht="17.25" thickBot="1" x14ac:dyDescent="0.35">
      <c r="B601" s="2799" t="str">
        <f>'[61]RAB (2)'!B140</f>
        <v>VIII</v>
      </c>
      <c r="C601" s="2800" t="str">
        <f>'[61]RAB (2)'!C140</f>
        <v>PEKERJAAN SANITAIR</v>
      </c>
      <c r="D601" s="2358"/>
      <c r="E601" s="2359"/>
      <c r="F601" s="2360"/>
      <c r="G601" s="2359"/>
      <c r="H601" s="2360"/>
      <c r="I601" s="2359"/>
      <c r="J601" s="2360"/>
      <c r="K601" s="2359"/>
      <c r="L601" s="2360"/>
      <c r="M601" s="2360"/>
      <c r="N601" s="2360"/>
      <c r="O601" s="2359"/>
      <c r="P601" s="2360"/>
      <c r="Q601" s="2359"/>
      <c r="R601" s="2360"/>
      <c r="S601" s="2361"/>
      <c r="T601" s="2338"/>
      <c r="U601" s="2363"/>
    </row>
    <row r="602" spans="2:24" x14ac:dyDescent="0.3">
      <c r="B602" s="1586"/>
      <c r="C602" s="2529"/>
      <c r="D602" s="2722" t="s">
        <v>95</v>
      </c>
      <c r="E602" s="2723" t="s">
        <v>150</v>
      </c>
      <c r="F602" s="2724"/>
      <c r="G602" s="2723" t="s">
        <v>151</v>
      </c>
      <c r="H602" s="2724"/>
      <c r="I602" s="2723" t="s">
        <v>152</v>
      </c>
      <c r="J602" s="2724"/>
      <c r="K602" s="2723" t="s">
        <v>153</v>
      </c>
      <c r="L602" s="2724"/>
      <c r="M602" s="2724" t="s">
        <v>32</v>
      </c>
      <c r="N602" s="2724"/>
      <c r="O602" s="2723" t="s">
        <v>163</v>
      </c>
      <c r="P602" s="2724"/>
      <c r="Q602" s="2723" t="s">
        <v>151</v>
      </c>
      <c r="R602" s="2724"/>
      <c r="S602" s="2725" t="s">
        <v>143</v>
      </c>
      <c r="T602" s="2362"/>
      <c r="U602" s="2363"/>
    </row>
    <row r="603" spans="2:24" x14ac:dyDescent="0.3">
      <c r="B603" s="2739"/>
      <c r="C603" s="2528"/>
      <c r="D603" s="2228"/>
      <c r="E603" s="2801"/>
      <c r="F603" s="2801"/>
      <c r="G603" s="2801"/>
      <c r="H603" s="2801"/>
      <c r="I603" s="2801"/>
      <c r="J603" s="2801"/>
      <c r="K603" s="2801"/>
      <c r="L603" s="2801"/>
      <c r="M603" s="2801"/>
      <c r="N603" s="2801"/>
      <c r="O603" s="2801"/>
      <c r="P603" s="2801"/>
      <c r="Q603" s="2801"/>
      <c r="R603" s="2801"/>
      <c r="S603" s="2802"/>
      <c r="T603" s="2686"/>
      <c r="U603" s="2371"/>
      <c r="W603" s="2229"/>
      <c r="X603" s="2229"/>
    </row>
    <row r="604" spans="2:24" x14ac:dyDescent="0.3">
      <c r="B604" s="2739"/>
      <c r="C604" s="2528"/>
      <c r="D604" s="2230" t="str">
        <f>'[61]RAB (2)'!C141</f>
        <v>Instalasi Pipa Air Bersih Pipa PPR PN 10.</v>
      </c>
      <c r="E604" s="2337"/>
      <c r="F604" s="2337"/>
      <c r="G604" s="2337"/>
      <c r="H604" s="2337"/>
      <c r="I604" s="2337"/>
      <c r="J604" s="2337"/>
      <c r="K604" s="2337"/>
      <c r="L604" s="2337"/>
      <c r="M604" s="2337"/>
      <c r="N604" s="2337"/>
      <c r="O604" s="2337"/>
      <c r="P604" s="2337"/>
      <c r="Q604" s="2337"/>
      <c r="R604" s="2337"/>
      <c r="S604" s="2455"/>
      <c r="T604" s="2686"/>
      <c r="U604" s="2231"/>
      <c r="W604" s="2229"/>
      <c r="X604" s="2229"/>
    </row>
    <row r="605" spans="2:24" x14ac:dyDescent="0.3">
      <c r="B605" s="2739"/>
      <c r="C605" s="2528"/>
      <c r="D605" s="2232" t="str">
        <f>'[61]RAB (2)'!D142</f>
        <v>Dia. 20 mm (1/2")</v>
      </c>
      <c r="E605" s="2337">
        <v>20</v>
      </c>
      <c r="F605" s="2337"/>
      <c r="G605" s="2337"/>
      <c r="H605" s="2337"/>
      <c r="I605" s="2337"/>
      <c r="J605" s="2337"/>
      <c r="K605" s="2337"/>
      <c r="L605" s="2337"/>
      <c r="M605" s="2337"/>
      <c r="N605" s="2337"/>
      <c r="O605" s="2337"/>
      <c r="P605" s="2337"/>
      <c r="Q605" s="2337"/>
      <c r="R605" s="2589" t="s">
        <v>114</v>
      </c>
      <c r="S605" s="2803">
        <f>E605</f>
        <v>20</v>
      </c>
      <c r="T605" s="2804"/>
      <c r="U605" s="2231" t="s">
        <v>27</v>
      </c>
      <c r="W605" s="2233"/>
      <c r="X605" s="2234"/>
    </row>
    <row r="606" spans="2:24" x14ac:dyDescent="0.3">
      <c r="B606" s="2739"/>
      <c r="C606" s="2528"/>
      <c r="D606" s="2232" t="str">
        <f>'[61]RAB (2)'!D143</f>
        <v xml:space="preserve">Gate Valve Dia 15 mm (1/2") </v>
      </c>
      <c r="E606" s="2337">
        <v>1</v>
      </c>
      <c r="F606" s="2337"/>
      <c r="G606" s="2337"/>
      <c r="H606" s="2337"/>
      <c r="I606" s="2337"/>
      <c r="J606" s="2337"/>
      <c r="K606" s="2337"/>
      <c r="L606" s="2337"/>
      <c r="M606" s="2337"/>
      <c r="N606" s="2337"/>
      <c r="O606" s="2337"/>
      <c r="P606" s="2337"/>
      <c r="Q606" s="2337"/>
      <c r="R606" s="2589" t="s">
        <v>114</v>
      </c>
      <c r="S606" s="2803">
        <f>E606</f>
        <v>1</v>
      </c>
      <c r="T606" s="2804"/>
      <c r="U606" s="2231" t="s">
        <v>9</v>
      </c>
      <c r="W606" s="2233"/>
      <c r="X606" s="2234"/>
    </row>
    <row r="607" spans="2:24" x14ac:dyDescent="0.3">
      <c r="B607" s="2739"/>
      <c r="C607" s="2528"/>
      <c r="D607" s="2230"/>
      <c r="E607" s="2337"/>
      <c r="F607" s="2337"/>
      <c r="G607" s="2337"/>
      <c r="H607" s="2337"/>
      <c r="I607" s="2337"/>
      <c r="J607" s="2337"/>
      <c r="K607" s="2337"/>
      <c r="L607" s="2337"/>
      <c r="M607" s="2337"/>
      <c r="N607" s="2337"/>
      <c r="O607" s="2337"/>
      <c r="P607" s="2337"/>
      <c r="Q607" s="2337"/>
      <c r="R607" s="2589"/>
      <c r="S607" s="2803"/>
      <c r="T607" s="2804"/>
      <c r="U607" s="2371"/>
      <c r="W607" s="2233"/>
      <c r="X607" s="2234"/>
    </row>
    <row r="608" spans="2:24" ht="41.25" x14ac:dyDescent="0.3">
      <c r="B608" s="2739"/>
      <c r="C608" s="2528"/>
      <c r="D608" s="2235" t="str">
        <f>'[61]RAB (2)'!C144</f>
        <v>Instalasi Pipa Air kotor dan bekas pipa PVC class AW 10 kg/cm3.</v>
      </c>
      <c r="E608" s="2337"/>
      <c r="F608" s="2337"/>
      <c r="G608" s="2337"/>
      <c r="H608" s="2337"/>
      <c r="I608" s="2337"/>
      <c r="J608" s="2337"/>
      <c r="K608" s="2337"/>
      <c r="L608" s="2337"/>
      <c r="M608" s="2337"/>
      <c r="N608" s="2337"/>
      <c r="O608" s="2337"/>
      <c r="P608" s="2337"/>
      <c r="Q608" s="2337"/>
      <c r="R608" s="2589"/>
      <c r="S608" s="2803"/>
      <c r="T608" s="2804"/>
      <c r="U608" s="2371"/>
      <c r="W608" s="2236"/>
      <c r="X608" s="2237"/>
    </row>
    <row r="609" spans="2:24" x14ac:dyDescent="0.3">
      <c r="B609" s="2739"/>
      <c r="C609" s="2528"/>
      <c r="D609" s="2232" t="str">
        <f>'[61]RAB (2)'!D145</f>
        <v>Dia. 150 mm (6") tinja</v>
      </c>
      <c r="E609" s="2337">
        <v>17</v>
      </c>
      <c r="F609" s="2337" t="s">
        <v>185</v>
      </c>
      <c r="G609" s="2337"/>
      <c r="H609" s="2337"/>
      <c r="I609" s="2337"/>
      <c r="J609" s="2337"/>
      <c r="K609" s="2337">
        <v>1</v>
      </c>
      <c r="L609" s="2337"/>
      <c r="M609" s="2337"/>
      <c r="N609" s="2337"/>
      <c r="O609" s="2337"/>
      <c r="P609" s="2337"/>
      <c r="Q609" s="2337"/>
      <c r="R609" s="2589" t="s">
        <v>114</v>
      </c>
      <c r="S609" s="2803">
        <f>E609*K609</f>
        <v>17</v>
      </c>
      <c r="T609" s="2804"/>
      <c r="U609" s="2231" t="s">
        <v>27</v>
      </c>
      <c r="W609" s="2236"/>
      <c r="X609" s="2237"/>
    </row>
    <row r="610" spans="2:24" x14ac:dyDescent="0.3">
      <c r="B610" s="2739"/>
      <c r="C610" s="2528"/>
      <c r="D610" s="2232" t="str">
        <f>'[61]RAB (2)'!D146</f>
        <v>Dia. 150 mm (6") Air kotor</v>
      </c>
      <c r="E610" s="2337">
        <v>17</v>
      </c>
      <c r="F610" s="2337"/>
      <c r="G610" s="2337"/>
      <c r="H610" s="2337"/>
      <c r="I610" s="2337"/>
      <c r="J610" s="2337"/>
      <c r="K610" s="2337"/>
      <c r="L610" s="2337"/>
      <c r="M610" s="2337"/>
      <c r="N610" s="2337"/>
      <c r="O610" s="2337"/>
      <c r="P610" s="2337"/>
      <c r="Q610" s="2337"/>
      <c r="R610" s="2589" t="s">
        <v>114</v>
      </c>
      <c r="S610" s="2803">
        <f>E610</f>
        <v>17</v>
      </c>
      <c r="T610" s="2804"/>
      <c r="U610" s="2231" t="s">
        <v>27</v>
      </c>
      <c r="W610" s="2236"/>
      <c r="X610" s="2237"/>
    </row>
    <row r="611" spans="2:24" x14ac:dyDescent="0.3">
      <c r="B611" s="2739"/>
      <c r="C611" s="2528"/>
      <c r="D611" s="2228"/>
      <c r="E611" s="2801"/>
      <c r="F611" s="2801"/>
      <c r="G611" s="2801"/>
      <c r="H611" s="2801"/>
      <c r="I611" s="2801"/>
      <c r="J611" s="2801"/>
      <c r="K611" s="2801"/>
      <c r="L611" s="2801"/>
      <c r="M611" s="2801"/>
      <c r="N611" s="2801"/>
      <c r="O611" s="2801"/>
      <c r="P611" s="2801"/>
      <c r="Q611" s="2801"/>
      <c r="R611" s="2801"/>
      <c r="S611" s="2802"/>
      <c r="T611" s="2686"/>
      <c r="U611" s="2371"/>
      <c r="W611" s="2229"/>
      <c r="X611" s="2229"/>
    </row>
    <row r="612" spans="2:24" s="2186" customFormat="1" x14ac:dyDescent="0.3">
      <c r="B612" s="1586"/>
      <c r="C612" s="2529"/>
      <c r="D612" s="2232" t="str">
        <f>'[61]RAB (2)'!C147</f>
        <v>Kloset Jongkok porselin</v>
      </c>
      <c r="E612" s="2337"/>
      <c r="F612" s="2337"/>
      <c r="G612" s="2337"/>
      <c r="H612" s="2337"/>
      <c r="I612" s="2337"/>
      <c r="J612" s="2337"/>
      <c r="K612" s="2337">
        <v>2</v>
      </c>
      <c r="L612" s="2337"/>
      <c r="M612" s="2337"/>
      <c r="N612" s="2337"/>
      <c r="O612" s="2337"/>
      <c r="P612" s="2337"/>
      <c r="Q612" s="2337"/>
      <c r="R612" s="2589" t="s">
        <v>114</v>
      </c>
      <c r="S612" s="2803">
        <f>K612</f>
        <v>2</v>
      </c>
      <c r="T612" s="2804"/>
      <c r="U612" s="2231" t="s">
        <v>9</v>
      </c>
      <c r="V612" s="2192"/>
    </row>
    <row r="613" spans="2:24" s="2186" customFormat="1" x14ac:dyDescent="0.3">
      <c r="B613" s="1586"/>
      <c r="C613" s="2529"/>
      <c r="D613" s="2232" t="str">
        <f>'[61]RAB (2)'!C148</f>
        <v xml:space="preserve">Floor Drain Stainless staill </v>
      </c>
      <c r="E613" s="2337"/>
      <c r="F613" s="2337"/>
      <c r="G613" s="2337"/>
      <c r="H613" s="2337"/>
      <c r="I613" s="2337"/>
      <c r="J613" s="2337"/>
      <c r="K613" s="2337">
        <v>2</v>
      </c>
      <c r="L613" s="2337"/>
      <c r="M613" s="2337"/>
      <c r="N613" s="2337"/>
      <c r="O613" s="2337"/>
      <c r="P613" s="2337"/>
      <c r="Q613" s="2337"/>
      <c r="R613" s="2589" t="s">
        <v>114</v>
      </c>
      <c r="S613" s="2803">
        <f>K613</f>
        <v>2</v>
      </c>
      <c r="T613" s="2804"/>
      <c r="U613" s="2231" t="s">
        <v>9</v>
      </c>
      <c r="V613" s="2192"/>
    </row>
    <row r="614" spans="2:24" s="2186" customFormat="1" x14ac:dyDescent="0.3">
      <c r="B614" s="1586"/>
      <c r="C614" s="2529"/>
      <c r="D614" s="2232" t="str">
        <f>'[61]RAB (2)'!C149</f>
        <v>Kran air Stainless staill 1/2 inc</v>
      </c>
      <c r="E614" s="2337"/>
      <c r="F614" s="2337"/>
      <c r="G614" s="2337"/>
      <c r="H614" s="2337"/>
      <c r="I614" s="2337"/>
      <c r="J614" s="2337"/>
      <c r="K614" s="2337">
        <v>2</v>
      </c>
      <c r="L614" s="2337"/>
      <c r="M614" s="2337"/>
      <c r="N614" s="2337"/>
      <c r="O614" s="2337"/>
      <c r="P614" s="2337"/>
      <c r="Q614" s="2337"/>
      <c r="R614" s="2589" t="s">
        <v>114</v>
      </c>
      <c r="S614" s="2803">
        <f>K614</f>
        <v>2</v>
      </c>
      <c r="T614" s="2804"/>
      <c r="U614" s="2231" t="s">
        <v>9</v>
      </c>
      <c r="V614" s="2192"/>
    </row>
    <row r="615" spans="2:24" x14ac:dyDescent="0.3">
      <c r="B615" s="2739"/>
      <c r="C615" s="2528"/>
      <c r="D615" s="2238"/>
      <c r="E615" s="2801"/>
      <c r="F615" s="2801"/>
      <c r="G615" s="2801"/>
      <c r="H615" s="2801"/>
      <c r="I615" s="2801"/>
      <c r="J615" s="2801"/>
      <c r="K615" s="2801"/>
      <c r="L615" s="2801"/>
      <c r="M615" s="2801"/>
      <c r="N615" s="2801"/>
      <c r="O615" s="2801"/>
      <c r="P615" s="2801"/>
      <c r="Q615" s="2801"/>
      <c r="R615" s="2801"/>
      <c r="S615" s="2802"/>
      <c r="T615" s="2686"/>
      <c r="U615" s="2371"/>
    </row>
    <row r="616" spans="2:24" s="2186" customFormat="1" x14ac:dyDescent="0.3">
      <c r="B616" s="1586"/>
      <c r="C616" s="2529"/>
      <c r="D616" s="2230" t="str">
        <f>'[61]RAB (2)'!C150</f>
        <v>Septiktank  &amp; Resapan</v>
      </c>
      <c r="E616" s="2337"/>
      <c r="F616" s="2337"/>
      <c r="G616" s="2337"/>
      <c r="H616" s="2337"/>
      <c r="I616" s="2337"/>
      <c r="J616" s="2337"/>
      <c r="K616" s="2337"/>
      <c r="L616" s="2337"/>
      <c r="M616" s="2337"/>
      <c r="N616" s="2337"/>
      <c r="O616" s="2337"/>
      <c r="P616" s="2337"/>
      <c r="Q616" s="2337"/>
      <c r="R616" s="2337"/>
      <c r="S616" s="2455"/>
      <c r="T616" s="2680"/>
      <c r="U616" s="2363"/>
      <c r="V616" s="2192"/>
    </row>
    <row r="617" spans="2:24" s="2186" customFormat="1" x14ac:dyDescent="0.3">
      <c r="B617" s="1586"/>
      <c r="C617" s="2529"/>
      <c r="D617" s="2232" t="str">
        <f>'[61]RAB (2)'!D151</f>
        <v xml:space="preserve">- Galian Tanah </v>
      </c>
      <c r="E617" s="2337"/>
      <c r="F617" s="2337"/>
      <c r="G617" s="2337"/>
      <c r="H617" s="2337"/>
      <c r="I617" s="2337"/>
      <c r="J617" s="2337"/>
      <c r="K617" s="2337"/>
      <c r="L617" s="2337"/>
      <c r="M617" s="2337"/>
      <c r="N617" s="2337"/>
      <c r="O617" s="2337"/>
      <c r="P617" s="2337"/>
      <c r="Q617" s="2337"/>
      <c r="R617" s="2337"/>
      <c r="S617" s="2455">
        <f>SUM(S618:S619)</f>
        <v>12.600000000000001</v>
      </c>
      <c r="T617" s="2804"/>
      <c r="U617" s="2231" t="s">
        <v>3</v>
      </c>
      <c r="V617" s="2192"/>
    </row>
    <row r="618" spans="2:24" s="2186" customFormat="1" x14ac:dyDescent="0.3">
      <c r="B618" s="1586"/>
      <c r="C618" s="2529"/>
      <c r="D618" s="2232" t="s">
        <v>838</v>
      </c>
      <c r="E618" s="2337">
        <v>3</v>
      </c>
      <c r="F618" s="2337" t="s">
        <v>185</v>
      </c>
      <c r="G618" s="2337">
        <v>1.8</v>
      </c>
      <c r="H618" s="2337" t="s">
        <v>185</v>
      </c>
      <c r="I618" s="2337">
        <v>1.5</v>
      </c>
      <c r="J618" s="2337"/>
      <c r="K618" s="2337"/>
      <c r="L618" s="2337"/>
      <c r="M618" s="2337"/>
      <c r="N618" s="2337"/>
      <c r="O618" s="2337"/>
      <c r="P618" s="2337"/>
      <c r="Q618" s="2337"/>
      <c r="R618" s="2337" t="s">
        <v>114</v>
      </c>
      <c r="S618" s="2455">
        <f>I618*G618*E618</f>
        <v>8.1000000000000014</v>
      </c>
      <c r="T618" s="2680"/>
      <c r="U618" s="2363"/>
      <c r="V618" s="2192"/>
    </row>
    <row r="619" spans="2:24" s="2186" customFormat="1" x14ac:dyDescent="0.3">
      <c r="B619" s="1586"/>
      <c r="C619" s="2529"/>
      <c r="D619" s="2232" t="s">
        <v>839</v>
      </c>
      <c r="E619" s="2337">
        <v>2</v>
      </c>
      <c r="F619" s="2337" t="s">
        <v>185</v>
      </c>
      <c r="G619" s="2337">
        <v>1.5</v>
      </c>
      <c r="H619" s="2337" t="s">
        <v>185</v>
      </c>
      <c r="I619" s="2337">
        <v>1.5</v>
      </c>
      <c r="J619" s="2337"/>
      <c r="K619" s="2337"/>
      <c r="L619" s="2337"/>
      <c r="M619" s="2337"/>
      <c r="N619" s="2337"/>
      <c r="O619" s="2337"/>
      <c r="P619" s="2337"/>
      <c r="Q619" s="2337"/>
      <c r="R619" s="2337" t="s">
        <v>114</v>
      </c>
      <c r="S619" s="2455">
        <f>I619*G619*E619</f>
        <v>4.5</v>
      </c>
      <c r="T619" s="2680"/>
      <c r="U619" s="2363"/>
      <c r="V619" s="2192"/>
    </row>
    <row r="620" spans="2:24" s="2186" customFormat="1" x14ac:dyDescent="0.3">
      <c r="B620" s="1586"/>
      <c r="C620" s="2529"/>
      <c r="D620" s="2232" t="str">
        <f>[61]RAB!D143</f>
        <v>- Pasangan Batu-Bata 1 : 4</v>
      </c>
      <c r="E620" s="2337"/>
      <c r="F620" s="2337"/>
      <c r="G620" s="2337"/>
      <c r="H620" s="2337"/>
      <c r="I620" s="2337"/>
      <c r="J620" s="2337"/>
      <c r="K620" s="2337"/>
      <c r="L620" s="2337"/>
      <c r="M620" s="2337"/>
      <c r="N620" s="2337"/>
      <c r="O620" s="2337"/>
      <c r="P620" s="2337"/>
      <c r="Q620" s="2805">
        <f>SUM(Q621:Q622)</f>
        <v>31.5</v>
      </c>
      <c r="R620" s="2337"/>
      <c r="S620" s="2455"/>
      <c r="T620" s="2804"/>
      <c r="U620" s="2231" t="s">
        <v>2</v>
      </c>
      <c r="V620" s="2192"/>
    </row>
    <row r="621" spans="2:24" s="2186" customFormat="1" x14ac:dyDescent="0.3">
      <c r="B621" s="1586"/>
      <c r="C621" s="2529"/>
      <c r="D621" s="2232" t="s">
        <v>838</v>
      </c>
      <c r="E621" s="2337">
        <f>(2.6+1.6)*3</f>
        <v>12.600000000000001</v>
      </c>
      <c r="F621" s="2337" t="s">
        <v>185</v>
      </c>
      <c r="G621" s="2337">
        <v>1.5</v>
      </c>
      <c r="H621" s="2337"/>
      <c r="I621" s="2337"/>
      <c r="J621" s="2337"/>
      <c r="K621" s="2337"/>
      <c r="L621" s="2337"/>
      <c r="M621" s="2337"/>
      <c r="N621" s="2337"/>
      <c r="O621" s="2337"/>
      <c r="P621" s="2337" t="s">
        <v>114</v>
      </c>
      <c r="Q621" s="2337">
        <f>G621*E621</f>
        <v>18.900000000000002</v>
      </c>
      <c r="R621" s="2337"/>
      <c r="S621" s="2455"/>
      <c r="T621" s="2680"/>
      <c r="U621" s="2363"/>
      <c r="V621" s="2192"/>
    </row>
    <row r="622" spans="2:24" s="2186" customFormat="1" x14ac:dyDescent="0.3">
      <c r="B622" s="1586"/>
      <c r="C622" s="2529"/>
      <c r="D622" s="2232" t="s">
        <v>839</v>
      </c>
      <c r="E622" s="2337">
        <f>(1.6+1.2)*3</f>
        <v>8.3999999999999986</v>
      </c>
      <c r="F622" s="2337" t="s">
        <v>185</v>
      </c>
      <c r="G622" s="2337">
        <v>1.5</v>
      </c>
      <c r="H622" s="2337"/>
      <c r="I622" s="2337"/>
      <c r="J622" s="2337"/>
      <c r="K622" s="2337"/>
      <c r="L622" s="2337"/>
      <c r="M622" s="2337"/>
      <c r="N622" s="2337"/>
      <c r="O622" s="2337"/>
      <c r="P622" s="2337" t="s">
        <v>114</v>
      </c>
      <c r="Q622" s="2337">
        <f>G622*E622</f>
        <v>12.599999999999998</v>
      </c>
      <c r="R622" s="2337"/>
      <c r="S622" s="2455"/>
      <c r="T622" s="2680"/>
      <c r="U622" s="2363"/>
      <c r="V622" s="2192"/>
    </row>
    <row r="623" spans="2:24" s="2186" customFormat="1" x14ac:dyDescent="0.3">
      <c r="B623" s="1586"/>
      <c r="C623" s="2529"/>
      <c r="D623" s="2232" t="str">
        <f>[61]RAB!D144</f>
        <v>- Plasteran 1 : 2 Tebal 1,5 cm</v>
      </c>
      <c r="E623" s="2337"/>
      <c r="F623" s="2337"/>
      <c r="G623" s="2337"/>
      <c r="H623" s="2337"/>
      <c r="I623" s="2337"/>
      <c r="J623" s="2337"/>
      <c r="K623" s="2337">
        <f>Q620</f>
        <v>31.5</v>
      </c>
      <c r="L623" s="2337" t="s">
        <v>185</v>
      </c>
      <c r="M623" s="2337"/>
      <c r="N623" s="2337"/>
      <c r="O623" s="2337">
        <v>1</v>
      </c>
      <c r="P623" s="2337" t="s">
        <v>114</v>
      </c>
      <c r="Q623" s="2337">
        <f>O623*K623</f>
        <v>31.5</v>
      </c>
      <c r="R623" s="2337"/>
      <c r="S623" s="2455"/>
      <c r="T623" s="2804"/>
      <c r="U623" s="2231" t="s">
        <v>2</v>
      </c>
      <c r="V623" s="2192"/>
    </row>
    <row r="624" spans="2:24" ht="27.75" x14ac:dyDescent="0.3">
      <c r="B624" s="2739"/>
      <c r="C624" s="2528"/>
      <c r="D624" s="2239" t="str">
        <f>[61]RAB!D145</f>
        <v>- Beton mutu f'c=14,5 Mpa (K 175) Lantai dan Cover</v>
      </c>
      <c r="E624" s="2801"/>
      <c r="F624" s="2801"/>
      <c r="G624" s="2801"/>
      <c r="H624" s="2801"/>
      <c r="I624" s="2801"/>
      <c r="J624" s="2801"/>
      <c r="K624" s="2801"/>
      <c r="L624" s="2801"/>
      <c r="M624" s="2801"/>
      <c r="N624" s="2801"/>
      <c r="O624" s="2801"/>
      <c r="P624" s="2801"/>
      <c r="Q624" s="2801"/>
      <c r="R624" s="2801"/>
      <c r="S624" s="2455">
        <f>SUM(S625:S626)</f>
        <v>0.67200000000000004</v>
      </c>
      <c r="T624" s="2804"/>
      <c r="U624" s="2231" t="s">
        <v>3</v>
      </c>
    </row>
    <row r="625" spans="2:23" s="2186" customFormat="1" x14ac:dyDescent="0.3">
      <c r="B625" s="1586"/>
      <c r="C625" s="2529"/>
      <c r="D625" s="2232" t="s">
        <v>838</v>
      </c>
      <c r="E625" s="2337">
        <v>3</v>
      </c>
      <c r="F625" s="2337" t="s">
        <v>185</v>
      </c>
      <c r="G625" s="2337">
        <v>1.8</v>
      </c>
      <c r="H625" s="2337" t="s">
        <v>185</v>
      </c>
      <c r="I625" s="2337">
        <v>0.08</v>
      </c>
      <c r="J625" s="2337"/>
      <c r="K625" s="2337"/>
      <c r="L625" s="2337"/>
      <c r="M625" s="2337"/>
      <c r="N625" s="2337"/>
      <c r="O625" s="2337"/>
      <c r="P625" s="2337"/>
      <c r="Q625" s="2337"/>
      <c r="R625" s="2337" t="s">
        <v>114</v>
      </c>
      <c r="S625" s="2455">
        <f>I625*G625*E625</f>
        <v>0.43200000000000005</v>
      </c>
      <c r="T625" s="2680"/>
      <c r="U625" s="2363"/>
      <c r="V625" s="2192"/>
    </row>
    <row r="626" spans="2:23" s="2186" customFormat="1" x14ac:dyDescent="0.3">
      <c r="B626" s="1586"/>
      <c r="C626" s="2529"/>
      <c r="D626" s="2232" t="s">
        <v>839</v>
      </c>
      <c r="E626" s="2337">
        <v>2</v>
      </c>
      <c r="F626" s="2337" t="s">
        <v>185</v>
      </c>
      <c r="G626" s="2337">
        <v>1.5</v>
      </c>
      <c r="H626" s="2337" t="s">
        <v>185</v>
      </c>
      <c r="I626" s="2337">
        <f>I625</f>
        <v>0.08</v>
      </c>
      <c r="J626" s="2337"/>
      <c r="K626" s="2337"/>
      <c r="L626" s="2337"/>
      <c r="M626" s="2337"/>
      <c r="N626" s="2337"/>
      <c r="O626" s="2337"/>
      <c r="P626" s="2337"/>
      <c r="Q626" s="2337"/>
      <c r="R626" s="2337" t="s">
        <v>114</v>
      </c>
      <c r="S626" s="2455">
        <f>I626*G626*E626</f>
        <v>0.24</v>
      </c>
      <c r="T626" s="2680"/>
      <c r="U626" s="2363"/>
      <c r="V626" s="2192"/>
    </row>
    <row r="627" spans="2:23" s="2186" customFormat="1" x14ac:dyDescent="0.3">
      <c r="B627" s="1586"/>
      <c r="C627" s="2529"/>
      <c r="D627" s="2232" t="str">
        <f>[61]RAB!D146</f>
        <v>- Pembesian dengan Besi Polos</v>
      </c>
      <c r="E627" s="2337"/>
      <c r="F627" s="2337"/>
      <c r="G627" s="2337"/>
      <c r="H627" s="2337"/>
      <c r="I627" s="2337"/>
      <c r="J627" s="2337"/>
      <c r="K627" s="2337"/>
      <c r="L627" s="2337"/>
      <c r="M627" s="2337"/>
      <c r="N627" s="2337"/>
      <c r="O627" s="2337"/>
      <c r="P627" s="2337"/>
      <c r="Q627" s="2337"/>
      <c r="R627" s="2337"/>
      <c r="S627" s="2455">
        <f>SUM(S628:S633)</f>
        <v>220.06914285714288</v>
      </c>
      <c r="T627" s="2804"/>
      <c r="U627" s="2231" t="s">
        <v>0</v>
      </c>
      <c r="V627" s="2192"/>
    </row>
    <row r="628" spans="2:23" s="2186" customFormat="1" x14ac:dyDescent="0.3">
      <c r="B628" s="1586"/>
      <c r="C628" s="2529"/>
      <c r="D628" s="2232" t="s">
        <v>838</v>
      </c>
      <c r="E628" s="2337"/>
      <c r="F628" s="2337"/>
      <c r="G628" s="2337"/>
      <c r="H628" s="2337"/>
      <c r="I628" s="2337"/>
      <c r="J628" s="2337"/>
      <c r="K628" s="2337"/>
      <c r="L628" s="2337"/>
      <c r="M628" s="2337"/>
      <c r="N628" s="2337"/>
      <c r="O628" s="2337"/>
      <c r="P628" s="2337"/>
      <c r="Q628" s="2337"/>
      <c r="R628" s="2337"/>
      <c r="S628" s="2455"/>
      <c r="T628" s="2680"/>
      <c r="U628" s="2363"/>
      <c r="V628" s="2192"/>
      <c r="W628" s="2222">
        <f>E629/0.15</f>
        <v>24</v>
      </c>
    </row>
    <row r="629" spans="2:23" s="2186" customFormat="1" x14ac:dyDescent="0.3">
      <c r="B629" s="1586"/>
      <c r="C629" s="2529"/>
      <c r="D629" s="2240" t="s">
        <v>840</v>
      </c>
      <c r="E629" s="2337">
        <v>3.6</v>
      </c>
      <c r="F629" s="2337" t="s">
        <v>185</v>
      </c>
      <c r="G629" s="2337"/>
      <c r="H629" s="2337"/>
      <c r="I629" s="2337"/>
      <c r="J629" s="2337"/>
      <c r="K629" s="2337">
        <v>2</v>
      </c>
      <c r="L629" s="2337" t="s">
        <v>185</v>
      </c>
      <c r="M629" s="2337">
        <v>16</v>
      </c>
      <c r="N629" s="2337" t="s">
        <v>185</v>
      </c>
      <c r="O629" s="2337">
        <v>7850</v>
      </c>
      <c r="P629" s="2337" t="s">
        <v>185</v>
      </c>
      <c r="Q629" s="2337">
        <f>22/7*0.005*0.005</f>
        <v>7.857142857142858E-5</v>
      </c>
      <c r="R629" s="2337" t="s">
        <v>114</v>
      </c>
      <c r="S629" s="2455">
        <f>Q629*O629*M629*K629*E629</f>
        <v>71.053714285714292</v>
      </c>
      <c r="T629" s="2680"/>
      <c r="U629" s="2363"/>
      <c r="V629" s="2192"/>
      <c r="W629" s="2222">
        <f>E630/0.15</f>
        <v>16</v>
      </c>
    </row>
    <row r="630" spans="2:23" s="2186" customFormat="1" x14ac:dyDescent="0.3">
      <c r="B630" s="1586"/>
      <c r="C630" s="2529"/>
      <c r="D630" s="2240" t="s">
        <v>252</v>
      </c>
      <c r="E630" s="2337">
        <v>2.4</v>
      </c>
      <c r="F630" s="2337" t="s">
        <v>185</v>
      </c>
      <c r="G630" s="2337"/>
      <c r="H630" s="2337"/>
      <c r="I630" s="2337"/>
      <c r="J630" s="2337"/>
      <c r="K630" s="2337">
        <v>2</v>
      </c>
      <c r="L630" s="2337" t="s">
        <v>185</v>
      </c>
      <c r="M630" s="2337">
        <v>24</v>
      </c>
      <c r="N630" s="2337" t="s">
        <v>185</v>
      </c>
      <c r="O630" s="2337">
        <f>O629</f>
        <v>7850</v>
      </c>
      <c r="P630" s="2337" t="s">
        <v>185</v>
      </c>
      <c r="Q630" s="2337">
        <f>Q629</f>
        <v>7.857142857142858E-5</v>
      </c>
      <c r="R630" s="2337" t="s">
        <v>114</v>
      </c>
      <c r="S630" s="2455">
        <f>Q630*O630*M630*K630*E630</f>
        <v>71.053714285714292</v>
      </c>
      <c r="T630" s="2680"/>
      <c r="U630" s="2363"/>
      <c r="V630" s="2192"/>
    </row>
    <row r="631" spans="2:23" s="2186" customFormat="1" x14ac:dyDescent="0.3">
      <c r="B631" s="1586"/>
      <c r="C631" s="2529"/>
      <c r="D631" s="2232" t="str">
        <f>D626</f>
        <v>st 2</v>
      </c>
      <c r="E631" s="2337"/>
      <c r="F631" s="2337"/>
      <c r="G631" s="2337"/>
      <c r="H631" s="2337"/>
      <c r="I631" s="2337"/>
      <c r="J631" s="2337"/>
      <c r="K631" s="2337"/>
      <c r="L631" s="2337"/>
      <c r="M631" s="2337"/>
      <c r="N631" s="2337"/>
      <c r="O631" s="2337"/>
      <c r="P631" s="2337"/>
      <c r="Q631" s="2337"/>
      <c r="R631" s="2337"/>
      <c r="S631" s="2455"/>
      <c r="T631" s="2680"/>
      <c r="U631" s="2363"/>
      <c r="V631" s="2192"/>
    </row>
    <row r="632" spans="2:23" s="2186" customFormat="1" x14ac:dyDescent="0.3">
      <c r="B632" s="1586"/>
      <c r="C632" s="2529"/>
      <c r="D632" s="2240" t="s">
        <v>840</v>
      </c>
      <c r="E632" s="2337">
        <v>2.4</v>
      </c>
      <c r="F632" s="2337" t="s">
        <v>185</v>
      </c>
      <c r="G632" s="2337"/>
      <c r="H632" s="2337"/>
      <c r="I632" s="2337"/>
      <c r="J632" s="2337"/>
      <c r="K632" s="2337">
        <v>2</v>
      </c>
      <c r="L632" s="2337" t="s">
        <v>185</v>
      </c>
      <c r="M632" s="2337">
        <v>13</v>
      </c>
      <c r="N632" s="2337" t="s">
        <v>185</v>
      </c>
      <c r="O632" s="2337">
        <v>7850</v>
      </c>
      <c r="P632" s="2337" t="s">
        <v>185</v>
      </c>
      <c r="Q632" s="2337">
        <f>22/7*0.005*0.005</f>
        <v>7.857142857142858E-5</v>
      </c>
      <c r="R632" s="2337" t="s">
        <v>114</v>
      </c>
      <c r="S632" s="2455">
        <f>Q632*O632*M632*K632*E632</f>
        <v>38.487428571428573</v>
      </c>
      <c r="T632" s="2680"/>
      <c r="U632" s="2363"/>
      <c r="V632" s="2192"/>
      <c r="W632" s="2222">
        <f>E632/0.15</f>
        <v>16</v>
      </c>
    </row>
    <row r="633" spans="2:23" s="2186" customFormat="1" x14ac:dyDescent="0.3">
      <c r="B633" s="1586"/>
      <c r="C633" s="2529"/>
      <c r="D633" s="2240" t="s">
        <v>252</v>
      </c>
      <c r="E633" s="2337">
        <v>2</v>
      </c>
      <c r="F633" s="2337" t="s">
        <v>185</v>
      </c>
      <c r="G633" s="2337"/>
      <c r="H633" s="2337"/>
      <c r="I633" s="2337"/>
      <c r="J633" s="2337"/>
      <c r="K633" s="2337">
        <v>2</v>
      </c>
      <c r="L633" s="2337" t="s">
        <v>185</v>
      </c>
      <c r="M633" s="2337">
        <v>16</v>
      </c>
      <c r="N633" s="2337" t="s">
        <v>185</v>
      </c>
      <c r="O633" s="2337">
        <f>O632</f>
        <v>7850</v>
      </c>
      <c r="P633" s="2337" t="s">
        <v>185</v>
      </c>
      <c r="Q633" s="2337">
        <f>Q632</f>
        <v>7.857142857142858E-5</v>
      </c>
      <c r="R633" s="2337" t="s">
        <v>114</v>
      </c>
      <c r="S633" s="2455">
        <f>Q633*O633*M633*K633*E633</f>
        <v>39.47428571428572</v>
      </c>
      <c r="T633" s="2680"/>
      <c r="U633" s="2363"/>
      <c r="V633" s="2192"/>
      <c r="W633" s="2222">
        <f>E633/0.15</f>
        <v>13.333333333333334</v>
      </c>
    </row>
    <row r="634" spans="2:23" s="2186" customFormat="1" x14ac:dyDescent="0.3">
      <c r="B634" s="1586"/>
      <c r="C634" s="2529"/>
      <c r="D634" s="2232" t="str">
        <f>[61]RAB!D147</f>
        <v>- Bekisting plat</v>
      </c>
      <c r="E634" s="2337"/>
      <c r="F634" s="2337"/>
      <c r="G634" s="2337"/>
      <c r="H634" s="2337"/>
      <c r="I634" s="2337"/>
      <c r="J634" s="2337"/>
      <c r="K634" s="2337"/>
      <c r="L634" s="2337"/>
      <c r="M634" s="2337"/>
      <c r="N634" s="2337"/>
      <c r="O634" s="2337"/>
      <c r="P634" s="2337"/>
      <c r="Q634" s="2805">
        <f>SUM(Q635:Q636)</f>
        <v>8.4</v>
      </c>
      <c r="R634" s="2337"/>
      <c r="S634" s="2455"/>
      <c r="T634" s="2804"/>
      <c r="U634" s="2231" t="s">
        <v>2</v>
      </c>
      <c r="V634" s="2192"/>
    </row>
    <row r="635" spans="2:23" s="2186" customFormat="1" x14ac:dyDescent="0.3">
      <c r="B635" s="1586"/>
      <c r="C635" s="2529"/>
      <c r="D635" s="2232" t="s">
        <v>838</v>
      </c>
      <c r="E635" s="2337">
        <v>3</v>
      </c>
      <c r="F635" s="2337" t="s">
        <v>185</v>
      </c>
      <c r="G635" s="2337">
        <v>1.8</v>
      </c>
      <c r="H635" s="2337"/>
      <c r="I635" s="2337"/>
      <c r="J635" s="2337"/>
      <c r="K635" s="2337"/>
      <c r="L635" s="2337"/>
      <c r="M635" s="2337"/>
      <c r="N635" s="2337"/>
      <c r="O635" s="2337"/>
      <c r="P635" s="2337" t="s">
        <v>114</v>
      </c>
      <c r="Q635" s="2337">
        <f>G635*E635</f>
        <v>5.4</v>
      </c>
      <c r="R635" s="2337"/>
      <c r="S635" s="2455"/>
      <c r="T635" s="2680"/>
      <c r="U635" s="2363"/>
      <c r="V635" s="2192"/>
    </row>
    <row r="636" spans="2:23" s="2186" customFormat="1" x14ac:dyDescent="0.3">
      <c r="B636" s="1586"/>
      <c r="C636" s="2529"/>
      <c r="D636" s="2232" t="s">
        <v>839</v>
      </c>
      <c r="E636" s="2337">
        <v>2</v>
      </c>
      <c r="F636" s="2337" t="s">
        <v>185</v>
      </c>
      <c r="G636" s="2337">
        <v>1.5</v>
      </c>
      <c r="H636" s="2337"/>
      <c r="I636" s="2337"/>
      <c r="J636" s="2337"/>
      <c r="K636" s="2337"/>
      <c r="L636" s="2337"/>
      <c r="M636" s="2337"/>
      <c r="N636" s="2337"/>
      <c r="O636" s="2337"/>
      <c r="P636" s="2337" t="s">
        <v>114</v>
      </c>
      <c r="Q636" s="2337">
        <f>G636*E636</f>
        <v>3</v>
      </c>
      <c r="R636" s="2337"/>
      <c r="S636" s="2455"/>
      <c r="T636" s="2680"/>
      <c r="U636" s="2363"/>
      <c r="V636" s="2192"/>
    </row>
    <row r="637" spans="2:23" s="2186" customFormat="1" x14ac:dyDescent="0.3">
      <c r="B637" s="1586"/>
      <c r="C637" s="2529"/>
      <c r="D637" s="2232" t="str">
        <f>[61]RAB!D148</f>
        <v>- Pipa Hawa</v>
      </c>
      <c r="E637" s="2337"/>
      <c r="F637" s="2337"/>
      <c r="G637" s="2337"/>
      <c r="H637" s="2337"/>
      <c r="I637" s="2337"/>
      <c r="J637" s="2337"/>
      <c r="K637" s="2337">
        <v>2</v>
      </c>
      <c r="L637" s="2337"/>
      <c r="M637" s="2337"/>
      <c r="N637" s="2337"/>
      <c r="O637" s="2337"/>
      <c r="P637" s="2337"/>
      <c r="Q637" s="2337"/>
      <c r="R637" s="2589" t="s">
        <v>114</v>
      </c>
      <c r="S637" s="2803">
        <f>K637</f>
        <v>2</v>
      </c>
      <c r="T637" s="2804"/>
      <c r="U637" s="2231" t="s">
        <v>9</v>
      </c>
      <c r="V637" s="2192"/>
    </row>
    <row r="638" spans="2:23" s="2186" customFormat="1" x14ac:dyDescent="0.3">
      <c r="B638" s="1586"/>
      <c r="C638" s="2529"/>
      <c r="D638" s="2232" t="str">
        <f>[61]RAB!D149</f>
        <v>- Pipa PVC 4 Inc Berlobang 4 inc</v>
      </c>
      <c r="E638" s="2337">
        <v>9</v>
      </c>
      <c r="F638" s="2337"/>
      <c r="G638" s="2337"/>
      <c r="H638" s="2337"/>
      <c r="I638" s="2337"/>
      <c r="J638" s="2337"/>
      <c r="K638" s="2337"/>
      <c r="L638" s="2337"/>
      <c r="M638" s="2337"/>
      <c r="N638" s="2337"/>
      <c r="O638" s="2337"/>
      <c r="P638" s="2337"/>
      <c r="Q638" s="2337"/>
      <c r="R638" s="2589" t="s">
        <v>114</v>
      </c>
      <c r="S638" s="2803">
        <f>E638</f>
        <v>9</v>
      </c>
      <c r="T638" s="2804"/>
      <c r="U638" s="2231" t="s">
        <v>27</v>
      </c>
      <c r="V638" s="2192"/>
    </row>
    <row r="639" spans="2:23" s="2186" customFormat="1" x14ac:dyDescent="0.3">
      <c r="B639" s="1586"/>
      <c r="C639" s="2529"/>
      <c r="D639" s="2232" t="str">
        <f>[61]RAB!D150</f>
        <v>- Lapisan ijuk</v>
      </c>
      <c r="E639" s="2337">
        <v>3</v>
      </c>
      <c r="F639" s="2337" t="s">
        <v>185</v>
      </c>
      <c r="G639" s="2337">
        <f>22/7*0.2</f>
        <v>0.62857142857142856</v>
      </c>
      <c r="H639" s="2337"/>
      <c r="I639" s="2337"/>
      <c r="J639" s="2337"/>
      <c r="K639" s="2337"/>
      <c r="L639" s="2337"/>
      <c r="M639" s="2337"/>
      <c r="N639" s="2337"/>
      <c r="O639" s="2337"/>
      <c r="P639" s="2337" t="s">
        <v>114</v>
      </c>
      <c r="Q639" s="2337">
        <f>G639*E639</f>
        <v>1.8857142857142857</v>
      </c>
      <c r="R639" s="2589"/>
      <c r="S639" s="2803"/>
      <c r="T639" s="2804"/>
      <c r="U639" s="2231" t="s">
        <v>2</v>
      </c>
      <c r="V639" s="2192"/>
    </row>
    <row r="640" spans="2:23" s="2186" customFormat="1" x14ac:dyDescent="0.3">
      <c r="B640" s="1586"/>
      <c r="C640" s="2529"/>
      <c r="D640" s="2232" t="str">
        <f>[61]RAB!D151</f>
        <v>- Kerikil</v>
      </c>
      <c r="E640" s="2337"/>
      <c r="F640" s="2337"/>
      <c r="G640" s="2337"/>
      <c r="H640" s="2337"/>
      <c r="I640" s="2337"/>
      <c r="J640" s="2337"/>
      <c r="K640" s="2337">
        <v>0.98000000000000009</v>
      </c>
      <c r="L640" s="2337"/>
      <c r="M640" s="2337"/>
      <c r="N640" s="2337"/>
      <c r="O640" s="2337"/>
      <c r="P640" s="2337"/>
      <c r="Q640" s="2337"/>
      <c r="R640" s="2589" t="s">
        <v>114</v>
      </c>
      <c r="S640" s="2803">
        <f>K640</f>
        <v>0.98000000000000009</v>
      </c>
      <c r="T640" s="2804"/>
      <c r="U640" s="2231" t="s">
        <v>3</v>
      </c>
      <c r="V640" s="2192"/>
    </row>
    <row r="641" spans="2:23" x14ac:dyDescent="0.3">
      <c r="B641" s="2739"/>
      <c r="C641" s="2528"/>
      <c r="D641" s="2238"/>
      <c r="E641" s="2801"/>
      <c r="F641" s="2801"/>
      <c r="G641" s="2801"/>
      <c r="H641" s="2801"/>
      <c r="I641" s="2801"/>
      <c r="J641" s="2801"/>
      <c r="K641" s="2801"/>
      <c r="L641" s="2801"/>
      <c r="M641" s="2801"/>
      <c r="N641" s="2801"/>
      <c r="O641" s="2801"/>
      <c r="P641" s="2801"/>
      <c r="Q641" s="2801"/>
      <c r="R641" s="2801"/>
      <c r="S641" s="2802"/>
      <c r="T641" s="2686"/>
      <c r="U641" s="2371"/>
    </row>
    <row r="642" spans="2:23" x14ac:dyDescent="0.3">
      <c r="B642" s="2739"/>
      <c r="C642" s="2528"/>
      <c r="D642" s="2806"/>
      <c r="E642" s="2648"/>
      <c r="F642" s="2648"/>
      <c r="G642" s="2648"/>
      <c r="H642" s="2648"/>
      <c r="I642" s="2648"/>
      <c r="J642" s="2648"/>
      <c r="K642" s="2648"/>
      <c r="L642" s="2648"/>
      <c r="M642" s="2648"/>
      <c r="N642" s="2648"/>
      <c r="O642" s="2648"/>
      <c r="P642" s="2648"/>
      <c r="Q642" s="2648"/>
      <c r="R642" s="2648"/>
      <c r="S642" s="2649"/>
      <c r="T642" s="2370"/>
      <c r="U642" s="2371"/>
    </row>
    <row r="643" spans="2:23" x14ac:dyDescent="0.3">
      <c r="B643" s="2739"/>
      <c r="C643" s="2528"/>
      <c r="D643" s="2807"/>
      <c r="E643" s="2437"/>
      <c r="F643" s="2437"/>
      <c r="G643" s="2437"/>
      <c r="H643" s="2437"/>
      <c r="I643" s="2437"/>
      <c r="J643" s="2437"/>
      <c r="K643" s="2437"/>
      <c r="L643" s="2437"/>
      <c r="M643" s="2437"/>
      <c r="N643" s="2437"/>
      <c r="O643" s="2437"/>
      <c r="P643" s="2437"/>
      <c r="Q643" s="2437"/>
      <c r="R643" s="2437"/>
      <c r="S643" s="2808"/>
      <c r="T643" s="2370"/>
      <c r="U643" s="2371"/>
      <c r="W643" s="2199">
        <f>2*22/7*1.5*0.8*0.8</f>
        <v>6.0342857142857156</v>
      </c>
    </row>
    <row r="644" spans="2:23" s="2242" customFormat="1" ht="17.25" thickBot="1" x14ac:dyDescent="0.25">
      <c r="B644" s="2809" t="str">
        <f>'[61]RAB (2)'!B163</f>
        <v>IX</v>
      </c>
      <c r="C644" s="2810" t="str">
        <f>'[61]RAB (2)'!C163</f>
        <v>PEKERJAAN ELEKTRIKAL</v>
      </c>
      <c r="D644" s="2811"/>
      <c r="E644" s="2812"/>
      <c r="F644" s="2812"/>
      <c r="G644" s="2812"/>
      <c r="H644" s="2812"/>
      <c r="I644" s="2812"/>
      <c r="J644" s="2812"/>
      <c r="K644" s="2812"/>
      <c r="L644" s="2812"/>
      <c r="M644" s="2812"/>
      <c r="N644" s="2812"/>
      <c r="O644" s="2812"/>
      <c r="P644" s="2812"/>
      <c r="Q644" s="2812"/>
      <c r="R644" s="2812"/>
      <c r="S644" s="2813"/>
      <c r="T644" s="2814"/>
      <c r="U644" s="2815"/>
      <c r="V644" s="2241"/>
    </row>
    <row r="645" spans="2:23" s="2186" customFormat="1" x14ac:dyDescent="0.3">
      <c r="B645" s="1586"/>
      <c r="C645" s="2529"/>
      <c r="D645" s="2375" t="s">
        <v>95</v>
      </c>
      <c r="E645" s="2376" t="s">
        <v>150</v>
      </c>
      <c r="F645" s="2377"/>
      <c r="G645" s="2376" t="s">
        <v>151</v>
      </c>
      <c r="H645" s="2377"/>
      <c r="I645" s="2376" t="s">
        <v>152</v>
      </c>
      <c r="J645" s="2377"/>
      <c r="K645" s="2376" t="s">
        <v>153</v>
      </c>
      <c r="L645" s="2378"/>
      <c r="M645" s="2378" t="s">
        <v>32</v>
      </c>
      <c r="N645" s="2378"/>
      <c r="O645" s="2379" t="s">
        <v>163</v>
      </c>
      <c r="P645" s="2378"/>
      <c r="Q645" s="2379" t="s">
        <v>151</v>
      </c>
      <c r="R645" s="2378"/>
      <c r="S645" s="2380" t="s">
        <v>143</v>
      </c>
      <c r="T645" s="2362"/>
      <c r="U645" s="2363"/>
      <c r="V645" s="2192"/>
    </row>
    <row r="646" spans="2:23" s="2186" customFormat="1" x14ac:dyDescent="0.3">
      <c r="B646" s="1586"/>
      <c r="C646" s="2529"/>
      <c r="D646" s="2775" t="str">
        <f>'[61]RAB (2)'!C164</f>
        <v>PANEL</v>
      </c>
      <c r="E646" s="2644"/>
      <c r="F646" s="2337"/>
      <c r="G646" s="2337"/>
      <c r="H646" s="2337"/>
      <c r="I646" s="2337"/>
      <c r="J646" s="2337"/>
      <c r="K646" s="2337"/>
      <c r="L646" s="2337"/>
      <c r="M646" s="2337"/>
      <c r="N646" s="2337"/>
      <c r="O646" s="2337"/>
      <c r="P646" s="2337"/>
      <c r="Q646" s="2337"/>
      <c r="R646" s="2644"/>
      <c r="S646" s="2689"/>
      <c r="T646" s="2362"/>
      <c r="U646" s="2363"/>
      <c r="V646" s="2192"/>
    </row>
    <row r="647" spans="2:23" s="2186" customFormat="1" x14ac:dyDescent="0.3">
      <c r="B647" s="1586"/>
      <c r="C647" s="2529"/>
      <c r="D647" s="2702" t="str">
        <f>'[61]RAB (2)'!C165</f>
        <v>- Sub Distribution Panel ( SDP ) Lantai 1</v>
      </c>
      <c r="E647" s="2644"/>
      <c r="F647" s="2337"/>
      <c r="G647" s="2337"/>
      <c r="H647" s="2337"/>
      <c r="I647" s="2337"/>
      <c r="J647" s="2337"/>
      <c r="K647" s="2337">
        <v>1</v>
      </c>
      <c r="L647" s="2337"/>
      <c r="M647" s="2337"/>
      <c r="N647" s="2337"/>
      <c r="O647" s="2337"/>
      <c r="P647" s="2337"/>
      <c r="Q647" s="2337"/>
      <c r="R647" s="2589" t="s">
        <v>114</v>
      </c>
      <c r="S647" s="2803">
        <f>K647</f>
        <v>1</v>
      </c>
      <c r="T647" s="2804"/>
      <c r="U647" s="2231" t="s">
        <v>32</v>
      </c>
      <c r="V647" s="2192"/>
    </row>
    <row r="648" spans="2:23" s="2186" customFormat="1" x14ac:dyDescent="0.3">
      <c r="B648" s="1586"/>
      <c r="C648" s="2529"/>
      <c r="D648" s="2702"/>
      <c r="E648" s="2644"/>
      <c r="F648" s="2337"/>
      <c r="G648" s="2337"/>
      <c r="H648" s="2337"/>
      <c r="I648" s="2337"/>
      <c r="J648" s="2337"/>
      <c r="K648" s="2337"/>
      <c r="L648" s="2337"/>
      <c r="M648" s="2337"/>
      <c r="N648" s="2337"/>
      <c r="O648" s="2337"/>
      <c r="P648" s="2337"/>
      <c r="Q648" s="2337"/>
      <c r="R648" s="2644"/>
      <c r="S648" s="2689"/>
      <c r="T648" s="2362"/>
      <c r="U648" s="2363"/>
      <c r="V648" s="2192"/>
    </row>
    <row r="649" spans="2:23" s="2186" customFormat="1" x14ac:dyDescent="0.3">
      <c r="B649" s="1586"/>
      <c r="C649" s="2529"/>
      <c r="D649" s="2775" t="str">
        <f>'[61]RAB (2)'!C166</f>
        <v>KABEL</v>
      </c>
      <c r="E649" s="2644"/>
      <c r="F649" s="2337"/>
      <c r="G649" s="2337"/>
      <c r="H649" s="2337"/>
      <c r="I649" s="2337"/>
      <c r="J649" s="2337"/>
      <c r="K649" s="2337"/>
      <c r="L649" s="2337"/>
      <c r="M649" s="2337"/>
      <c r="N649" s="2337"/>
      <c r="O649" s="2337"/>
      <c r="P649" s="2337"/>
      <c r="Q649" s="2337"/>
      <c r="R649" s="2644"/>
      <c r="S649" s="2689"/>
      <c r="T649" s="2362"/>
      <c r="U649" s="2363"/>
      <c r="V649" s="2192"/>
    </row>
    <row r="650" spans="2:23" s="2186" customFormat="1" ht="27" x14ac:dyDescent="0.3">
      <c r="B650" s="1586"/>
      <c r="C650" s="2529"/>
      <c r="D650" s="2816" t="str">
        <f>'[61]RAB (2)'!C167</f>
        <v>Kabel dari MDP ke SDP lantai 1  NYY 4 x 10 mm + BC 10 mm.</v>
      </c>
      <c r="E650" s="2644"/>
      <c r="F650" s="2337"/>
      <c r="G650" s="2337"/>
      <c r="H650" s="2337"/>
      <c r="I650" s="2337"/>
      <c r="J650" s="2337"/>
      <c r="K650" s="2337">
        <v>6</v>
      </c>
      <c r="L650" s="2337"/>
      <c r="M650" s="2337"/>
      <c r="N650" s="2337"/>
      <c r="O650" s="2337"/>
      <c r="P650" s="2337"/>
      <c r="Q650" s="2337"/>
      <c r="R650" s="2589" t="s">
        <v>114</v>
      </c>
      <c r="S650" s="2803">
        <f>K650</f>
        <v>6</v>
      </c>
      <c r="T650" s="2804"/>
      <c r="U650" s="2231" t="s">
        <v>27</v>
      </c>
      <c r="V650" s="2192"/>
    </row>
    <row r="651" spans="2:23" s="2186" customFormat="1" x14ac:dyDescent="0.3">
      <c r="B651" s="1586"/>
      <c r="C651" s="2529"/>
      <c r="D651" s="2702" t="str">
        <f>'[61]RAB (2)'!C168</f>
        <v>PEKERJAAN GROUNDING SYSTEM ARUS KUAT</v>
      </c>
      <c r="E651" s="2644"/>
      <c r="F651" s="2337"/>
      <c r="G651" s="2337"/>
      <c r="H651" s="2337"/>
      <c r="I651" s="2337"/>
      <c r="J651" s="2337"/>
      <c r="K651" s="2337"/>
      <c r="L651" s="2337"/>
      <c r="M651" s="2337"/>
      <c r="N651" s="2337"/>
      <c r="O651" s="2337"/>
      <c r="P651" s="2337"/>
      <c r="Q651" s="2337"/>
      <c r="R651" s="2644"/>
      <c r="S651" s="2689"/>
      <c r="T651" s="2362"/>
      <c r="U651" s="2363"/>
      <c r="V651" s="2192"/>
    </row>
    <row r="652" spans="2:23" s="2186" customFormat="1" ht="40.5" x14ac:dyDescent="0.3">
      <c r="B652" s="1586"/>
      <c r="C652" s="2529"/>
      <c r="D652" s="2816" t="str">
        <f>[61]RAB!C167</f>
        <v>Penarikan kabel grounding BC 35 mm dari MDP ke box grounding</v>
      </c>
      <c r="E652" s="2644"/>
      <c r="F652" s="2337"/>
      <c r="G652" s="2337"/>
      <c r="H652" s="2337"/>
      <c r="I652" s="2337"/>
      <c r="J652" s="2337"/>
      <c r="K652" s="2337">
        <v>8</v>
      </c>
      <c r="L652" s="2337"/>
      <c r="M652" s="2337"/>
      <c r="N652" s="2337"/>
      <c r="O652" s="2337"/>
      <c r="P652" s="2337"/>
      <c r="Q652" s="2337"/>
      <c r="R652" s="2589" t="s">
        <v>114</v>
      </c>
      <c r="S652" s="2803">
        <f>K652</f>
        <v>8</v>
      </c>
      <c r="T652" s="2804"/>
      <c r="U652" s="2231" t="s">
        <v>27</v>
      </c>
      <c r="V652" s="2192"/>
    </row>
    <row r="653" spans="2:23" s="2186" customFormat="1" x14ac:dyDescent="0.3">
      <c r="B653" s="1586"/>
      <c r="C653" s="2529"/>
      <c r="D653" s="2702" t="str">
        <f>'[61]RAB (2)'!C170</f>
        <v>Grounding system max  5 ohm</v>
      </c>
      <c r="E653" s="2337"/>
      <c r="F653" s="2337"/>
      <c r="G653" s="2337"/>
      <c r="H653" s="2337"/>
      <c r="I653" s="2337"/>
      <c r="J653" s="2337"/>
      <c r="K653" s="2337">
        <v>1</v>
      </c>
      <c r="L653" s="2337"/>
      <c r="M653" s="2337"/>
      <c r="N653" s="2337"/>
      <c r="O653" s="2337"/>
      <c r="P653" s="2337"/>
      <c r="Q653" s="2337"/>
      <c r="R653" s="2454" t="s">
        <v>114</v>
      </c>
      <c r="S653" s="2803">
        <f>K653</f>
        <v>1</v>
      </c>
      <c r="T653" s="2804"/>
      <c r="U653" s="2231" t="s">
        <v>115</v>
      </c>
      <c r="V653" s="2192"/>
    </row>
    <row r="654" spans="2:23" s="2186" customFormat="1" x14ac:dyDescent="0.3">
      <c r="B654" s="1586"/>
      <c r="C654" s="2529"/>
      <c r="D654" s="2702"/>
      <c r="E654" s="2337"/>
      <c r="F654" s="2337"/>
      <c r="G654" s="2337"/>
      <c r="H654" s="2337"/>
      <c r="I654" s="2337"/>
      <c r="J654" s="2337"/>
      <c r="K654" s="2337"/>
      <c r="L654" s="2337"/>
      <c r="M654" s="2337"/>
      <c r="N654" s="2337"/>
      <c r="O654" s="2337"/>
      <c r="P654" s="2337"/>
      <c r="Q654" s="2337"/>
      <c r="R654" s="2337"/>
      <c r="S654" s="2455"/>
      <c r="T654" s="2362"/>
      <c r="U654" s="2363"/>
      <c r="V654" s="2192"/>
    </row>
    <row r="655" spans="2:23" s="2186" customFormat="1" x14ac:dyDescent="0.3">
      <c r="B655" s="1586"/>
      <c r="C655" s="2529"/>
      <c r="D655" s="2775" t="str">
        <f>'[61]RAB (2)'!C175</f>
        <v>SISTEM PENERANGAN</v>
      </c>
      <c r="E655" s="2337"/>
      <c r="F655" s="2337"/>
      <c r="G655" s="2337"/>
      <c r="H655" s="2337"/>
      <c r="I655" s="2337"/>
      <c r="J655" s="2337"/>
      <c r="K655" s="2337"/>
      <c r="L655" s="2337"/>
      <c r="M655" s="2337"/>
      <c r="N655" s="2337"/>
      <c r="O655" s="2337"/>
      <c r="P655" s="2337"/>
      <c r="Q655" s="2337"/>
      <c r="R655" s="2337"/>
      <c r="S655" s="2455"/>
      <c r="T655" s="2362"/>
      <c r="U655" s="2363"/>
      <c r="V655" s="2192"/>
    </row>
    <row r="656" spans="2:23" s="2186" customFormat="1" x14ac:dyDescent="0.3">
      <c r="B656" s="1586"/>
      <c r="C656" s="2529"/>
      <c r="D656" s="2702" t="str">
        <f>'[61]RAB (2)'!C176</f>
        <v xml:space="preserve">Fiting duduk + bola Lampu essential LED 5 watt </v>
      </c>
      <c r="E656" s="2337"/>
      <c r="F656" s="2337"/>
      <c r="G656" s="2337"/>
      <c r="H656" s="2337"/>
      <c r="I656" s="2337"/>
      <c r="J656" s="2337"/>
      <c r="K656" s="2337">
        <v>4</v>
      </c>
      <c r="L656" s="2337"/>
      <c r="M656" s="2337"/>
      <c r="N656" s="2337"/>
      <c r="O656" s="2337"/>
      <c r="P656" s="2337"/>
      <c r="Q656" s="2337"/>
      <c r="R656" s="2454" t="s">
        <v>114</v>
      </c>
      <c r="S656" s="2803">
        <f>K656</f>
        <v>4</v>
      </c>
      <c r="T656" s="2804"/>
      <c r="U656" s="2231" t="s">
        <v>9</v>
      </c>
      <c r="V656" s="2192"/>
    </row>
    <row r="657" spans="2:22" s="2186" customFormat="1" x14ac:dyDescent="0.3">
      <c r="B657" s="1586"/>
      <c r="C657" s="2529"/>
      <c r="D657" s="2702" t="str">
        <f>'[61]RAB (2)'!C177</f>
        <v xml:space="preserve">Fiting duduk + bola Lampu essential  LED 15 watt </v>
      </c>
      <c r="E657" s="2337"/>
      <c r="F657" s="2337"/>
      <c r="G657" s="2337"/>
      <c r="H657" s="2337"/>
      <c r="I657" s="2337"/>
      <c r="J657" s="2337"/>
      <c r="K657" s="2337">
        <v>6</v>
      </c>
      <c r="L657" s="2337"/>
      <c r="M657" s="2337"/>
      <c r="N657" s="2337"/>
      <c r="O657" s="2337"/>
      <c r="P657" s="2337"/>
      <c r="Q657" s="2337"/>
      <c r="R657" s="2454" t="s">
        <v>114</v>
      </c>
      <c r="S657" s="2803">
        <f>K657</f>
        <v>6</v>
      </c>
      <c r="T657" s="2804"/>
      <c r="U657" s="2231" t="s">
        <v>9</v>
      </c>
      <c r="V657" s="2192"/>
    </row>
    <row r="658" spans="2:22" s="2186" customFormat="1" x14ac:dyDescent="0.3">
      <c r="B658" s="1586"/>
      <c r="C658" s="2529"/>
      <c r="D658" s="2702" t="str">
        <f>'[61]RAB (2)'!C178</f>
        <v xml:space="preserve">Saklar double </v>
      </c>
      <c r="E658" s="2337"/>
      <c r="F658" s="2337"/>
      <c r="G658" s="2337"/>
      <c r="H658" s="2337"/>
      <c r="I658" s="2337"/>
      <c r="J658" s="2337"/>
      <c r="K658" s="2337">
        <v>2</v>
      </c>
      <c r="L658" s="2337"/>
      <c r="M658" s="2337"/>
      <c r="N658" s="2337"/>
      <c r="O658" s="2337"/>
      <c r="P658" s="2337"/>
      <c r="Q658" s="2337"/>
      <c r="R658" s="2454" t="s">
        <v>114</v>
      </c>
      <c r="S658" s="2803">
        <f>K658</f>
        <v>2</v>
      </c>
      <c r="T658" s="2804"/>
      <c r="U658" s="2231" t="s">
        <v>9</v>
      </c>
      <c r="V658" s="2192"/>
    </row>
    <row r="659" spans="2:22" s="2185" customFormat="1" x14ac:dyDescent="0.3">
      <c r="B659" s="1586"/>
      <c r="C659" s="2546"/>
      <c r="D659" s="2702" t="str">
        <f>'[61]RAB (2)'!C179</f>
        <v>Stop Kontak</v>
      </c>
      <c r="E659" s="2332"/>
      <c r="F659" s="2332"/>
      <c r="G659" s="2332"/>
      <c r="H659" s="2332"/>
      <c r="I659" s="2332"/>
      <c r="J659" s="2332"/>
      <c r="K659" s="2332">
        <v>1</v>
      </c>
      <c r="L659" s="2332"/>
      <c r="M659" s="2332"/>
      <c r="N659" s="2332"/>
      <c r="O659" s="2332"/>
      <c r="P659" s="2332"/>
      <c r="Q659" s="2332"/>
      <c r="R659" s="2454" t="s">
        <v>114</v>
      </c>
      <c r="S659" s="2803">
        <f>K659</f>
        <v>1</v>
      </c>
      <c r="T659" s="2804"/>
      <c r="U659" s="2231" t="s">
        <v>9</v>
      </c>
      <c r="V659" s="2209"/>
    </row>
    <row r="660" spans="2:22" s="2185" customFormat="1" ht="9.75" customHeight="1" x14ac:dyDescent="0.3">
      <c r="B660" s="1586"/>
      <c r="C660" s="2546"/>
      <c r="D660" s="2702"/>
      <c r="E660" s="2332"/>
      <c r="F660" s="2332"/>
      <c r="G660" s="2332"/>
      <c r="H660" s="2332"/>
      <c r="I660" s="2332"/>
      <c r="J660" s="2332"/>
      <c r="K660" s="2332"/>
      <c r="L660" s="2332"/>
      <c r="M660" s="2332"/>
      <c r="N660" s="2332"/>
      <c r="O660" s="2332"/>
      <c r="P660" s="2332"/>
      <c r="Q660" s="2332"/>
      <c r="R660" s="2332"/>
      <c r="S660" s="2545"/>
      <c r="T660" s="2356"/>
      <c r="U660" s="2410"/>
      <c r="V660" s="2209"/>
    </row>
    <row r="661" spans="2:22" s="2185" customFormat="1" x14ac:dyDescent="0.3">
      <c r="B661" s="1586"/>
      <c r="C661" s="2546"/>
      <c r="D661" s="2792" t="str">
        <f>'[61]RAB (2)'!C180</f>
        <v>INSTALASI KABEL</v>
      </c>
      <c r="E661" s="2332"/>
      <c r="F661" s="2332"/>
      <c r="G661" s="2332"/>
      <c r="H661" s="2332"/>
      <c r="I661" s="2332"/>
      <c r="J661" s="2332"/>
      <c r="K661" s="2332"/>
      <c r="L661" s="2332"/>
      <c r="M661" s="2332"/>
      <c r="N661" s="2332"/>
      <c r="O661" s="2332"/>
      <c r="P661" s="2332"/>
      <c r="Q661" s="2332"/>
      <c r="R661" s="2332"/>
      <c r="S661" s="2545"/>
      <c r="T661" s="2356"/>
      <c r="U661" s="2410"/>
      <c r="V661" s="2209"/>
    </row>
    <row r="662" spans="2:22" s="2185" customFormat="1" ht="41.25" x14ac:dyDescent="0.3">
      <c r="B662" s="1586"/>
      <c r="C662" s="2546"/>
      <c r="D662" s="2817" t="str">
        <f>'[61]RAB (2)'!C181</f>
        <v xml:space="preserve">Instalasi Penerangan kabel NYM 3 x 1,5 mm dalam pipa counduit high impact </v>
      </c>
      <c r="E662" s="2332"/>
      <c r="F662" s="2332"/>
      <c r="G662" s="2332"/>
      <c r="H662" s="2332"/>
      <c r="I662" s="2332"/>
      <c r="J662" s="2332"/>
      <c r="K662" s="2818">
        <v>11</v>
      </c>
      <c r="L662" s="2332"/>
      <c r="M662" s="2332"/>
      <c r="N662" s="2332"/>
      <c r="O662" s="2332"/>
      <c r="P662" s="2332"/>
      <c r="Q662" s="2332"/>
      <c r="R662" s="2454" t="s">
        <v>114</v>
      </c>
      <c r="S662" s="2803">
        <f>K662</f>
        <v>11</v>
      </c>
      <c r="T662" s="2804"/>
      <c r="U662" s="2819" t="s">
        <v>312</v>
      </c>
      <c r="V662" s="2243"/>
    </row>
    <row r="663" spans="2:22" s="2185" customFormat="1" ht="41.25" x14ac:dyDescent="0.3">
      <c r="B663" s="1586"/>
      <c r="C663" s="2546"/>
      <c r="D663" s="2817" t="str">
        <f>'[61]RAB (2)'!C182</f>
        <v>Instalasi saklar kabel NYM 3 x 1,5 mm dalam pipa counduit high impact</v>
      </c>
      <c r="E663" s="2332"/>
      <c r="F663" s="2332"/>
      <c r="G663" s="2332"/>
      <c r="H663" s="2332"/>
      <c r="I663" s="2332"/>
      <c r="J663" s="2332"/>
      <c r="K663" s="2818">
        <v>2</v>
      </c>
      <c r="L663" s="2332"/>
      <c r="M663" s="2332"/>
      <c r="N663" s="2332"/>
      <c r="O663" s="2332"/>
      <c r="P663" s="2332"/>
      <c r="Q663" s="2332"/>
      <c r="R663" s="2454" t="s">
        <v>114</v>
      </c>
      <c r="S663" s="2803">
        <f>K663</f>
        <v>2</v>
      </c>
      <c r="T663" s="2804"/>
      <c r="U663" s="2819" t="s">
        <v>312</v>
      </c>
      <c r="V663" s="2243"/>
    </row>
    <row r="664" spans="2:22" s="2185" customFormat="1" ht="41.25" x14ac:dyDescent="0.3">
      <c r="B664" s="1586"/>
      <c r="C664" s="2546"/>
      <c r="D664" s="2817" t="str">
        <f>'[61]RAB (2)'!C183</f>
        <v>Instalasi stopkontak kabel NYM 3  x 2,5 mm dalam pipa counduit</v>
      </c>
      <c r="E664" s="2332"/>
      <c r="F664" s="2332"/>
      <c r="G664" s="2332"/>
      <c r="H664" s="2332"/>
      <c r="I664" s="2332"/>
      <c r="J664" s="2332"/>
      <c r="K664" s="2818">
        <v>1</v>
      </c>
      <c r="L664" s="2332"/>
      <c r="M664" s="2332"/>
      <c r="N664" s="2332"/>
      <c r="O664" s="2332"/>
      <c r="P664" s="2332"/>
      <c r="Q664" s="2332"/>
      <c r="R664" s="2454" t="s">
        <v>114</v>
      </c>
      <c r="S664" s="2803">
        <f>K664</f>
        <v>1</v>
      </c>
      <c r="T664" s="2804"/>
      <c r="U664" s="2819" t="s">
        <v>312</v>
      </c>
      <c r="V664" s="2243"/>
    </row>
    <row r="665" spans="2:22" s="2185" customFormat="1" ht="17.25" thickBot="1" x14ac:dyDescent="0.35">
      <c r="B665" s="1586"/>
      <c r="C665" s="2546"/>
      <c r="D665" s="2820"/>
      <c r="E665" s="2600"/>
      <c r="F665" s="2600"/>
      <c r="G665" s="2600"/>
      <c r="H665" s="2600"/>
      <c r="I665" s="2600"/>
      <c r="J665" s="2600"/>
      <c r="K665" s="2600"/>
      <c r="L665" s="2600"/>
      <c r="M665" s="2600"/>
      <c r="N665" s="2600"/>
      <c r="O665" s="2600"/>
      <c r="P665" s="2600"/>
      <c r="Q665" s="2600"/>
      <c r="R665" s="2600"/>
      <c r="S665" s="2821"/>
      <c r="T665" s="2356"/>
      <c r="U665" s="2410"/>
      <c r="V665" s="2209"/>
    </row>
    <row r="666" spans="2:22" x14ac:dyDescent="0.3">
      <c r="B666" s="2739"/>
      <c r="C666" s="2528"/>
      <c r="D666" s="2463"/>
      <c r="E666" s="2467"/>
      <c r="F666" s="2467"/>
      <c r="G666" s="2467"/>
      <c r="H666" s="2467"/>
      <c r="I666" s="2467"/>
      <c r="J666" s="2467"/>
      <c r="K666" s="2694"/>
      <c r="L666" s="2694"/>
      <c r="M666" s="2694"/>
      <c r="N666" s="2694"/>
      <c r="O666" s="2694"/>
      <c r="P666" s="2694"/>
      <c r="Q666" s="2694"/>
      <c r="R666" s="2694"/>
      <c r="S666" s="2464"/>
      <c r="T666" s="2370"/>
      <c r="U666" s="2371"/>
    </row>
    <row r="667" spans="2:22" x14ac:dyDescent="0.3">
      <c r="C667" s="2244"/>
    </row>
    <row r="668" spans="2:22" x14ac:dyDescent="0.3">
      <c r="C668" s="2244"/>
    </row>
    <row r="669" spans="2:22" x14ac:dyDescent="0.3">
      <c r="C669" s="2244"/>
    </row>
    <row r="670" spans="2:22" x14ac:dyDescent="0.3">
      <c r="C670" s="2244"/>
    </row>
    <row r="671" spans="2:22" x14ac:dyDescent="0.3">
      <c r="C671" s="2244"/>
    </row>
    <row r="672" spans="2:22" x14ac:dyDescent="0.3">
      <c r="C672" s="2244"/>
    </row>
    <row r="673" spans="3:3" x14ac:dyDescent="0.3">
      <c r="C673" s="2244"/>
    </row>
    <row r="674" spans="3:3" x14ac:dyDescent="0.3">
      <c r="C674" s="2244"/>
    </row>
    <row r="675" spans="3:3" x14ac:dyDescent="0.3">
      <c r="C675" s="2244"/>
    </row>
    <row r="676" spans="3:3" x14ac:dyDescent="0.3">
      <c r="C676" s="2244"/>
    </row>
    <row r="677" spans="3:3" x14ac:dyDescent="0.3">
      <c r="C677" s="2244"/>
    </row>
    <row r="678" spans="3:3" x14ac:dyDescent="0.3">
      <c r="C678" s="2244"/>
    </row>
    <row r="679" spans="3:3" x14ac:dyDescent="0.3">
      <c r="C679" s="2244"/>
    </row>
    <row r="680" spans="3:3" x14ac:dyDescent="0.3">
      <c r="C680" s="2244"/>
    </row>
    <row r="681" spans="3:3" x14ac:dyDescent="0.3">
      <c r="C681" s="2244"/>
    </row>
    <row r="682" spans="3:3" x14ac:dyDescent="0.3">
      <c r="C682" s="2244"/>
    </row>
    <row r="683" spans="3:3" x14ac:dyDescent="0.3">
      <c r="C683" s="2244"/>
    </row>
    <row r="684" spans="3:3" x14ac:dyDescent="0.3">
      <c r="C684" s="2244"/>
    </row>
    <row r="685" spans="3:3" x14ac:dyDescent="0.3">
      <c r="C685" s="2244"/>
    </row>
    <row r="686" spans="3:3" x14ac:dyDescent="0.3">
      <c r="C686" s="2244"/>
    </row>
    <row r="687" spans="3:3" x14ac:dyDescent="0.3">
      <c r="C687" s="2244"/>
    </row>
    <row r="688" spans="3:3" x14ac:dyDescent="0.3">
      <c r="C688" s="2244"/>
    </row>
    <row r="689" spans="3:3" x14ac:dyDescent="0.3">
      <c r="C689" s="2244"/>
    </row>
    <row r="690" spans="3:3" x14ac:dyDescent="0.3">
      <c r="C690" s="2244"/>
    </row>
    <row r="691" spans="3:3" x14ac:dyDescent="0.3">
      <c r="C691" s="2244"/>
    </row>
    <row r="692" spans="3:3" x14ac:dyDescent="0.3">
      <c r="C692" s="2244"/>
    </row>
    <row r="693" spans="3:3" x14ac:dyDescent="0.3">
      <c r="C693" s="2244"/>
    </row>
    <row r="694" spans="3:3" x14ac:dyDescent="0.3">
      <c r="C694" s="2244"/>
    </row>
    <row r="695" spans="3:3" x14ac:dyDescent="0.3">
      <c r="C695" s="2244"/>
    </row>
    <row r="696" spans="3:3" x14ac:dyDescent="0.3">
      <c r="C696" s="2244"/>
    </row>
  </sheetData>
  <mergeCells count="63">
    <mergeCell ref="D54:I54"/>
    <mergeCell ref="B2:U2"/>
    <mergeCell ref="D11:I11"/>
    <mergeCell ref="D18:I18"/>
    <mergeCell ref="D29:I29"/>
    <mergeCell ref="D43:I43"/>
    <mergeCell ref="D147:I147"/>
    <mergeCell ref="D61:I61"/>
    <mergeCell ref="D71:I71"/>
    <mergeCell ref="D82:I82"/>
    <mergeCell ref="D89:I89"/>
    <mergeCell ref="D96:I96"/>
    <mergeCell ref="D103:I103"/>
    <mergeCell ref="D112:I112"/>
    <mergeCell ref="D119:I119"/>
    <mergeCell ref="D125:I125"/>
    <mergeCell ref="D134:I134"/>
    <mergeCell ref="D141:I141"/>
    <mergeCell ref="D277:I277"/>
    <mergeCell ref="D158:I158"/>
    <mergeCell ref="D176:I176"/>
    <mergeCell ref="D183:I183"/>
    <mergeCell ref="D193:I193"/>
    <mergeCell ref="D199:I199"/>
    <mergeCell ref="D206:I206"/>
    <mergeCell ref="D212:I212"/>
    <mergeCell ref="D242:I242"/>
    <mergeCell ref="D250:I250"/>
    <mergeCell ref="D257:I257"/>
    <mergeCell ref="D263:I263"/>
    <mergeCell ref="D403:I403"/>
    <mergeCell ref="D290:I290"/>
    <mergeCell ref="D298:I298"/>
    <mergeCell ref="D306:I306"/>
    <mergeCell ref="D320:I320"/>
    <mergeCell ref="D333:I333"/>
    <mergeCell ref="D341:I341"/>
    <mergeCell ref="D349:I349"/>
    <mergeCell ref="D361:I361"/>
    <mergeCell ref="D373:I373"/>
    <mergeCell ref="D382:I382"/>
    <mergeCell ref="D393:I393"/>
    <mergeCell ref="D516:I516"/>
    <mergeCell ref="D412:I412"/>
    <mergeCell ref="D430:I430"/>
    <mergeCell ref="D436:I436"/>
    <mergeCell ref="D445:I445"/>
    <mergeCell ref="D452:I452"/>
    <mergeCell ref="D459:I459"/>
    <mergeCell ref="D478:I478"/>
    <mergeCell ref="D484:I484"/>
    <mergeCell ref="D492:I492"/>
    <mergeCell ref="D498:I498"/>
    <mergeCell ref="D504:I504"/>
    <mergeCell ref="D583:I583"/>
    <mergeCell ref="D590:I590"/>
    <mergeCell ref="D599:I599"/>
    <mergeCell ref="D522:I522"/>
    <mergeCell ref="D528:I528"/>
    <mergeCell ref="D534:I534"/>
    <mergeCell ref="D552:I552"/>
    <mergeCell ref="D558:I558"/>
    <mergeCell ref="D571:I571"/>
  </mergeCells>
  <conditionalFormatting sqref="P236">
    <cfRule type="uniqueValues" dxfId="45" priority="43"/>
  </conditionalFormatting>
  <conditionalFormatting sqref="R236">
    <cfRule type="uniqueValues" dxfId="44" priority="42"/>
  </conditionalFormatting>
  <conditionalFormatting sqref="R254:R255">
    <cfRule type="uniqueValues" dxfId="43" priority="41"/>
  </conditionalFormatting>
  <conditionalFormatting sqref="P225">
    <cfRule type="uniqueValues" dxfId="42" priority="40"/>
  </conditionalFormatting>
  <conditionalFormatting sqref="R225">
    <cfRule type="uniqueValues" dxfId="41" priority="39"/>
  </conditionalFormatting>
  <conditionalFormatting sqref="R237">
    <cfRule type="uniqueValues" dxfId="40" priority="38"/>
  </conditionalFormatting>
  <conditionalFormatting sqref="P237">
    <cfRule type="uniqueValues" dxfId="39" priority="37"/>
  </conditionalFormatting>
  <conditionalFormatting sqref="P227">
    <cfRule type="uniqueValues" dxfId="38" priority="36"/>
  </conditionalFormatting>
  <conditionalFormatting sqref="R189">
    <cfRule type="uniqueValues" dxfId="37" priority="35"/>
  </conditionalFormatting>
  <conditionalFormatting sqref="R197">
    <cfRule type="uniqueValues" dxfId="36" priority="34"/>
  </conditionalFormatting>
  <conditionalFormatting sqref="R203:R204">
    <cfRule type="uniqueValues" dxfId="35" priority="33"/>
  </conditionalFormatting>
  <conditionalFormatting sqref="R210">
    <cfRule type="uniqueValues" dxfId="34" priority="32"/>
  </conditionalFormatting>
  <conditionalFormatting sqref="P210">
    <cfRule type="uniqueValues" dxfId="33" priority="31"/>
  </conditionalFormatting>
  <conditionalFormatting sqref="R175">
    <cfRule type="uniqueValues" dxfId="32" priority="30"/>
  </conditionalFormatting>
  <conditionalFormatting sqref="P180:P181">
    <cfRule type="uniqueValues" dxfId="31" priority="29"/>
  </conditionalFormatting>
  <conditionalFormatting sqref="P360">
    <cfRule type="uniqueValues" dxfId="30" priority="28"/>
  </conditionalFormatting>
  <conditionalFormatting sqref="R365">
    <cfRule type="uniqueValues" dxfId="29" priority="27"/>
  </conditionalFormatting>
  <conditionalFormatting sqref="R377:R379">
    <cfRule type="uniqueValues" dxfId="28" priority="26"/>
  </conditionalFormatting>
  <conditionalFormatting sqref="P377:P378">
    <cfRule type="uniqueValues" dxfId="27" priority="25"/>
  </conditionalFormatting>
  <conditionalFormatting sqref="P379">
    <cfRule type="uniqueValues" dxfId="26" priority="24"/>
  </conditionalFormatting>
  <conditionalFormatting sqref="P269">
    <cfRule type="uniqueValues" dxfId="25" priority="23"/>
  </conditionalFormatting>
  <conditionalFormatting sqref="R272">
    <cfRule type="uniqueValues" dxfId="24" priority="22"/>
  </conditionalFormatting>
  <conditionalFormatting sqref="P272">
    <cfRule type="uniqueValues" dxfId="23" priority="21"/>
  </conditionalFormatting>
  <conditionalFormatting sqref="P268">
    <cfRule type="uniqueValues" dxfId="22" priority="20"/>
  </conditionalFormatting>
  <conditionalFormatting sqref="R268">
    <cfRule type="uniqueValues" dxfId="21" priority="19"/>
  </conditionalFormatting>
  <conditionalFormatting sqref="R380">
    <cfRule type="uniqueValues" dxfId="20" priority="18"/>
  </conditionalFormatting>
  <conditionalFormatting sqref="P380">
    <cfRule type="uniqueValues" dxfId="19" priority="17"/>
  </conditionalFormatting>
  <conditionalFormatting sqref="P216:P217">
    <cfRule type="uniqueValues" dxfId="18" priority="16"/>
  </conditionalFormatting>
  <conditionalFormatting sqref="R315">
    <cfRule type="uniqueValues" dxfId="17" priority="15"/>
  </conditionalFormatting>
  <conditionalFormatting sqref="P315">
    <cfRule type="uniqueValues" dxfId="16" priority="14"/>
  </conditionalFormatting>
  <conditionalFormatting sqref="P311:P314">
    <cfRule type="uniqueValues" dxfId="15" priority="13"/>
  </conditionalFormatting>
  <conditionalFormatting sqref="R311:R314">
    <cfRule type="uniqueValues" dxfId="14" priority="12"/>
  </conditionalFormatting>
  <conditionalFormatting sqref="R324">
    <cfRule type="uniqueValues" dxfId="13" priority="11"/>
  </conditionalFormatting>
  <conditionalFormatting sqref="R345:R347">
    <cfRule type="uniqueValues" dxfId="12" priority="10"/>
  </conditionalFormatting>
  <conditionalFormatting sqref="R203">
    <cfRule type="uniqueValues" dxfId="11" priority="9"/>
  </conditionalFormatting>
  <conditionalFormatting sqref="R204">
    <cfRule type="uniqueValues" dxfId="10" priority="8"/>
  </conditionalFormatting>
  <conditionalFormatting sqref="R261">
    <cfRule type="uniqueValues" dxfId="9" priority="7"/>
  </conditionalFormatting>
  <conditionalFormatting sqref="R302:R304">
    <cfRule type="uniqueValues" dxfId="8" priority="6"/>
  </conditionalFormatting>
  <conditionalFormatting sqref="R273:R274">
    <cfRule type="uniqueValues" dxfId="7" priority="5"/>
  </conditionalFormatting>
  <conditionalFormatting sqref="R328">
    <cfRule type="uniqueValues" dxfId="6" priority="4"/>
  </conditionalFormatting>
  <conditionalFormatting sqref="R331">
    <cfRule type="uniqueValues" dxfId="5" priority="3"/>
  </conditionalFormatting>
  <conditionalFormatting sqref="R327:R331">
    <cfRule type="uniqueValues" dxfId="4" priority="2"/>
  </conditionalFormatting>
  <conditionalFormatting sqref="R269:R270">
    <cfRule type="uniqueValues" dxfId="3" priority="44"/>
  </conditionalFormatting>
  <conditionalFormatting sqref="P270:P271">
    <cfRule type="uniqueValues" dxfId="2" priority="45"/>
  </conditionalFormatting>
  <conditionalFormatting sqref="R270:R271">
    <cfRule type="uniqueValues" dxfId="1" priority="46"/>
  </conditionalFormatting>
  <conditionalFormatting sqref="R316:R317">
    <cfRule type="uniqueValues" dxfId="0" priority="1"/>
  </conditionalFormatting>
  <printOptions horizontalCentered="1"/>
  <pageMargins left="0.5" right="0.5" top="0.5" bottom="0" header="0" footer="0"/>
  <pageSetup paperSize="9" scale="69" orientation="portrait" horizontalDpi="4294967293" r:id="rId1"/>
  <rowBreaks count="12" manualBreakCount="12">
    <brk id="49" min="1" max="20" man="1"/>
    <brk id="104" min="1" max="20" man="1"/>
    <brk id="158" min="1" max="20" man="1"/>
    <brk id="213" min="1" max="20" man="1"/>
    <brk id="258" min="1" max="20" man="1"/>
    <brk id="321" min="1" max="20" man="1"/>
    <brk id="559" min="1" max="20" man="1"/>
    <brk id="603" min="1" max="20" man="1"/>
    <brk id="648" min="1" max="20" man="1"/>
    <brk id="1445" min="1" max="20" man="1"/>
    <brk id="2424" min="1" max="20" man="1"/>
    <brk id="3174" min="1" max="2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F77"/>
  <sheetViews>
    <sheetView showGridLines="0" view="pageBreakPreview" topLeftCell="A43" zoomScale="80" zoomScaleNormal="70" zoomScaleSheetLayoutView="80" workbookViewId="0">
      <selection activeCell="G70" sqref="G70"/>
    </sheetView>
  </sheetViews>
  <sheetFormatPr defaultColWidth="9.28515625" defaultRowHeight="17.25" x14ac:dyDescent="0.3"/>
  <cols>
    <col min="1" max="1" width="4.140625" style="2160" customWidth="1"/>
    <col min="2" max="2" width="19" style="2175" customWidth="1"/>
    <col min="3" max="3" width="85" style="2160" customWidth="1"/>
    <col min="4" max="4" width="23.28515625" style="2176" customWidth="1"/>
    <col min="5" max="5" width="9.28515625" style="2160"/>
    <col min="6" max="6" width="17.5703125" style="2160" bestFit="1" customWidth="1"/>
    <col min="7" max="16384" width="9.28515625" style="2160"/>
  </cols>
  <sheetData>
    <row r="1" spans="1:6" ht="20.25" customHeight="1" x14ac:dyDescent="0.3">
      <c r="B1" s="3137" t="s">
        <v>108</v>
      </c>
      <c r="C1" s="3137"/>
      <c r="D1" s="3137"/>
    </row>
    <row r="2" spans="1:6" ht="20.25" customHeight="1" x14ac:dyDescent="0.3">
      <c r="B2" s="3137"/>
      <c r="C2" s="3137"/>
      <c r="D2" s="3137"/>
    </row>
    <row r="3" spans="1:6" ht="20.25" customHeight="1" x14ac:dyDescent="0.3">
      <c r="A3" s="1795"/>
      <c r="B3" s="2161" t="s">
        <v>198</v>
      </c>
      <c r="C3" s="1796" t="str">
        <f>'RAB (2)'!E3</f>
        <v>: Renovasi Atap Gedung Paripurna DPRD Provsu</v>
      </c>
      <c r="D3" s="2162"/>
    </row>
    <row r="4" spans="1:6" ht="20.25" customHeight="1" x14ac:dyDescent="0.3">
      <c r="A4" s="1795"/>
      <c r="B4" s="2161" t="s">
        <v>199</v>
      </c>
      <c r="C4" s="1796" t="str">
        <f>'RAB (2)'!E4</f>
        <v>: Jalan Imam Bonjol No. 5 Medan</v>
      </c>
      <c r="D4" s="2162"/>
    </row>
    <row r="5" spans="1:6" ht="20.25" customHeight="1" x14ac:dyDescent="0.3">
      <c r="A5" s="1795"/>
      <c r="B5" s="2161" t="s">
        <v>230</v>
      </c>
      <c r="C5" s="1796" t="str">
        <f>'RAB (2)'!E5</f>
        <v>: 2022</v>
      </c>
      <c r="D5" s="2162"/>
    </row>
    <row r="6" spans="1:6" ht="8.25" customHeight="1" x14ac:dyDescent="0.3"/>
    <row r="7" spans="1:6" s="2163" customFormat="1" ht="18" x14ac:dyDescent="0.25">
      <c r="B7" s="3138" t="s">
        <v>116</v>
      </c>
      <c r="C7" s="3139"/>
      <c r="D7" s="3140"/>
    </row>
    <row r="8" spans="1:6" x14ac:dyDescent="0.3">
      <c r="B8" s="2164" t="str">
        <f>ANL!B9</f>
        <v xml:space="preserve">A.2.2.1 </v>
      </c>
      <c r="C8" s="2165" t="str">
        <f>ANL!C9</f>
        <v>HARGA SATUAN PEKERJAAN PERSIAPAN</v>
      </c>
      <c r="D8" s="2166"/>
    </row>
    <row r="9" spans="1:6" s="2177" customFormat="1" ht="32.25" customHeight="1" x14ac:dyDescent="0.2">
      <c r="B9" s="2178" t="s">
        <v>37</v>
      </c>
      <c r="C9" s="2179" t="s">
        <v>103</v>
      </c>
      <c r="D9" s="2180" t="s">
        <v>104</v>
      </c>
    </row>
    <row r="10" spans="1:6" x14ac:dyDescent="0.3">
      <c r="B10" s="2167" t="e">
        <f>ANL!#REF!</f>
        <v>#REF!</v>
      </c>
      <c r="C10" s="2168" t="e">
        <f>ANL!#REF!</f>
        <v>#REF!</v>
      </c>
      <c r="D10" s="2166" t="e">
        <f>ANL!#REF!</f>
        <v>#REF!</v>
      </c>
    </row>
    <row r="11" spans="1:6" x14ac:dyDescent="0.3">
      <c r="B11" s="2167" t="str">
        <f>ANL!B10</f>
        <v>A.2.2.1.4</v>
      </c>
      <c r="C11" s="2168" t="str">
        <f>ANL!C10</f>
        <v>Pengukuran dan Pemasangan 1 m' Bouwplank</v>
      </c>
      <c r="D11" s="2166">
        <f>ANL!H29</f>
        <v>114164.52</v>
      </c>
    </row>
    <row r="12" spans="1:6" x14ac:dyDescent="0.3">
      <c r="B12" s="2167" t="str">
        <f>ANL!B31</f>
        <v>A.2.2.1.5</v>
      </c>
      <c r="C12" s="2168" t="str">
        <f>ANL!C31</f>
        <v>Pembuatan 1 m² kantor sementara lantai plesteran</v>
      </c>
      <c r="D12" s="2166">
        <f>ANL!H62</f>
        <v>2439292.6</v>
      </c>
    </row>
    <row r="13" spans="1:6" x14ac:dyDescent="0.3">
      <c r="B13" s="2167" t="str">
        <f>ANL!B64</f>
        <v>A.2.2.1.7</v>
      </c>
      <c r="C13" s="2168" t="str">
        <f>ANL!C64</f>
        <v>Pembuatan 1 m² gudang semen dan peralatan</v>
      </c>
      <c r="D13" s="2166">
        <f>ANL!H88</f>
        <v>1872691.62</v>
      </c>
    </row>
    <row r="14" spans="1:6" x14ac:dyDescent="0.3">
      <c r="B14" s="2167" t="str">
        <f>ANL!B90</f>
        <v>A.2.2.1.8</v>
      </c>
      <c r="C14" s="2168" t="str">
        <f>ANL!C90</f>
        <v>Pembuatan 1 m² bedeng pekerja</v>
      </c>
      <c r="D14" s="2166">
        <f>ANL!H114</f>
        <v>1865959.52</v>
      </c>
    </row>
    <row r="15" spans="1:6" x14ac:dyDescent="0.3">
      <c r="B15" s="2167"/>
      <c r="C15" s="2168"/>
      <c r="D15" s="2166"/>
      <c r="F15" s="2169"/>
    </row>
    <row r="16" spans="1:6" s="2163" customFormat="1" ht="18" x14ac:dyDescent="0.25">
      <c r="B16" s="3138" t="s">
        <v>102</v>
      </c>
      <c r="C16" s="3139"/>
      <c r="D16" s="3140"/>
    </row>
    <row r="17" spans="2:4" x14ac:dyDescent="0.3">
      <c r="B17" s="2164" t="str">
        <f>ANL!B116</f>
        <v>A.2.3.1</v>
      </c>
      <c r="C17" s="2165" t="str">
        <f>ANL!C116</f>
        <v>HARGA SATUAN PEKERJAAN TANAH</v>
      </c>
      <c r="D17" s="2166"/>
    </row>
    <row r="18" spans="2:4" s="2183" customFormat="1" ht="30.75" customHeight="1" x14ac:dyDescent="0.2">
      <c r="B18" s="2181" t="s">
        <v>37</v>
      </c>
      <c r="C18" s="2184" t="s">
        <v>103</v>
      </c>
      <c r="D18" s="2180" t="s">
        <v>104</v>
      </c>
    </row>
    <row r="19" spans="2:4" x14ac:dyDescent="0.3">
      <c r="B19" s="2167" t="str">
        <f>ANL!B117</f>
        <v>A.2.3.1.1</v>
      </c>
      <c r="C19" s="2168" t="str">
        <f>ANL!C117</f>
        <v>Penggalian 1 m³ tanah biasa sedalam 1m</v>
      </c>
      <c r="D19" s="2166">
        <f>ANL!H131</f>
        <v>104937.5</v>
      </c>
    </row>
    <row r="20" spans="2:4" x14ac:dyDescent="0.3">
      <c r="B20" s="2167" t="str">
        <f>ANL!B133</f>
        <v>A.2.3.1.2</v>
      </c>
      <c r="C20" s="2168" t="str">
        <f>ANL!C133</f>
        <v>Penggalian 1 m³ tanah biasa sedalam 2m</v>
      </c>
      <c r="D20" s="2166">
        <f>ANL!H147</f>
        <v>129375</v>
      </c>
    </row>
    <row r="21" spans="2:4" x14ac:dyDescent="0.3">
      <c r="B21" s="2167" t="str">
        <f>ANL!B149</f>
        <v>A.2.3.1.9</v>
      </c>
      <c r="C21" s="2168" t="str">
        <f>ANL!C149</f>
        <v xml:space="preserve">Pengurugan Kembali 1 m³ galian tanah </v>
      </c>
      <c r="D21" s="2166">
        <f>ANL!H165</f>
        <v>77625</v>
      </c>
    </row>
    <row r="22" spans="2:4" x14ac:dyDescent="0.3">
      <c r="B22" s="2167" t="str">
        <f>ANL!B167</f>
        <v>A.2.3.1.11</v>
      </c>
      <c r="C22" s="2168" t="str">
        <f>ANL!C167</f>
        <v>Pengurugan 1 m³ dengan pasir urug</v>
      </c>
      <c r="D22" s="2166">
        <f>ANL!H182</f>
        <v>286511</v>
      </c>
    </row>
    <row r="23" spans="2:4" x14ac:dyDescent="0.3">
      <c r="B23" s="2167" t="str">
        <f>ANL!B184</f>
        <v>A.2.3.1.11a</v>
      </c>
      <c r="C23" s="2168" t="str">
        <f>ANL!C184</f>
        <v>Pengurugan 1 m³ dengan Tanah Timbun</v>
      </c>
      <c r="D23" s="2166">
        <f>ANL!H199</f>
        <v>386975</v>
      </c>
    </row>
    <row r="24" spans="2:4" x14ac:dyDescent="0.3">
      <c r="B24" s="2167" t="str">
        <f>ANL!B201</f>
        <v>A.2.3.1.14</v>
      </c>
      <c r="C24" s="2168" t="str">
        <f>ANL!C201</f>
        <v xml:space="preserve">Pengurugan  1 m3  sirtu padat </v>
      </c>
      <c r="D24" s="2166">
        <f>ANL!H216</f>
        <v>402787.5</v>
      </c>
    </row>
    <row r="25" spans="2:4" x14ac:dyDescent="0.3">
      <c r="B25" s="2167"/>
      <c r="C25" s="2168"/>
      <c r="D25" s="2166"/>
    </row>
    <row r="26" spans="2:4" s="2163" customFormat="1" ht="18" x14ac:dyDescent="0.25">
      <c r="B26" s="3141" t="s">
        <v>105</v>
      </c>
      <c r="C26" s="3142"/>
      <c r="D26" s="3143"/>
    </row>
    <row r="27" spans="2:4" x14ac:dyDescent="0.3">
      <c r="B27" s="2164" t="str">
        <f>ANL!B218</f>
        <v>A.4.1.1</v>
      </c>
      <c r="C27" s="2165" t="str">
        <f>ANL!C218</f>
        <v>HARGA SATUAN PEKERJAAN BETON</v>
      </c>
      <c r="D27" s="2166"/>
    </row>
    <row r="28" spans="2:4" s="2183" customFormat="1" ht="32.25" customHeight="1" x14ac:dyDescent="0.2">
      <c r="B28" s="2181" t="s">
        <v>37</v>
      </c>
      <c r="C28" s="2184" t="s">
        <v>103</v>
      </c>
      <c r="D28" s="2180" t="s">
        <v>104</v>
      </c>
    </row>
    <row r="29" spans="2:4" s="2964" customFormat="1" ht="17.25" customHeight="1" x14ac:dyDescent="0.2">
      <c r="B29" s="2965" t="str">
        <f>ANL!B219</f>
        <v>A.4.1.1.8</v>
      </c>
      <c r="C29" s="2966" t="str">
        <f>ANL!C219</f>
        <v xml:space="preserve"> Membuat 1 m3 beton mutu f’= 21.7 MPa (K 250). slump (12 ± 2) cm. w/c = 0.56</v>
      </c>
      <c r="D29" s="2967">
        <f>ANL!H235</f>
        <v>1658666.0224867726</v>
      </c>
    </row>
    <row r="30" spans="2:4" x14ac:dyDescent="0.3">
      <c r="B30" s="2167" t="str">
        <f>ANL!B237</f>
        <v>A.4.1.1.10</v>
      </c>
      <c r="C30" s="2168" t="str">
        <f>ANL!C237</f>
        <v>Membuat 1 m³ beton mutu f'c=26,4 Mpa (K 300); slump (12 ± 2) cm;</v>
      </c>
      <c r="D30" s="2166">
        <f>ANL!H257</f>
        <v>1717353.26</v>
      </c>
    </row>
    <row r="31" spans="2:4" x14ac:dyDescent="0.3">
      <c r="B31" s="2167" t="str">
        <f>ANL!B262</f>
        <v>A.4.1.1.17.</v>
      </c>
      <c r="C31" s="2168" t="str">
        <f>ANL!C262</f>
        <v xml:space="preserve">Pembesian 1 Kg dengan besi polos </v>
      </c>
      <c r="D31" s="2166">
        <f>ANL!H280</f>
        <v>20849.5</v>
      </c>
    </row>
    <row r="32" spans="2:4" x14ac:dyDescent="0.3">
      <c r="B32" s="2167" t="str">
        <f>ANL!B282</f>
        <v>A.4.1.1.17.b</v>
      </c>
      <c r="C32" s="2168" t="str">
        <f>ANL!C282</f>
        <v>Pembesian 1 Kg dengan besi ulir</v>
      </c>
      <c r="D32" s="2166">
        <f>ANL!H300</f>
        <v>21453.25</v>
      </c>
    </row>
    <row r="33" spans="2:6" x14ac:dyDescent="0.3">
      <c r="B33" s="2167" t="str">
        <f>ANL!B302</f>
        <v>A.4.1.1.18</v>
      </c>
      <c r="C33" s="2168" t="str">
        <f>ANL!C302</f>
        <v>Pemasangan 1 m² bekisting untuk pondasi</v>
      </c>
      <c r="D33" s="2166">
        <f>ANL!H322</f>
        <v>277742.25</v>
      </c>
      <c r="F33" s="2170" t="e">
        <f>Rekap!E50</f>
        <v>#REF!</v>
      </c>
    </row>
    <row r="34" spans="2:6" x14ac:dyDescent="0.3">
      <c r="B34" s="2167" t="str">
        <f>ANL!B324</f>
        <v>A.4.1.1.19</v>
      </c>
      <c r="C34" s="2168" t="str">
        <f>ANL!C324</f>
        <v>Pemasangan 1 m² bekisting untuk sloof</v>
      </c>
      <c r="D34" s="2166">
        <f>ANL!H344</f>
        <v>294612.75</v>
      </c>
      <c r="F34" s="2170"/>
    </row>
    <row r="35" spans="2:6" x14ac:dyDescent="0.3">
      <c r="B35" s="2167" t="str">
        <f>ANL!B346</f>
        <v>A.4.1.1.22 A</v>
      </c>
      <c r="C35" s="2168" t="str">
        <f>ANL!C346</f>
        <v xml:space="preserve"> Pemasangan 1 m2  bekisting untuk kolom (2x pakai)</v>
      </c>
      <c r="D35" s="2166">
        <f>ANL!H365</f>
        <v>348914.3125</v>
      </c>
      <c r="F35" s="2170"/>
    </row>
    <row r="36" spans="2:6" x14ac:dyDescent="0.3">
      <c r="B36" s="2167" t="str">
        <f>ANL!B367</f>
        <v>A.4.1.1.23 A</v>
      </c>
      <c r="C36" s="2168" t="str">
        <f>ANL!C367</f>
        <v>Pemasangan 1 m2  bekisting untuk balok (2x pakai)</v>
      </c>
      <c r="D36" s="2166">
        <f>ANL!H386</f>
        <v>356419.78749999998</v>
      </c>
      <c r="F36" s="2170"/>
    </row>
    <row r="37" spans="2:6" x14ac:dyDescent="0.3">
      <c r="B37" s="2167" t="str">
        <f>ANL!B388</f>
        <v>A.4.1.1.24A</v>
      </c>
      <c r="C37" s="2168" t="str">
        <f>ANL!C388</f>
        <v>(K3) Pemasangan 1 m2   bekisting untuk lantai  (2x Pakai)</v>
      </c>
      <c r="D37" s="2166">
        <f>ANL!H411</f>
        <v>428264.31</v>
      </c>
    </row>
    <row r="38" spans="2:6" x14ac:dyDescent="0.3">
      <c r="B38" s="2167"/>
      <c r="C38" s="2168"/>
      <c r="D38" s="2166"/>
    </row>
    <row r="39" spans="2:6" s="2948" customFormat="1" ht="15" x14ac:dyDescent="0.2">
      <c r="B39" s="2164" t="str">
        <f>ANL!B413</f>
        <v>A.4.2.1</v>
      </c>
      <c r="C39" s="2165" t="str">
        <f>ANL!C413</f>
        <v xml:space="preserve">HARGA SATUAN PEKERJAAN BESI DAN ALUMUNIUM </v>
      </c>
      <c r="D39" s="2949"/>
    </row>
    <row r="40" spans="2:6" ht="30" x14ac:dyDescent="0.3">
      <c r="B40" s="2181" t="s">
        <v>37</v>
      </c>
      <c r="C40" s="2184" t="s">
        <v>103</v>
      </c>
      <c r="D40" s="2180" t="s">
        <v>104</v>
      </c>
    </row>
    <row r="41" spans="2:6" x14ac:dyDescent="0.3">
      <c r="B41" s="2167" t="str">
        <f>ANL!B414</f>
        <v>A.4.2.1.1</v>
      </c>
      <c r="C41" s="2168" t="str">
        <f>ANL!C414</f>
        <v>Pemasangan 1 kg besi profil</v>
      </c>
      <c r="D41" s="2166">
        <f>ANL!H427</f>
        <v>52710.25</v>
      </c>
    </row>
    <row r="42" spans="2:6" x14ac:dyDescent="0.3">
      <c r="B42" s="2167" t="str">
        <f>ANL!B429</f>
        <v>A.4.2.1.19</v>
      </c>
      <c r="C42" s="2168" t="str">
        <f>ANL!C429</f>
        <v>Pemasangan 1 m talang ½ lingkaran D-15 cm. seng plat bjls 30 lebar 45 cm</v>
      </c>
      <c r="D42" s="2166">
        <f>ANL!H444</f>
        <v>206760.22500000001</v>
      </c>
    </row>
    <row r="43" spans="2:6" x14ac:dyDescent="0.3">
      <c r="B43" s="2167"/>
      <c r="C43" s="2168"/>
      <c r="D43" s="2166"/>
    </row>
    <row r="44" spans="2:6" x14ac:dyDescent="0.3">
      <c r="B44" s="2164" t="str">
        <f>ANL!B447</f>
        <v>A.4.4.3</v>
      </c>
      <c r="C44" s="2165" t="str">
        <f>ANL!C447</f>
        <v>HARGA SATUAN PEKERJAAN PENUTUP LANTAI DAN PENUTUP DINDING</v>
      </c>
      <c r="D44" s="2949"/>
    </row>
    <row r="45" spans="2:6" x14ac:dyDescent="0.3">
      <c r="B45" s="2167" t="str">
        <f>ANL!B448</f>
        <v>A.4.4.3.65</v>
      </c>
      <c r="C45" s="2168" t="str">
        <f>ANL!C448</f>
        <v>Pemasangan 1 m2 paving block tebal 8 cm</v>
      </c>
      <c r="D45" s="2166">
        <f>ANL!H462</f>
        <v>263872.09999999998</v>
      </c>
    </row>
    <row r="46" spans="2:6" x14ac:dyDescent="0.3">
      <c r="B46" s="2167"/>
      <c r="C46" s="2168"/>
      <c r="D46" s="2166"/>
    </row>
    <row r="47" spans="2:6" s="2948" customFormat="1" ht="15" x14ac:dyDescent="0.2">
      <c r="B47" s="2164" t="str">
        <f>ANL!B464</f>
        <v>A.4.5.1</v>
      </c>
      <c r="C47" s="2165" t="str">
        <f>ANL!C464</f>
        <v>SATUAN PEKERJAAN LANGIT-LANGIT (PLAFOND)</v>
      </c>
      <c r="D47" s="2949"/>
    </row>
    <row r="48" spans="2:6" x14ac:dyDescent="0.3">
      <c r="B48" s="2167" t="str">
        <f>ANL!B465</f>
        <v>A.4.5.1.7 B</v>
      </c>
      <c r="C48" s="2168" t="str">
        <f>ANL!C465</f>
        <v>Pemasangan 1 m2 langit-langit PVC warna</v>
      </c>
      <c r="D48" s="2166">
        <f>ANL!H479</f>
        <v>192332.9</v>
      </c>
    </row>
    <row r="49" spans="2:4" x14ac:dyDescent="0.3">
      <c r="B49" s="2167"/>
      <c r="C49" s="2168"/>
      <c r="D49" s="2166"/>
    </row>
    <row r="50" spans="2:4" s="2948" customFormat="1" ht="15" x14ac:dyDescent="0.2">
      <c r="B50" s="2164" t="str">
        <f>ANL!B481</f>
        <v>A.4.5.2</v>
      </c>
      <c r="C50" s="2165" t="str">
        <f>ANL!C481</f>
        <v xml:space="preserve">HARGA SATUAN PEKERJAAN PENUTUP ATAP </v>
      </c>
      <c r="D50" s="2949"/>
    </row>
    <row r="51" spans="2:4" x14ac:dyDescent="0.3">
      <c r="B51" s="2167" t="str">
        <f>ANL!B482</f>
        <v>A.4.5.2.7.A</v>
      </c>
      <c r="C51" s="2168" t="str">
        <f>ANL!C482</f>
        <v>Pemasangan 1 m2  roof light fibreglass Bahan Akrilik 12mm</v>
      </c>
      <c r="D51" s="2166">
        <f>ANL!H496</f>
        <v>2129690.75</v>
      </c>
    </row>
    <row r="52" spans="2:4" x14ac:dyDescent="0.3">
      <c r="B52" s="2167" t="str">
        <f>ANL!B498</f>
        <v>A.4.5.2.32 A</v>
      </c>
      <c r="C52" s="2168" t="str">
        <f>ANL!C498</f>
        <v>Pemasangan 1 m2 Atap Galvalum</v>
      </c>
      <c r="D52" s="2166">
        <f>ANL!H512</f>
        <v>334003.7</v>
      </c>
    </row>
    <row r="53" spans="2:4" x14ac:dyDescent="0.3">
      <c r="B53" s="2167" t="str">
        <f>ANL!B515</f>
        <v>A.4.5.2.36 A</v>
      </c>
      <c r="C53" s="2168" t="str">
        <f>ANL!C515</f>
        <v>Pemasangan 1 m’ nok atap Galvalum</v>
      </c>
      <c r="D53" s="2166">
        <f>ANL!H529</f>
        <v>114856.25</v>
      </c>
    </row>
    <row r="54" spans="2:4" x14ac:dyDescent="0.3">
      <c r="B54" s="2167" t="str">
        <f>ANL!B531</f>
        <v>A.4.6.1.22 A</v>
      </c>
      <c r="C54" s="2168" t="str">
        <f>ANL!C531</f>
        <v>Pemasangan 1 m’ Lisplank GRC</v>
      </c>
      <c r="D54" s="2166">
        <f>ANL!H545</f>
        <v>115132.25</v>
      </c>
    </row>
    <row r="55" spans="2:4" x14ac:dyDescent="0.3">
      <c r="B55" s="2167"/>
      <c r="C55" s="2168"/>
      <c r="D55" s="2166"/>
    </row>
    <row r="56" spans="2:4" s="2948" customFormat="1" ht="15" x14ac:dyDescent="0.2">
      <c r="B56" s="2164" t="str">
        <f>ANL!B549</f>
        <v>A.5.1.1</v>
      </c>
      <c r="C56" s="2165" t="str">
        <f>ANL!C549</f>
        <v>HARGA SATUAN PEKERJAAN SANITASI DALAM GEDUNG</v>
      </c>
      <c r="D56" s="2949"/>
    </row>
    <row r="57" spans="2:4" x14ac:dyDescent="0.3">
      <c r="B57" s="2167" t="str">
        <f>ANL!B550</f>
        <v>A.5.1.1.32A</v>
      </c>
      <c r="C57" s="2168" t="str">
        <f>ANL!C550</f>
        <v>Pemasangan 1 m’ pipa PVC tipe AW diameter 5”</v>
      </c>
      <c r="D57" s="2166">
        <f>ANL!H564</f>
        <v>268165.625</v>
      </c>
    </row>
    <row r="58" spans="2:4" x14ac:dyDescent="0.3">
      <c r="B58" s="2167" t="str">
        <f>ANL!B566</f>
        <v>A.5.1.1.14A</v>
      </c>
      <c r="C58" s="2168" t="str">
        <f>ANL!C566</f>
        <v>Pemasangan 1 buah Roof drain</v>
      </c>
      <c r="D58" s="2166">
        <f>ANL!H579</f>
        <v>179400</v>
      </c>
    </row>
    <row r="59" spans="2:4" x14ac:dyDescent="0.3">
      <c r="B59" s="2167"/>
      <c r="C59" s="2168"/>
      <c r="D59" s="2166"/>
    </row>
    <row r="60" spans="2:4" s="2163" customFormat="1" ht="18" x14ac:dyDescent="0.25">
      <c r="B60" s="2171"/>
      <c r="C60" s="2174" t="str">
        <f>Mobilisasi!B1</f>
        <v>ANALISIS HARGA SATUAN PEKERJAAN TIANG PANCANG</v>
      </c>
      <c r="D60" s="2173"/>
    </row>
    <row r="61" spans="2:4" s="2183" customFormat="1" ht="31.5" customHeight="1" x14ac:dyDescent="0.2">
      <c r="B61" s="2181" t="s">
        <v>37</v>
      </c>
      <c r="C61" s="2182" t="s">
        <v>103</v>
      </c>
      <c r="D61" s="2180" t="s">
        <v>104</v>
      </c>
    </row>
    <row r="62" spans="2:4" x14ac:dyDescent="0.3">
      <c r="B62" s="2167" t="str">
        <f>Mobilisasi!E8</f>
        <v>ANS.01</v>
      </c>
      <c r="C62" s="2168" t="str">
        <f>Mobilisasi!E9</f>
        <v xml:space="preserve">Mobilisasi dan Demobilisasi Peralatan Konstruksi dan Sumber Daya </v>
      </c>
      <c r="D62" s="2166">
        <f>Mobilisasi!H27</f>
        <v>23215860</v>
      </c>
    </row>
    <row r="63" spans="2:4" x14ac:dyDescent="0.3">
      <c r="B63" s="2167"/>
      <c r="C63" s="2168"/>
      <c r="D63" s="2166"/>
    </row>
    <row r="64" spans="2:4" s="2163" customFormat="1" ht="18" x14ac:dyDescent="0.25">
      <c r="B64" s="2171"/>
      <c r="C64" s="2172" t="str">
        <f>HIT.!B1</f>
        <v>ANALISA HITUNG</v>
      </c>
      <c r="D64" s="2173"/>
    </row>
    <row r="65" spans="2:4" s="2183" customFormat="1" ht="31.5" customHeight="1" x14ac:dyDescent="0.2">
      <c r="B65" s="2181" t="s">
        <v>37</v>
      </c>
      <c r="C65" s="2182" t="s">
        <v>103</v>
      </c>
      <c r="D65" s="2180" t="s">
        <v>104</v>
      </c>
    </row>
    <row r="66" spans="2:4" x14ac:dyDescent="0.3">
      <c r="B66" s="2167" t="str">
        <f>'SMK3'!E4</f>
        <v>LA.01</v>
      </c>
      <c r="C66" s="2168" t="str">
        <f>'SMK3'!E5</f>
        <v>Penyediaan SMK3</v>
      </c>
      <c r="D66" s="2166">
        <f>'SMK3'!H81</f>
        <v>29450000</v>
      </c>
    </row>
    <row r="67" spans="2:4" x14ac:dyDescent="0.3">
      <c r="B67" s="2167" t="str">
        <f>DIHIT!B5</f>
        <v>Anl. hitung 1</v>
      </c>
      <c r="C67" s="2168" t="str">
        <f>DIHIT!C5</f>
        <v>1 m3 Meratakan dan memadatkan Lahan Menggunakan Alat</v>
      </c>
      <c r="D67" s="2166">
        <f>DIHIT!H27</f>
        <v>49421.25</v>
      </c>
    </row>
    <row r="68" spans="2:4" x14ac:dyDescent="0.3">
      <c r="B68" s="2167" t="str">
        <f>DIHIT!B30</f>
        <v>Anl. hitung 2</v>
      </c>
      <c r="C68" s="2168" t="str">
        <f>DIHIT!C30</f>
        <v>Striping atau kupas 1 m³ top soil menggunakan Bulldozer</v>
      </c>
      <c r="D68" s="2166">
        <f>DIHIT!H45</f>
        <v>17218.37</v>
      </c>
    </row>
    <row r="69" spans="2:4" x14ac:dyDescent="0.3">
      <c r="B69" s="2167" t="str">
        <f>DIHIT!B47</f>
        <v>Anl. hitung 3</v>
      </c>
      <c r="C69" s="2168" t="str">
        <f>DIHIT!C47</f>
        <v xml:space="preserve">Menggali 1 m³ Saluran tanah biasa atau tanah liat berpasir kedalaman &gt; 2 - 4 m
</v>
      </c>
      <c r="D69" s="2166">
        <f>DIHIT!H62</f>
        <v>16838.87</v>
      </c>
    </row>
    <row r="70" spans="2:4" x14ac:dyDescent="0.3">
      <c r="B70" s="2167" t="str">
        <f>DIHIT!B64</f>
        <v>Anl. Dihitung 4</v>
      </c>
      <c r="C70" s="2168" t="str">
        <f>DIHIT!C64</f>
        <v>Memasang 1m' Kanstein Uk. 15.30.60cm</v>
      </c>
      <c r="D70" s="2166">
        <f>DIHIT!H79</f>
        <v>266702.02</v>
      </c>
    </row>
    <row r="71" spans="2:4" x14ac:dyDescent="0.3">
      <c r="B71" s="2167" t="str">
        <f>HIT.!B8</f>
        <v>Dihitung 1</v>
      </c>
      <c r="C71" s="2168" t="str">
        <f>HIT.!C8</f>
        <v xml:space="preserve">1 m2 Finishing Floor Hardener 4kg/m2 </v>
      </c>
      <c r="D71" s="2166">
        <f>HIT.!H27</f>
        <v>72933</v>
      </c>
    </row>
    <row r="72" spans="2:4" x14ac:dyDescent="0.3">
      <c r="B72" s="2167" t="str">
        <f>HIT.!B29</f>
        <v>Dihitung 2</v>
      </c>
      <c r="C72" s="2168" t="str">
        <f>HIT.!C29</f>
        <v>1 m2 Screeding 1SP : 2PP tebal 3 cm</v>
      </c>
      <c r="D72" s="2166">
        <f>HIT.!H48</f>
        <v>125892.03</v>
      </c>
    </row>
    <row r="73" spans="2:4" x14ac:dyDescent="0.3">
      <c r="B73" s="2167" t="str">
        <f>HIT.!B50</f>
        <v>Dihitung 5</v>
      </c>
      <c r="C73" s="2168" t="str">
        <f>HIT.!C50</f>
        <v xml:space="preserve">Memasang Kembali 1 m2 Aluminium Composit Panel (ACP) </v>
      </c>
      <c r="D73" s="2166">
        <f>HIT.!H65</f>
        <v>203550</v>
      </c>
    </row>
    <row r="74" spans="2:4" x14ac:dyDescent="0.3">
      <c r="B74" s="2167" t="str">
        <f>HIT.!B67</f>
        <v>Dihitung 6</v>
      </c>
      <c r="C74" s="2168" t="str">
        <f>HIT.!C67</f>
        <v>Memasang 1 m2 Aluminium Composit Panel (ACP)</v>
      </c>
      <c r="D74" s="2166">
        <f>HIT.!H83</f>
        <v>1007078</v>
      </c>
    </row>
    <row r="75" spans="2:4" x14ac:dyDescent="0.3">
      <c r="B75" s="2167" t="str">
        <f>HIT.!B85</f>
        <v>Dihitung 7</v>
      </c>
      <c r="C75" s="2168" t="str">
        <f>HIT.!C85</f>
        <v>Pemasangan 1 m2 water proofing membran bakar</v>
      </c>
      <c r="D75" s="2166">
        <f>HIT.!H103</f>
        <v>206908</v>
      </c>
    </row>
    <row r="76" spans="2:4" x14ac:dyDescent="0.3">
      <c r="B76" s="2167" t="str">
        <f>HIT.!B105</f>
        <v>Dihitung 8</v>
      </c>
      <c r="C76" s="2168" t="str">
        <f>HIT.!C105</f>
        <v>Sewa Prancah dan Alat Bantu Kerja</v>
      </c>
      <c r="D76" s="2166">
        <f>HIT.!H119</f>
        <v>17710000</v>
      </c>
    </row>
    <row r="77" spans="2:4" x14ac:dyDescent="0.3">
      <c r="B77" s="2167" t="str">
        <f>HIT.!B359</f>
        <v>Dihitung 9</v>
      </c>
      <c r="C77" s="2168" t="str">
        <f>HIT.!C359</f>
        <v>Pemasangan 1 m2 GRC + Rangka Hollow 40x40</v>
      </c>
      <c r="D77" s="2166">
        <f>HIT.!H378</f>
        <v>357993.85</v>
      </c>
    </row>
  </sheetData>
  <mergeCells count="4">
    <mergeCell ref="B1:D2"/>
    <mergeCell ref="B7:D7"/>
    <mergeCell ref="B16:D16"/>
    <mergeCell ref="B26:D26"/>
  </mergeCells>
  <printOptions horizontalCentered="1"/>
  <pageMargins left="0.5" right="0.25" top="0.5" bottom="0" header="0" footer="0"/>
  <pageSetup paperSize="9" scale="72" orientation="portrait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40</vt:i4>
      </vt:variant>
    </vt:vector>
  </HeadingPairs>
  <TitlesOfParts>
    <vt:vector size="66" baseType="lpstr">
      <vt:lpstr>Rekap (2)</vt:lpstr>
      <vt:lpstr>RAB (2)</vt:lpstr>
      <vt:lpstr>Rekap</vt:lpstr>
      <vt:lpstr>RAB</vt:lpstr>
      <vt:lpstr>V.1</vt:lpstr>
      <vt:lpstr>V.1 (2)</vt:lpstr>
      <vt:lpstr>V.1 (3)</vt:lpstr>
      <vt:lpstr>volume</vt:lpstr>
      <vt:lpstr>R.Anl</vt:lpstr>
      <vt:lpstr>ANL</vt:lpstr>
      <vt:lpstr>HIT.</vt:lpstr>
      <vt:lpstr>ELT</vt:lpstr>
      <vt:lpstr>PLMB</vt:lpstr>
      <vt:lpstr>BAHAN</vt:lpstr>
      <vt:lpstr>UB mep</vt:lpstr>
      <vt:lpstr>UPAH</vt:lpstr>
      <vt:lpstr>Vol beton</vt:lpstr>
      <vt:lpstr>SMK3</vt:lpstr>
      <vt:lpstr>DIHIT</vt:lpstr>
      <vt:lpstr>Mobilisasi</vt:lpstr>
      <vt:lpstr>GALIAN (ALAT)</vt:lpstr>
      <vt:lpstr>PEMANCANGAN</vt:lpstr>
      <vt:lpstr>WELDING</vt:lpstr>
      <vt:lpstr>CUTTING</vt:lpstr>
      <vt:lpstr>PERALATAN</vt:lpstr>
      <vt:lpstr>ID</vt:lpstr>
      <vt:lpstr>ANL!Print_Area</vt:lpstr>
      <vt:lpstr>BAHAN!Print_Area</vt:lpstr>
      <vt:lpstr>CUTTING!Print_Area</vt:lpstr>
      <vt:lpstr>DIHIT!Print_Area</vt:lpstr>
      <vt:lpstr>ELT!Print_Area</vt:lpstr>
      <vt:lpstr>'GALIAN (ALAT)'!Print_Area</vt:lpstr>
      <vt:lpstr>HIT.!Print_Area</vt:lpstr>
      <vt:lpstr>Mobilisasi!Print_Area</vt:lpstr>
      <vt:lpstr>PEMANCANGAN!Print_Area</vt:lpstr>
      <vt:lpstr>PERALATAN!Print_Area</vt:lpstr>
      <vt:lpstr>PLMB!Print_Area</vt:lpstr>
      <vt:lpstr>R.Anl!Print_Area</vt:lpstr>
      <vt:lpstr>RAB!Print_Area</vt:lpstr>
      <vt:lpstr>'RAB (2)'!Print_Area</vt:lpstr>
      <vt:lpstr>Rekap!Print_Area</vt:lpstr>
      <vt:lpstr>'Rekap (2)'!Print_Area</vt:lpstr>
      <vt:lpstr>'SMK3'!Print_Area</vt:lpstr>
      <vt:lpstr>'UB mep'!Print_Area</vt:lpstr>
      <vt:lpstr>UPAH!Print_Area</vt:lpstr>
      <vt:lpstr>V.1!Print_Area</vt:lpstr>
      <vt:lpstr>'V.1 (2)'!Print_Area</vt:lpstr>
      <vt:lpstr>'V.1 (3)'!Print_Area</vt:lpstr>
      <vt:lpstr>'Vol beton'!Print_Area</vt:lpstr>
      <vt:lpstr>volume!Print_Area</vt:lpstr>
      <vt:lpstr>WELDING!Print_Area</vt:lpstr>
      <vt:lpstr>ANL!Print_Titles</vt:lpstr>
      <vt:lpstr>BAHAN!Print_Titles</vt:lpstr>
      <vt:lpstr>HIT.!Print_Titles</vt:lpstr>
      <vt:lpstr>Mobilisasi!Print_Titles</vt:lpstr>
      <vt:lpstr>R.Anl!Print_Titles</vt:lpstr>
      <vt:lpstr>RAB!Print_Titles</vt:lpstr>
      <vt:lpstr>'RAB (2)'!Print_Titles</vt:lpstr>
      <vt:lpstr>Rekap!Print_Titles</vt:lpstr>
      <vt:lpstr>'Rekap (2)'!Print_Titles</vt:lpstr>
      <vt:lpstr>'UB mep'!Print_Titles</vt:lpstr>
      <vt:lpstr>V.1!Print_Titles</vt:lpstr>
      <vt:lpstr>'V.1 (2)'!Print_Titles</vt:lpstr>
      <vt:lpstr>'V.1 (3)'!Print_Titles</vt:lpstr>
      <vt:lpstr>'Vol beton'!Print_Titles</vt:lpstr>
      <vt:lpstr>volume!Print_Titles</vt:lpstr>
    </vt:vector>
  </TitlesOfParts>
  <Company>Microsoft Corp.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User</cp:lastModifiedBy>
  <cp:lastPrinted>2022-12-09T07:16:26Z</cp:lastPrinted>
  <dcterms:created xsi:type="dcterms:W3CDTF">2006-11-29T21:14:58Z</dcterms:created>
  <dcterms:modified xsi:type="dcterms:W3CDTF">2022-12-09T09:49:17Z</dcterms:modified>
</cp:coreProperties>
</file>